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Bs" sheetId="1" r:id="rId4"/>
    <sheet state="visible" name="CBs" sheetId="2" r:id="rId5"/>
    <sheet state="visible" name="Pairs" sheetId="3" r:id="rId6"/>
    <sheet state="visible" name="Matched SLBs Pivot" sheetId="4" r:id="rId7"/>
    <sheet state="visible" name="slb RAW" sheetId="5" r:id="rId8"/>
    <sheet state="visible" name="CBs RAW" sheetId="6" r:id="rId9"/>
    <sheet state="visible" name="Refinitiv SLB" sheetId="7" r:id="rId10"/>
    <sheet state="visible" name="CB old" sheetId="8" r:id="rId11"/>
  </sheets>
  <definedNames>
    <definedName hidden="1" localSheetId="0" name="_xlnm._FilterDatabase">SLBs!$A$1:$AO$293</definedName>
    <definedName hidden="1" localSheetId="1" name="_xlnm._FilterDatabase">CBs!$A$1:$Z$427</definedName>
    <definedName hidden="1" localSheetId="7" name="_xlnm._FilterDatabase">'CB old'!$A$1:$U$427</definedName>
  </definedNames>
  <calcPr/>
  <pivotCaches>
    <pivotCache cacheId="0" r:id="rId12"/>
  </pivotCaches>
  <extLst>
    <ext uri="GoogleSheetsCustomDataVersion1">
      <go:sheetsCustomData xmlns:go="http://customooxmlschemas.google.com/" r:id="rId13" roundtripDataSignature="AMtx7mgpvYulqQVH9BbSxawdDbGvRnFBk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58">
      <text>
        <t xml:space="preserve">======
ID#AAAAYQbS4M4
Emil Damirov    (2022-05-03 12:37:44)
Rifinitive does not show any bonds</t>
      </text>
    </comment>
    <comment authorId="0" ref="B85">
      <text>
        <t xml:space="preserve">======
ID#AAAAYsnGt84
Amanda Ramirez    (2022-05-02 09:53:05)
Not listed</t>
      </text>
    </comment>
    <comment authorId="0" ref="B165">
      <text>
        <t xml:space="preserve">======
ID#AAAAYsnGt80
Amanda Ramirez    (2022-05-02 09:52:43)
Not listed</t>
      </text>
    </comment>
    <comment authorId="0" ref="M137">
      <text>
        <t xml:space="preserve">======
ID#AAAAYsnGt8w
Amanda Ramirez    (2022-05-02 09:38:58)
Graph not old enough</t>
      </text>
    </comment>
    <comment authorId="0" ref="M26">
      <text>
        <t xml:space="preserve">======
ID#AAAAYsnGt8o
Amanda Ramirez    (2022-05-02 08:59:41)
graph doesn't go far back enough</t>
      </text>
    </comment>
  </commentList>
  <extLst>
    <ext uri="GoogleSheetsCustomDataVersion1">
      <go:sheetsCustomData xmlns:go="http://customooxmlschemas.google.com/" r:id="rId1" roundtripDataSignature="AMtx7mjR+CsD5pyZbNajlaAHzvm0ESrrN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56">
      <text>
        <t xml:space="preserve">======
ID#AAAAYM6bFXE
Amanda Ramirez    (2022-05-02 14:36:55)
On 19/04/2022</t>
      </text>
    </comment>
    <comment authorId="0" ref="D259">
      <text>
        <t xml:space="preserve">======
ID#AAAAYM6bFXA
Amanda Ramirez    (2022-05-02 14:35:16)
On 10/03/2022</t>
      </text>
    </comment>
    <comment authorId="0" ref="D40">
      <text>
        <t xml:space="preserve">======
ID#AAAAYM6bFWc
Amanda Ramirez    (2022-05-02 14:16:59)
On 12/05/2020</t>
      </text>
    </comment>
    <comment authorId="0" ref="D147">
      <text>
        <t xml:space="preserve">======
ID#AAAAYM6bFWU
Amanda Ramirez    (2022-05-02 14:08:14)
on 12/05/2020, not on issue date</t>
      </text>
    </comment>
  </commentList>
  <extLst>
    <ext uri="GoogleSheetsCustomDataVersion1">
      <go:sheetsCustomData xmlns:go="http://customooxmlschemas.google.com/" r:id="rId1" roundtripDataSignature="AMtx7mhQRhS66EzNOc08kGXWX9bwhxvIlw=="/>
    </ext>
  </extLst>
</comments>
</file>

<file path=xl/sharedStrings.xml><?xml version="1.0" encoding="utf-8"?>
<sst xmlns="http://schemas.openxmlformats.org/spreadsheetml/2006/main" count="42264" uniqueCount="5489">
  <si>
    <t>ID</t>
  </si>
  <si>
    <t>Issuer Name</t>
  </si>
  <si>
    <t>ISIN</t>
  </si>
  <si>
    <t>Bloomberg ID</t>
  </si>
  <si>
    <t>FIGI</t>
  </si>
  <si>
    <t>Ticker</t>
  </si>
  <si>
    <t>Country/Region ISO Code</t>
  </si>
  <si>
    <t>Cntry of Incorp</t>
  </si>
  <si>
    <t>Cntry of Risk</t>
  </si>
  <si>
    <t>Cpn</t>
  </si>
  <si>
    <t>Issue Date</t>
  </si>
  <si>
    <t>Maturity</t>
  </si>
  <si>
    <t>Yield at Issue (manual)</t>
  </si>
  <si>
    <t>Mty Type</t>
  </si>
  <si>
    <t>Has Call Provision</t>
  </si>
  <si>
    <t>Series</t>
  </si>
  <si>
    <t>Payment Rank</t>
  </si>
  <si>
    <t>Currency</t>
  </si>
  <si>
    <t>BBG Composite</t>
  </si>
  <si>
    <t>ESG Rating</t>
  </si>
  <si>
    <t>Coupon Type</t>
  </si>
  <si>
    <t>Cpn Freq Des</t>
  </si>
  <si>
    <t>Amt Issued</t>
  </si>
  <si>
    <t>BICS Level 1</t>
  </si>
  <si>
    <t>BICS Level 2</t>
  </si>
  <si>
    <t>BCLASS Level 1</t>
  </si>
  <si>
    <t>BCLASS Level 2</t>
  </si>
  <si>
    <t>BCLASS Level 3</t>
  </si>
  <si>
    <t>BCLASS Level 4</t>
  </si>
  <si>
    <t>Step up desc</t>
  </si>
  <si>
    <t>Step up</t>
  </si>
  <si>
    <t>Step down</t>
  </si>
  <si>
    <t>Step-up&amp;down?</t>
  </si>
  <si>
    <t xml:space="preserve">SPT </t>
  </si>
  <si>
    <t>Lead Manager(s)</t>
  </si>
  <si>
    <t>Yield at issue</t>
  </si>
  <si>
    <t>Yield ask</t>
  </si>
  <si>
    <t>Refinitiv</t>
  </si>
  <si>
    <t>Yield ask, at issue</t>
  </si>
  <si>
    <t>Issuer&amp;MTY&amp;CPN&amp;CURR&amp;Seniority</t>
  </si>
  <si>
    <t>Matched</t>
  </si>
  <si>
    <t>Duerr AG</t>
  </si>
  <si>
    <t>BG4373653</t>
  </si>
  <si>
    <t>BBG00S419B98</t>
  </si>
  <si>
    <t>DUEGR</t>
  </si>
  <si>
    <t>DE</t>
  </si>
  <si>
    <t>2020-04-06</t>
  </si>
  <si>
    <t>2030-04-06</t>
  </si>
  <si>
    <t>N/A</t>
  </si>
  <si>
    <t>AT MATURITY</t>
  </si>
  <si>
    <t>N</t>
  </si>
  <si>
    <t>10Y</t>
  </si>
  <si>
    <t>Sr Unsecured</t>
  </si>
  <si>
    <t>EUR</t>
  </si>
  <si>
    <t>#N/A N/A</t>
  </si>
  <si>
    <t>N.S.</t>
  </si>
  <si>
    <t>FIXED</t>
  </si>
  <si>
    <t>Annual</t>
  </si>
  <si>
    <t>Industrials</t>
  </si>
  <si>
    <t>Machinery Manufacturing</t>
  </si>
  <si>
    <t>Corporate</t>
  </si>
  <si>
    <t>Industrial</t>
  </si>
  <si>
    <t>Other Industrial</t>
  </si>
  <si>
    <t>PRICING STEPS UP BY 2BPS IF SUSTAINABILITY SCORE &lt;=40. PRICING STEPS DOWN BY 2BPS IF &gt;=62</t>
  </si>
  <si>
    <t>ESG SCORE</t>
  </si>
  <si>
    <t>Bookrunner DZ Bank DZBK JLMB Joint Lead Managers-Books 38333.33 1 2020-04-06 Bookrunner Landesbank Baden-Wuerttemberg LBBW JLMB Joint Lead Managers-Books 38333.33 1 2020-04-06 Bookrunner UniCredit Bank AG UNICRD JLMB Joint Lead Managers-Books 38333.33 1 2020-04-06</t>
  </si>
  <si>
    <t>BG5616522</t>
  </si>
  <si>
    <t>BBG00S5JHCR7</t>
  </si>
  <si>
    <t>2027-04-06</t>
  </si>
  <si>
    <t>7Y</t>
  </si>
  <si>
    <t>FLOATING</t>
  </si>
  <si>
    <t>S/A</t>
  </si>
  <si>
    <t>Bookrunner DZ Bank DZBK JLMB Joint Lead Managers-Books 0 1 2020-04-06 Bookrunner Landesbank Baden-Wuerttemberg LBBW JLMB Joint Lead Managers-Books 0 1 2020-04-06 Bookrunner UniCredit Bank AG UNICRD JLMB Joint Lead Managers-Books 0 1 2020-04-06</t>
  </si>
  <si>
    <t>BG5616605</t>
  </si>
  <si>
    <t>BBG00S5JHD04</t>
  </si>
  <si>
    <t>2025-04-06</t>
  </si>
  <si>
    <t>5Y</t>
  </si>
  <si>
    <t>ESG-LINKED SCHULDSCHEIN. PRICING TIED TO ESG RATING FROM ECOVADIS +5BPS IF ESG RATING &lt;=44; -5BPS IF &gt;=66.</t>
  </si>
  <si>
    <t>Aurubis AG</t>
  </si>
  <si>
    <t>BJ4743974</t>
  </si>
  <si>
    <t>BBG00TTCWZ96</t>
  </si>
  <si>
    <t>NDAGR</t>
  </si>
  <si>
    <t>2020-06-23</t>
  </si>
  <si>
    <t>2027-06-23</t>
  </si>
  <si>
    <t>7YFL</t>
  </si>
  <si>
    <t>Materials</t>
  </si>
  <si>
    <t>Metals &amp; Mining</t>
  </si>
  <si>
    <t>Basic Industry</t>
  </si>
  <si>
    <t>Metals and Mining</t>
  </si>
  <si>
    <t>SUSTAINABILITY-LINKED SCHULDSCHEIN.SUSTAINABILITY PRICING ADJUSTMENT +5BPS IF ESG SCORE &lt;=56; -5BPS IF ESG SCORE &gt;=80.</t>
  </si>
  <si>
    <t>Bookrunner Commerzbank COBA JLMB Joint Lead Managers-Books 0 1 2020-06-23 Bookrunner DZ Bank DZBK JLMB Joint Lead Managers-Books 0 1 2020-06-23 Bookrunner Landesbank Hessen-Thuringen Gi HELABA JLMB Joint Lead Managers-Books 0 1 2020-06-23</t>
  </si>
  <si>
    <t>BJ4744352</t>
  </si>
  <si>
    <t>BBG00TTCXCM1</t>
  </si>
  <si>
    <t>2025-06-23</t>
  </si>
  <si>
    <t>5YFL</t>
  </si>
  <si>
    <t>BJ4744360</t>
  </si>
  <si>
    <t>BBG00TTCXCN0</t>
  </si>
  <si>
    <t>2023-06-23</t>
  </si>
  <si>
    <t>3YFL</t>
  </si>
  <si>
    <t>BK2300865</t>
  </si>
  <si>
    <t>BBG00VPKM8T6</t>
  </si>
  <si>
    <t>7YFX</t>
  </si>
  <si>
    <t>BK2300873</t>
  </si>
  <si>
    <t>BBG00VPKM8W2</t>
  </si>
  <si>
    <t>5YFX</t>
  </si>
  <si>
    <t>BK2300881</t>
  </si>
  <si>
    <t>BBG00VPKM8X1</t>
  </si>
  <si>
    <t>3YFX</t>
  </si>
  <si>
    <t>Tauron Polska Energia SA</t>
  </si>
  <si>
    <t>BM1904754</t>
  </si>
  <si>
    <t>BBG00Y1BMBQ2</t>
  </si>
  <si>
    <t>TPEPW</t>
  </si>
  <si>
    <t>PL</t>
  </si>
  <si>
    <t>2020-10-30</t>
  </si>
  <si>
    <t>2025-10-30</t>
  </si>
  <si>
    <t>CALLABLE</t>
  </si>
  <si>
    <t>Y</t>
  </si>
  <si>
    <t>A</t>
  </si>
  <si>
    <t>Unsecured</t>
  </si>
  <si>
    <t>PLN</t>
  </si>
  <si>
    <t>Utilities</t>
  </si>
  <si>
    <t>Utility</t>
  </si>
  <si>
    <t>Electric</t>
  </si>
  <si>
    <t>STEP-UP MARGIN: 5BP (IF ONE TARGET NOT MET), 10BP (IF BOTH TARGETS NOT MET), STEP-UP EVENT: CO2 EMISSIONS, RENEWABLE ENERGY INSTALLED CAPACITY</t>
  </si>
  <si>
    <t>multi</t>
  </si>
  <si>
    <t>ENVIRONMENT</t>
  </si>
  <si>
    <t>Bookrunner Bank Pekao SA PEKAO JLMB Joint Lead Managers-Books 0 1 2020-10-29 Bookrunner Erste Group Bank ERSTE JLMB Joint Lead Managers-Books 0 1 2020-10-29 Bookrunner PKO Bank Polski SA PKOBP JLMB Joint Lead Managers-Books 0 1 2020-10-29 Bookrunner Santander Bank Polska SA SANT JLMB Joint Lead Managers-Books 0 1 2020-10-29 Trustee PKO Bank Polski SA PKOBP DOC Documentation Agent(s) 0 7 2020-10-29 Trustee Santander Bank Polska SA SANT CALC Calculation Agent(s) 0 7 2020-10-29 Trustee White &amp; Case LLP W&amp;C LAM Legal Adviser(s) to the Manage 0 16 2020-10-29</t>
  </si>
  <si>
    <t>Puma SE</t>
  </si>
  <si>
    <t>BM2548139</t>
  </si>
  <si>
    <t>BBG00Y2G8KT3</t>
  </si>
  <si>
    <t>PUMGR</t>
  </si>
  <si>
    <t>2020-12-16</t>
  </si>
  <si>
    <t>2025-12-16</t>
  </si>
  <si>
    <t>AAA</t>
  </si>
  <si>
    <t>Consumer Discretionary</t>
  </si>
  <si>
    <t>Apparel &amp; Textile Products</t>
  </si>
  <si>
    <t>Consumer Cyclical</t>
  </si>
  <si>
    <t>Retailers</t>
  </si>
  <si>
    <t>ESG-LINKED SCHULDSCHEIN. TWO SETTLEMENT DATES: FIRST SETTLEMENT 12/16/20 FOR 15MM AND SECOND SETTLEMENT 01/12/21 FOR 235MM.</t>
  </si>
  <si>
    <t>n/a</t>
  </si>
  <si>
    <t>?</t>
  </si>
  <si>
    <t>Bookrunner BNP Paribas/Frankfurt BNP JLMB Joint Lead Managers-Books 0 4 2021-01-12 Bookrunner HSBC Trinkaus &amp; Burkhardt AG H-TRNK JLMB Joint Lead Managers-Books 0 4 2021-01-12 Bookrunner ING Bank NV Niederlassung ING JLMB Joint Lead Managers-Books 0 4 2021-01-12 Bookrunner BNP Paribas/Frankfurt BNP JLMB Joint Lead Managers-Books 0 1 2020-12-16 Bookrunner HSBC Trinkaus &amp; Burkhardt AG H-TRNK JLMB Joint Lead Managers-Books 0 1 2020-12-16 Bookrunner ING Bank NV Niederlassung ING JLMB Joint Lead Managers-Books 0 1 2020-12-16</t>
  </si>
  <si>
    <t>BM2549186</t>
  </si>
  <si>
    <t>BBG00Y2G9VM5</t>
  </si>
  <si>
    <t>2023-12-16</t>
  </si>
  <si>
    <t>3Y</t>
  </si>
  <si>
    <t>ESG-LINKED SCHULDSCHEIN. TWO SETTLEMENT DATES: FIRST SETTLEMENT 12/16/20 AND SECOND SETTLEMENT 01/12/21.</t>
  </si>
  <si>
    <t>BM3493996</t>
  </si>
  <si>
    <t>BBG00Y48C8Y5</t>
  </si>
  <si>
    <t>2021-01-14</t>
  </si>
  <si>
    <t>2031-01-14</t>
  </si>
  <si>
    <t>Bookrunner DZ Bank DZBK JLMB Joint Lead Managers-Books 0 1 2021-01-14 Bookrunner Landesbank Baden-Wuerttemberg LBBW JLMB Joint Lead Managers-Books 0 1 2021-01-14 Bookrunner UniCredit Bank AG UNICRD JLMB Joint Lead Managers-Books 0 1 2021-01-14</t>
  </si>
  <si>
    <t>BM3494424</t>
  </si>
  <si>
    <t>BBG00Y48CQV8</t>
  </si>
  <si>
    <t>2028-01-17</t>
  </si>
  <si>
    <t>BM3494432</t>
  </si>
  <si>
    <t>BBG00Y48CQX6</t>
  </si>
  <si>
    <t>2027-01-14</t>
  </si>
  <si>
    <t>6Y</t>
  </si>
  <si>
    <t>BM3494457</t>
  </si>
  <si>
    <t>BBG00Y48CR37</t>
  </si>
  <si>
    <t>2025-01-14</t>
  </si>
  <si>
    <t>4Y</t>
  </si>
  <si>
    <t>BM3494465</t>
  </si>
  <si>
    <t>BBG00Y48CRC7</t>
  </si>
  <si>
    <t>2024-01-14</t>
  </si>
  <si>
    <t>Holcim Finance Luxembourg SA</t>
  </si>
  <si>
    <t>BM6017461</t>
  </si>
  <si>
    <t>BBG00Y709383</t>
  </si>
  <si>
    <t>HOLNSW</t>
  </si>
  <si>
    <t>LU</t>
  </si>
  <si>
    <t>CH</t>
  </si>
  <si>
    <t>2020-11-23</t>
  </si>
  <si>
    <t>2031-04-23</t>
  </si>
  <si>
    <t>#N/A Field Not Applicable</t>
  </si>
  <si>
    <t>BBB</t>
  </si>
  <si>
    <t>Construction Materials Manufacturing</t>
  </si>
  <si>
    <t>Capital Goods</t>
  </si>
  <si>
    <t>Building Materials</t>
  </si>
  <si>
    <t>STEP-UP MARGIN: 75BP, STEP-UP EVENT: DEC 2030 CO2 EMISSIONS</t>
  </si>
  <si>
    <t>Bookrunner Banco Bilbao Vizcaya Argentari BBVA JLMB Joint Lead Managers-Books 0 1 2020-11-17 Bookrunner Banco Santander SANT JLMB Joint Lead Managers-Books 0 1 2020-11-17 Bookrunner BNP Paribas BNPP JLMB Joint Lead Managers-Books 0 1 2020-11-17 Bookrunner Credit Agricole CIB CACIB JLMB Joint Lead Managers-Books 0 1 2020-11-17 Bookrunner HSBC HSBC JLMB Joint Lead Managers-Books 0 1 2020-11-17 Bookrunner ING Groep ING JLMB Joint Lead Managers-Books 0 1 2020-11-17 Bookrunner Societe Generale SG JLMB Joint Lead Managers-Books 0 1 2020-11-17 Bookrunner UniCredit UNICRD JLMB Joint Lead Managers-Books 0 1 2020-11-17 Trustee Homburger AG HOMBRE LAI Legal Adviser to the Issuer(s) 0 16 2020-11-17 Trustee Linklaters LLP L&amp;A LAI Legal Adviser to the Issuer(s) 0 16 2020-11-17 Trustee Clifford Chance LLP CHANCE LAM Legal Adviser(s) to the Manage 0 16 2020-11-17 ESG Assurance Provider ISS-oekom ISSOEK SNPC 2nd Party Consultant 0 30 2020-11-17</t>
  </si>
  <si>
    <t>Schneider Electric SE</t>
  </si>
  <si>
    <t>BM6028963</t>
  </si>
  <si>
    <t>BBG00Y70L1G4</t>
  </si>
  <si>
    <t>SUFP</t>
  </si>
  <si>
    <t>FR</t>
  </si>
  <si>
    <t>US</t>
  </si>
  <si>
    <t>2020-11-24</t>
  </si>
  <si>
    <t>2026-06-15</t>
  </si>
  <si>
    <t>CONVERTIBLE</t>
  </si>
  <si>
    <t>NR</t>
  </si>
  <si>
    <t>Electrical Equipment Manufacturing</t>
  </si>
  <si>
    <t>Diversified Manufacturing</t>
  </si>
  <si>
    <t>15% CLEAN-UP CALL. SUSTAINABILITY PRICING ADJUSTMENT</t>
  </si>
  <si>
    <t>%</t>
  </si>
  <si>
    <t>Bookrunner Barclays Bank Ireland PLC BARCBK JLMB Joint Lead Managers-Books 0 1 2020-11-17 Bookrunner BNP Paribas BNPP JLMB Joint Lead Managers-Books 0 1 2020-11-17 Bookrunner Citigroup Global Markets Europ CITI JLMB Joint Lead Managers-Books 0 1 2020-11-17 Bookrunner Societe Generale SG JLMB Joint Lead Managers-Books 0 1 2020-11-17 NonBookrunner Natixis NATIX CLM Co-Lead Manager(s) 0 1 2020-11-17 NonBookrunner BNP Paribas BNPP GLCO Global Coordinator(s) 0 1 2020-11-17 Trustee BNP Paribas BNPP PAAG Paying Agent(s) 0 7 2020-11-17 Trustee BNP Paribas BNPP CONV Conversion Agent(s) 0 7 2020-11-17 Trustee Conv Ex Advisors Ltd CONEAD CALC Calculation Agent(s) 0 7 2020-11-17 Trustee BNP Paribas BNPP TRNS Transfer Agent(s) 0 7 2020-11-17 Trustee Linklaters LLP L&amp;A LAI Legal Adviser to the Issuer(s) 0 16 2020-11-17 Trustee White &amp; Case LLP W&amp;C LAM Legal Adviser(s) to the Manage 0 16 2020-11-17 ESG Assurance Provider Vigeo SASV VIGEO SNPC 2nd Party Consultant 0 30 2020-11-17</t>
  </si>
  <si>
    <t>Veneziana Energia Risorse Idriche Territorio Ambiente Servizi SpA</t>
  </si>
  <si>
    <t>BM8015802</t>
  </si>
  <si>
    <t>BBG00YCLMZT2</t>
  </si>
  <si>
    <t>VRITAS</t>
  </si>
  <si>
    <t>IT</t>
  </si>
  <si>
    <t>2020-12-09</t>
  </si>
  <si>
    <t>2027-12-09</t>
  </si>
  <si>
    <t>Government-Related</t>
  </si>
  <si>
    <t>Local Authority</t>
  </si>
  <si>
    <t>STEP-UP MARGIN: 10BP, STEP-UP EVENT: 2024 ESG RATING</t>
  </si>
  <si>
    <t>Bookrunner UniCredit UNICRD SOLE Sole Manager 0 1 2020-11-27</t>
  </si>
  <si>
    <t>Polski Koncern Naftowy ORLEN SA</t>
  </si>
  <si>
    <t>BM9487067</t>
  </si>
  <si>
    <t>BBG00YG2BZ58</t>
  </si>
  <si>
    <t>PKNPW</t>
  </si>
  <si>
    <t>2020-12-22</t>
  </si>
  <si>
    <t>2025-12-22</t>
  </si>
  <si>
    <t>C</t>
  </si>
  <si>
    <t>Energy</t>
  </si>
  <si>
    <t>Refining &amp; Marketing</t>
  </si>
  <si>
    <t>Refining</t>
  </si>
  <si>
    <t>STEP UP: +5BPS IF ESG RATING(MSCI) FALLS TO BBB, +10BPS IF ESG RATING (MSCI) FALLS TO BB</t>
  </si>
  <si>
    <t>Bookrunner Bank Pekao SA PEKAO JLMB Joint Lead Managers-Books 0 1 2020-12-11 Bookrunner Santander Bank Polska SA SANT JLMB Joint Lead Managers-Books 0 1 2020-12-11 Trustee Bank Pekao SA PEKAO CALC Calculation Agent(s) 0 7 2020-12-11</t>
  </si>
  <si>
    <t>Pikolin SL</t>
  </si>
  <si>
    <t>BM9791419</t>
  </si>
  <si>
    <t>BBG00YGB1X09</t>
  </si>
  <si>
    <t>PIKLIN</t>
  </si>
  <si>
    <t>ES</t>
  </si>
  <si>
    <t>2020-12-04</t>
  </si>
  <si>
    <t>2026-12-14</t>
  </si>
  <si>
    <t>EMTN</t>
  </si>
  <si>
    <t>Home &amp; Office Products Manufacturing</t>
  </si>
  <si>
    <t>Consumer Non-Cyclical</t>
  </si>
  <si>
    <t>Consumer Products</t>
  </si>
  <si>
    <t>STEP-UP MARGIN: 25BP, STEP-UP EVENT: DEC 2025 PERCENTAGE OF GREEN ENERGY CONSUMED IN OPERATIONS</t>
  </si>
  <si>
    <t>Bookrunner PKF (UK) LLP PKFUK SOLE Sole Manager 18000 1 2020-12-04 Trustee Not Available N/A PLAG Placement Agent(s) 0 7 2020-12-04 Trustee Banco de Sabadell SA/Spain BANSAB PAAG Paying Agent(s) 0 7 2020-12-04 Trustee Not Available N/A GLCO Global Coordinator(s) 0 7 2020-12-04</t>
  </si>
  <si>
    <t>Albioma SA</t>
  </si>
  <si>
    <t>BN0249456</t>
  </si>
  <si>
    <t>BBG00YHHWJT1</t>
  </si>
  <si>
    <t>ABIOFP</t>
  </si>
  <si>
    <t>2020-12-07</t>
  </si>
  <si>
    <t>2027-12-07</t>
  </si>
  <si>
    <t>Power Generation</t>
  </si>
  <si>
    <t>NO</t>
  </si>
  <si>
    <t>Bookrunner Natixis NATIX JLMB Joint Lead Managers-Books 0 1 2020-11-30 Bookrunner Societe Generale SG JLMB Joint Lead Managers-Books 0 1 2020-11-30 Trustee Societe Generale Securities Se SGSECS PAAG Paying Agent(s) 0 7 2020-11-30 Trustee Societe Generale Securities Se SGSECS CALC Calculation Agent(s) 0 7 2020-11-30 Trustee Societe Generale Securities Se SGSECS FISC Fiscal Agent(s) 0 7 2020-11-30 Trustee Allen &amp; Overy LLP ALLOVR LAM Legal Adviser(s) to the Manage 0 16 2020-11-30 ESG Assurance Provider Vigeo SASV VIGEO SNPC 2nd Party Consultant 0 30 2020-11-30</t>
  </si>
  <si>
    <t>BN0253896</t>
  </si>
  <si>
    <t>BBG00YHJ1FQ2</t>
  </si>
  <si>
    <t>2028-12-07</t>
  </si>
  <si>
    <t>Bookrunner Natixis NATIX JLMB Joint Lead Managers-Books 0 1 2020-11-30 Bookrunner Societe Generale SG JLMB Joint Lead Managers-Books 0 1 2020-11-30 Trustee Societe Generale Securities Se SGSECS PAAG Paying Agent(s) 0 7 2020-11-30 Trustee Societe Generale Securities Se SGSECS CALC Calculation Agent(s) 0 7 2020-11-30 Trustee Societe Generale Securities Se SGSECS FISC Fiscal Agent(s) 0 7 2020-11-30 Trustee Allen &amp; Overy LLP ALLOVR LAM Legal Adviser(s) to the Manage 0 16 2020-11-30</t>
  </si>
  <si>
    <t>Chargeurs SA</t>
  </si>
  <si>
    <t>BN0834745</t>
  </si>
  <si>
    <t>BBG00YJHNG42</t>
  </si>
  <si>
    <t>CRIFP</t>
  </si>
  <si>
    <t>2020-12-14</t>
  </si>
  <si>
    <t>2028-12-14</t>
  </si>
  <si>
    <t>PENALTY: ADDITIONAL COUPON TO CHARITABLE ORGANIZATIONS, EVENT: FAILURE TO REDUCE WORK ACCIDENT FREQUENCY, INCREASE SUSTAINABLE PRODUCT REVENUE</t>
  </si>
  <si>
    <t>SOCIAL</t>
  </si>
  <si>
    <t>Bookrunner Kepler Cheuvreux KEPCAP LMGR Lead Manager(s) 0 1 2020-12-08 Trustee BNP Paribas Securities Service BNPPAR AGNT Agent(s) 0 7 2020-12-08</t>
  </si>
  <si>
    <t>Klabin Austria GmbH</t>
  </si>
  <si>
    <t>BN3697297</t>
  </si>
  <si>
    <t>BBG00YS3VZM2</t>
  </si>
  <si>
    <t>KLAB</t>
  </si>
  <si>
    <t>AT</t>
  </si>
  <si>
    <t>BR</t>
  </si>
  <si>
    <t>2021-01-12</t>
  </si>
  <si>
    <t>2031-01-12</t>
  </si>
  <si>
    <t>144A</t>
  </si>
  <si>
    <t>USD</t>
  </si>
  <si>
    <t>BB+</t>
  </si>
  <si>
    <t>Containers &amp; Packaging</t>
  </si>
  <si>
    <t>Paper</t>
  </si>
  <si>
    <t>STEP-UP MARGIN: 12.5BP; 6.25BP; 6.25BP, STEP-UP EVENT: DEC 2025 WATER CONSUMPTION INTENSITY; WATER REUSE; BIODIVERSITY PRESERVATION</t>
  </si>
  <si>
    <t>Bookrunner Banco Itau SA ITAU JLMB Joint Lead Managers-Books 83333 1 2021-01-06 Bookrunner BofA Securities BofA JLMB Joint Lead Managers-Books 83334 1 2021-01-06 Bookrunner Bradesco BBI SA BRADSC JLMB Joint Lead Managers-Books 83334 1 2021-01-06 Bookrunner Citigroup Global Markets Inc CITI JLMB Joint Lead Managers-Books 83333 1 2021-01-06 Bookrunner JP Morgan JPM JLMB Joint Lead Managers-Books 83333 1 2021-01-06 Bookrunner Morgan Stanley MS JLMB Joint Lead Managers-Books 83333 1 2021-01-06 NonBookrunner JP Morgan JPM ESGA ESG Agent 0 1 2021-01-06 Trustee Bank of New York Mellon BNYM PAAG Paying Agent(s) 0 7 2021-01-06 Trustee Bank of New York Mellon BNYM TRST Trustee(s) 0 7 2021-01-06 Trustee Bank of New York Mellon BNYM TRNS Transfer Agent(s) 0 7 2021-01-06 Trustee Bank of New York Mellon BNYM RGST Registrar(s) 0 7 2021-01-06 Trustee Cerha Hempel Spiegelfeld Hlawa CHSH LAI Legal Adviser to the Issuer(s) 0 16 2021-01-06 Trustee Clifford Chance LLP CHANCE LAI Legal Adviser to the Issuer(s) 0 16 2021-01-06 Trustee Mattos Filho Veiga Filho Marre MATTOS LAI Legal Adviser to the Issuer(s) 0 16 2021-01-06 Trustee Milbank LLP MILLLP LAM Legal Adviser(s) to the Manage 0 16 2021-01-06 Trustee Tozzini Freire Teixeira e Silv TOZZIN LAM Legal Adviser(s) to the Manage 0 16 2021-01-06</t>
  </si>
  <si>
    <t>BN3697396</t>
  </si>
  <si>
    <t>BBG00YS3W048</t>
  </si>
  <si>
    <t>REGS</t>
  </si>
  <si>
    <t>Bookrunner Banco Itau SA ITAU JLMB Joint Lead Managers-Books 83334 1 2021-01-06 Bookrunner BofA Securities BofA JLMB Joint Lead Managers-Books 83334 1 2021-01-06 Bookrunner Bradesco BBI SA BRADSC JLMB Joint Lead Managers-Books 83333 1 2021-01-06 Bookrunner Citigroup Global Markets Inc CITI JLMB Joint Lead Managers-Books 83333 1 2021-01-06 Bookrunner JP Morgan JPM JLMB Joint Lead Managers-Books 83333 1 2021-01-06 Bookrunner Morgan Stanley MS JLMB Joint Lead Managers-Books 83333 1 2021-01-06 Trustee Bank of New York Mellon BNYM PAAG Paying Agent(s) 0 7 2021-01-06 Trustee Bank of New York Mellon BNYM TRST Trustee(s) 0 7 2021-01-06 Trustee Bank of New York Mellon BNYM TRNS Transfer Agent(s) 0 7 2021-01-06 Trustee Bank of New York Mellon BNYM RGST Registrar(s) 0 7 2021-01-06 Trustee Cerha Hempel Spiegelfeld Hlawa CHSH LAI Legal Adviser to the Issuer(s) 0 16 2021-01-06 Trustee Clifford Chance LLP CHANCE LAI Legal Adviser to the Issuer(s) 0 16 2021-01-06 Trustee Mattos Filho Veiga Filho Marre MATTOS LAI Legal Adviser to the Issuer(s) 0 16 2021-01-06 Trustee Milbank LLP MILLLP LAM Legal Adviser(s) to the Manage 0 16 2021-01-06 Trustee Tozzini Freire Teixeira e Silv TOZZIN LAM Legal Adviser(s) to the Manage 0 16 2021-01-06 ESG Assurance Provider Sustainalytics BV SUSANA SNPC 2nd Party Consultant 0 30 2021-01-06</t>
  </si>
  <si>
    <t>Traton SE</t>
  </si>
  <si>
    <t>BN4942759</t>
  </si>
  <si>
    <t>BBG00YVH5S33</t>
  </si>
  <si>
    <t>TRAGR</t>
  </si>
  <si>
    <t>2021-03-03</t>
  </si>
  <si>
    <t>2028-03-03</t>
  </si>
  <si>
    <t>Transportation &amp; Logistics</t>
  </si>
  <si>
    <t>Transportation</t>
  </si>
  <si>
    <t>Transportation Services</t>
  </si>
  <si>
    <t>SUSTAINABILITY-LINKED SCHULDSCHEIN. TWO SETTLEMENT DATES: EUR 275MM ON 3/3/21 &amp; EUR 425MM ON  6/23/21.</t>
  </si>
  <si>
    <t>Bookrunner Landesbank Baden-Wuerttemberg LBBW JLMB Joint Lead Managers-Books 0 4 2021-06-23 Bookrunner SEB SEB JLMB Joint Lead Managers-Books 0 4 2021-06-23 Bookrunner UniCredit Bank AG UNICRD JLMB Joint Lead Managers-Books 0 4 2021-06-23 Bookrunner Landesbank Baden-Wuerttemberg LBBW JLMB Joint Lead Managers-Books 0 1 2021-03-03 Bookrunner SEB SEB JLMB Joint Lead Managers-Books 0 1 2021-03-03 Bookrunner UniCredit Bank AG UNICRD JLMB Joint Lead Managers-Books 0 1 2021-03-03</t>
  </si>
  <si>
    <t>BN4943351</t>
  </si>
  <si>
    <t>BBG00YVH6LR1</t>
  </si>
  <si>
    <t>2026-03-03</t>
  </si>
  <si>
    <t>SUSTAINABILITY-LINKED SCHULDSCHEIN. TWO SETTLEMENT DATES: EUR 275MM ON 3/3/21 &amp; EUR 425MM ON 6/23/21.</t>
  </si>
  <si>
    <t>BN4943443</t>
  </si>
  <si>
    <t>BBG00YVH6M44</t>
  </si>
  <si>
    <t>2024-03-03</t>
  </si>
  <si>
    <t>Simpar Europe SA</t>
  </si>
  <si>
    <t>BN5372337</t>
  </si>
  <si>
    <t>BBG00YXM2H28</t>
  </si>
  <si>
    <t>SIMHBZ</t>
  </si>
  <si>
    <t>2021-01-20</t>
  </si>
  <si>
    <t>2031-01-26</t>
  </si>
  <si>
    <t>BB-</t>
  </si>
  <si>
    <t>STEP-UP MARGIN: 25BP, STEP-UP EVENT: MISSING THE SUSTAINABILITY PERFORMANCE TARGET. QIB/QP ONLY-SEE RESTRICTIONS IN OM. NON-COMPLIANT PURCH</t>
  </si>
  <si>
    <t>Bookrunner Banco Santander (US) SANTAN JLMB Joint Lead Managers-Books 0 1 2021-01-14 Bookrunner BTG Pactual US Capital Corp BTGPAC JLMB Joint Lead Managers-Books 0 1 2021-01-14 Bookrunner JP Morgan JPM JLMB Joint Lead Managers-Books 0 1 2021-01-14 Bookrunner Morgan Stanley MS JLMB Joint Lead Managers-Books 0 1 2021-01-14 Bookrunner UBS Securities LLC UBS JLMB Joint Lead Managers-Books 0 1 2021-01-14 Trustee Milbank LLP MILLLP LAI Legal Adviser to the Issuer(s) 0 16 2021-01-14 ESG Assurance Provider ISS-oekom ISSOEK SNPC 2nd Party Consultant 0 30 2021-01-14</t>
  </si>
  <si>
    <t>BN5372345</t>
  </si>
  <si>
    <t>BBG00YXM2HB8</t>
  </si>
  <si>
    <t>STEP-UP MARGIN: 25BP, STEP-UP EVENT: MISSING THE SUSTAINABILITY PERFORMANCE TARGET.ISS'D UNDER 3C7. QIB/QP ONLY-SEE RESTRICTIONS IN OM. NON-COMPLIANT PURCH</t>
  </si>
  <si>
    <t>Regit Eins GmbH</t>
  </si>
  <si>
    <t>BN6486508</t>
  </si>
  <si>
    <t>BBG00YZBXP73</t>
  </si>
  <si>
    <t>TMVGR</t>
  </si>
  <si>
    <t>2021-03-04</t>
  </si>
  <si>
    <t>2031-03-04</t>
  </si>
  <si>
    <t>Communications</t>
  </si>
  <si>
    <t>Internet Media</t>
  </si>
  <si>
    <t>Consumer Cyc Services</t>
  </si>
  <si>
    <t>ESG-LINKED SCHULDSCHEIN. SUSTAINABILITY PRICING ADJUSTMENT: -5BPS IF ESG SCORE &gt;60.3; +5BPS IF ESG SCORE &lt;51.5</t>
  </si>
  <si>
    <t>Bookrunner Commerzbank COBA JLMB Joint Lead Managers-Books 0 1 2021-03-04 Bookrunner ING Bank NV Niederlassung ING JLMB Joint Lead Managers-Books 0 1 2021-03-04 Bookrunner Landesbank Baden-Wuerttemberg LBBW JLMB Joint Lead Managers-Books 0 1 2021-03-04 Trustee Landesbank Baden-Wuerttemberg LBBW PAAG Paying Agent(s) 0 7 2021-03-04</t>
  </si>
  <si>
    <t>BN6486912</t>
  </si>
  <si>
    <t>BBG00YZBY9K3</t>
  </si>
  <si>
    <t>2028-03-04</t>
  </si>
  <si>
    <t>Bookrunner Commerzbank COBA JLMB Joint Lead Managers-Books 0 1 2021-03-04 Bookrunner ING Bank NV Niederlassung ING JLMB Joint Lead Managers-Books 0 1 2021-03-04 Bookrunner Landesbank Baden-Wuerttemberg LBBW JLMB Joint Lead Managers-Books 0 1 2021-03-04</t>
  </si>
  <si>
    <t>BN6486920</t>
  </si>
  <si>
    <t>BBG00YZBY9M1</t>
  </si>
  <si>
    <t>2026-03-04</t>
  </si>
  <si>
    <t>BN6486938</t>
  </si>
  <si>
    <t>BBG00YZBY9S5</t>
  </si>
  <si>
    <t>2024-03-04</t>
  </si>
  <si>
    <t>Movida Europe SA</t>
  </si>
  <si>
    <t>BN7992819</t>
  </si>
  <si>
    <t>BBG00Z2XHXL3</t>
  </si>
  <si>
    <t>MOVIBZ</t>
  </si>
  <si>
    <t>2021-02-08</t>
  </si>
  <si>
    <t>2031-02-08</t>
  </si>
  <si>
    <t>Retail - Consumer Discretionary</t>
  </si>
  <si>
    <t>STEP-UP MARGIN: 25BP, STEP-UP EVENT: DEC 2025 GREENHOUSE GAS EMISSIONS</t>
  </si>
  <si>
    <t>Bookrunner Banco BTG Pactual SA/Cayman Is BTG JLMB Joint Lead Managers-Books 0 4 2021-09-08 Bookrunner Citigroup Global Markets Inc CITI JLMB Joint Lead Managers-Books 0 4 2021-09-08 Bookrunner Itau BBA USA Securities Inc ITAU JLMB Joint Lead Managers-Books 0 4 2021-09-08 Bookrunner JP Morgan Securities JPM JLMB Joint Lead Managers-Books 0 4 2021-09-08 Bookrunner Morgan Stanley &amp; Co Inc MS JLMB Joint Lead Managers-Books 0 4 2021-09-08 Bookrunner Santander Investment Securitie SANTAN JLMB Joint Lead Managers-Books 0 4 2021-09-08 Bookrunner UBS Securities LLC UBS JLMB Joint Lead Managers-Books 0 4 2021-09-08 Bookrunner XP Investimentos CCTVM SA XPINVE JLMB Joint Lead Managers-Books 0 4 2021-09-08 #N/A N/A Mattos Filho Veiga Filho Marre MATTOS LAI Legal Adviser to the Issuer(s) 0 17 2021-09-08 Bookrunner Banco BTG Pactual SA/Cayman Is BTG JLMB Joint Lead Managers-Books 62500 1 2021-01-28 Bookrunner Citigroup Inc CITI JLMB Joint Lead Managers-Books 62500 1 2021-01-28 Bookrunner Itau BBA USA Securities Inc ITAU JLMB Joint Lead Managers-Books 62500 1 2021-01-28 Bookrunner JP Morgan Securities JPM JLMB Joint Lead Managers-Books 62500 1 2021-01-28 Bookrunner Morgan Stanley MS JLMB Joint Lead Managers-Books 62500 1 2021-01-28 Bookrunner Santander Investment Securitie SANTAN JLMB Joint Lead Managers-Books 62500 1 2021-01-28 Bookrunner UBS Securities LLC UBS JLMB Joint Lead Managers-Books 62500 1 2021-01-28 Bookrunner XP Investimentos CCTVM SA XPINVE JLMB Joint Lead Managers-Books 62500 1 2021-01-28 NonBookrunner Itau BBA USA Securities Inc ITAU ESGA ESG Agent 0 1 2021-01-28 NonBookrunner JP Morgan Securities LLC JPM ESGA ESG Agent 0 1 2021-01-28 Trustee Bank of New York Mellon BNYM PAAG Paying Agent(s) 0 7 2021-01-28 Trustee Bank of New York Mellon BNYM TRST Trustee(s) 0 7 2021-01-28 Trustee Bank of New York Mellon BNYM TRNS Transfer Agent(s) 0 7 2021-01-28 Trustee Bank of New York Mellon BNYM RGST Registrar(s) 0 7 2021-01-28 Trustee Mattos Filho Veiga Filho Marre MATTOS LAI Legal Adviser to the Issuer(s) 0 16 2021-01-28 Trustee Milbank LLP MILLLP LAI Legal Adviser to the Issuer(s) 0 16 2021-01-28 Trustee Cleary Gottlieb Steen &amp; Hamilt CGS&amp;H LAM Legal Adviser(s) to the Manage 0 16 2021-01-28 Trustee Machado Meyer Sendacz e Opice MACHAD LAM Legal Adviser(s) to the Manage 0 16 2021-01-28 ESG Assurance Provider ISS-oekom ISSOEK SNPC 2nd Party Consultant 0 30 2021-01-28</t>
  </si>
  <si>
    <t>BN7992835</t>
  </si>
  <si>
    <t>BBG00Z2XHXQ8</t>
  </si>
  <si>
    <t>Bookrunner Banco BTG Pactual SA/Cayman Is BTG JLMB Joint Lead Managers-Books 62500 1 2021-01-28 Bookrunner Citigroup Global Markets Inc CITI JLMB Joint Lead Managers-Books 62500 1 2021-01-28 Bookrunner Itau BBA USA Securities Inc ITAU JLMB Joint Lead Managers-Books 62500 1 2021-01-28 Bookrunner JP Morgan Securities JPM JLMB Joint Lead Managers-Books 62500 1 2021-01-28 Bookrunner Morgan Stanley &amp; Co Inc MS JLMB Joint Lead Managers-Books 62500 1 2021-01-28 Bookrunner Santander Investment Securitie SANTAN JLMB Joint Lead Managers-Books 62500 1 2021-01-28 Bookrunner UBS Securities LLC UBS JLMB Joint Lead Managers-Books 62500 1 2021-01-28 Bookrunner XP Investimentos CCTVM SA XPINVE JLMB Joint Lead Managers-Books 62500 1 2021-01-28 Trustee Mattos Filho Veiga Filho Marre MATTOS LAI Legal Adviser to the Issuer(s) 0 16 2021-01-28 Trustee Milbank LLP MILLLP LAI Legal Adviser to the Issuer(s) 0 16 2021-01-28 Trustee Cleary Gottlieb Steen &amp; Hamilt CGS&amp;H LAM Legal Adviser(s) to the Manage 0 16 2021-01-28 Trustee Machado Meyer Sendacz e Opice MACHAD LAM Legal Adviser(s) to the Manage 0 16 2021-01-28 ESG Assurance Provider ISS-oekom ISSOEK SNPC 2nd Party Consultant 0 30 2021-01-28</t>
  </si>
  <si>
    <t>Vossloh AG</t>
  </si>
  <si>
    <t>BN9200765</t>
  </si>
  <si>
    <t>BBG00Z5H8Z12</t>
  </si>
  <si>
    <t>VOSGR</t>
  </si>
  <si>
    <t>2021-02-23</t>
  </si>
  <si>
    <t>PERP/CALL</t>
  </si>
  <si>
    <t>Subordinated</t>
  </si>
  <si>
    <t>VARIABLE</t>
  </si>
  <si>
    <t>Bookrunner Jefferies International Ltd JEFF JLMB Joint Lead Managers-Books 0 1 2021-02-15 Bookrunner MM Warburg &amp; CO KGaA MMWARB JLMB Joint Lead Managers-Books 0 1 2021-02-15 Trustee White &amp; Case LLP W&amp;C LAM Legal Adviser(s) to the Manage 0 16 2021-02-15</t>
  </si>
  <si>
    <t>Constellium SE</t>
  </si>
  <si>
    <t>BN9953066</t>
  </si>
  <si>
    <t>BBG00Z6PNZ07</t>
  </si>
  <si>
    <t>CSTM</t>
  </si>
  <si>
    <t>2021-02-24</t>
  </si>
  <si>
    <t>2029-04-15</t>
  </si>
  <si>
    <t>B</t>
  </si>
  <si>
    <t>STEP-UP MARGIN: 12.5BP(04/2026), 12.5BP(04/2027), STEP-UP EVENT: FAILURE TO MEET 04/2026 AND 04/2027 SUSTAINABILITY PERFORMACE TARGET</t>
  </si>
  <si>
    <t>Bookrunner Barclays Capital BCLY JLMB Joint Lead Managers-Books 0 1 2021-02-09 Bookrunner BNP Paribas/New York BNPPAR JLMB Joint Lead Managers-Books 0 1 2021-02-09 Bookrunner Citigroup Global Markets Inc CITI JLMB Joint Lead Managers-Books 0 1 2021-02-09 Bookrunner Credit Suisse CS JLMB Joint Lead Managers-Books 0 1 2021-02-09 Bookrunner Deutsche Bank Securities Inc DB JLMB Joint Lead Managers-Books 0 1 2021-02-09 Bookrunner Goldman Sachs GS JLMB Joint Lead Managers-Books 0 1 2021-02-09 Bookrunner Societe Generale SG JLMB Joint Lead Managers-Books 0 1 2021-02-09 Bookrunner Wells Fargo Securities LLC WFS JLMB Joint Lead Managers-Books 0 1 2021-02-09 NonBookrunner IMI - Intesa Sanpaolo IMI CM Co-Manager(s) 0 1 2021-02-09 NonBookrunner Ramirez &amp; Co Inc RAM CM Co-Manager(s) 0 1 2021-02-09 Bookrunner Deutsche Bank Securities Inc DB LEFT Left Lead 0 1 2021-02-09 Trustee Deutsche Bank Trust Company Am DB PAAG Paying Agent(s) 0 7 2021-02-09 Trustee Deutsche Bank Trust Company Am DB TRST Trustee(s) 0 7 2021-02-09 Trustee Deutsche Bank Trust Company Am DB RGST Registrar(s) 0 7 2021-02-09 Trustee Clifford Chance LLP CHANCE LAI Legal Adviser to the Issuer(s) 0 16 2021-02-09 Trustee Wachtell Lipton Rosen &amp; Katz WLR&amp;K LAI Legal Adviser to the Issuer(s) 0 16 2021-02-09 Trustee Walder Wyss &amp; Partner AG WALDER LAI Legal Adviser to the Issuer(s) 0 16 2021-02-09 Trustee Latham &amp; Watkins LLP LATHAM LAM Legal Adviser(s) to the Manage 0 16 2021-02-09 ESG Assurance Provider Sustainalytics BV SUSANA SNPC 2nd Party Consultant 0 30 2021-02-09</t>
  </si>
  <si>
    <t>BN9953165</t>
  </si>
  <si>
    <t>BBG00Z6PNZG0</t>
  </si>
  <si>
    <t>Bookrunner Barclays Capital BCLY JLMB Joint Lead Managers-Books 0 1 2021-02-09 Bookrunner BNP Paribas/New York BNPPAR JLMB Joint Lead Managers-Books 0 1 2021-02-09 Bookrunner Citigroup Global Markets Inc CITI JLMB Joint Lead Managers-Books 0 1 2021-02-09 Bookrunner Credit Suisse CS JLMB Joint Lead Managers-Books 0 1 2021-02-09 Bookrunner Deutsche Bank Securities Inc DB JLMB Joint Lead Managers-Books 0 1 2021-02-09 Bookrunner Goldman Sachs GS JLMB Joint Lead Managers-Books 0 1 2021-02-09 Bookrunner Societe Generale SG JLMB Joint Lead Managers-Books 0 1 2021-02-09 Bookrunner Wells Fargo Securities LLC WFS JLMB Joint Lead Managers-Books 0 1 2021-02-09 NonBookrunner IMI - Intesa Sanpaolo IMI CM Co-Manager(s) 0 1 2021-02-09 NonBookrunner Ramirez &amp; Co Inc RAM CM Co-Manager(s) 0 1 2021-02-09 Bookrunner Deutsche Bank Securities Inc DB LEFT Left Lead 0 1 2021-02-09 Trustee Deutsche Bank Trust Company Am DB PAAG Paying Agent(s) 0 7 2021-02-09 Trustee Deutsche Bank Trust Company Am DB TRST Trustee(s) 0 7 2021-02-09 Trustee Deutsche Bank Trust Company Am DB RGST Registrar(s) 0 7 2021-02-09 Trustee Clifford Chance LLP CHANCE LAI Legal Adviser to the Issuer(s) 0 16 2021-02-09 Trustee Wachtell Lipton Rosen &amp; Katz WLR&amp;K LAI Legal Adviser to the Issuer(s) 0 16 2021-02-09 Trustee Walder Wyss &amp; Partner AG WALDER LAI Legal Adviser to the Issuer(s) 0 16 2021-02-09 Trustee Latham &amp; Watkins LLP LATHAM LAM Legal Adviser(s) to the Manage 0 16 2021-02-09</t>
  </si>
  <si>
    <t>Grupo Pikolin SL</t>
  </si>
  <si>
    <t>BO0411690</t>
  </si>
  <si>
    <t>BBG00Z82GV30</t>
  </si>
  <si>
    <t>2021-02-25</t>
  </si>
  <si>
    <t>2025-02-25</t>
  </si>
  <si>
    <t>Bookrunner Beka Finance SV SA BEKA JLMB Joint Lead Managers-Books 0 4 2021-11-24 Bookrunner Sociedad de Valores SOCVAL JLMB Joint Lead Managers-Books 0 4 2021-11-24 NonBookrunner PKF Attest Debt Capital Market PKFATT GLCO Global Coordinator(s) 0 4 2021-11-24 Bookrunner Beka Finance SV SA BEKA JLMB Joint Lead Managers-Books 0 4 2021-04-12 Bookrunner PKF Attest Debt Capital Market PKFATT JLMB Joint Lead Managers-Books 0 4 2021-04-12 Bookrunner Beka Finance SV SA BEKA JLMB Joint Lead Managers-Books 0 1 2021-02-22 Bookrunner Bestinver SA BSTINV JLMB Joint Lead Managers-Books 0 1 2021-02-22 Bookrunner PKF Attest Debt Capital Market PKFATT JLMB Joint Lead Managers-Books 0 1 2021-02-22 ESG Assurance Provider Vigeo SASV VIGEO SNPC 2nd Party Consultant 0 30 2021-02-22</t>
  </si>
  <si>
    <t>H&amp;M Finance BV</t>
  </si>
  <si>
    <t>BO0866331</t>
  </si>
  <si>
    <t>BBG00Z8WZ932</t>
  </si>
  <si>
    <t>HMBSS</t>
  </si>
  <si>
    <t>NL</t>
  </si>
  <si>
    <t>SE</t>
  </si>
  <si>
    <t>2029-08-25</t>
  </si>
  <si>
    <t>STEP-UP MARGIN: AUG 2026 MAX 25BP, STEP-UP EVENT: REF YEAR 2025 RECYCLED MATERIALS PERCENTAGE</t>
  </si>
  <si>
    <t>Bookrunner BNP Paribas BNPP JLMB Joint Lead Managers-Books 0 1 2021-02-18 Bookrunner Commerzbank COBA JLMB Joint Lead Managers-Books 0 1 2021-02-18 Bookrunner Danske Bank DANSKE JLMB Joint Lead Managers-Books 0 1 2021-02-18 Bookrunner SEB SEB JLMB Joint Lead Managers-Books 0 1 2021-02-18 Bookrunner Standard Chartered Bank AG SCB JLMB Joint Lead Managers-Books 0 1 2021-02-18 NonBookrunner Commerzbank COBA DLR Dealer(s) 0 1 2021-02-18 Trustee BNP Paribas Securities Service BNPSEC PAAG Paying Agent(s) 0 7 2021-02-18 Trustee BNP Paribas Securities Service BNPSEC TRNS Transfer Agent(s) 0 7 2021-02-18 Trustee BNP Paribas Securities Service BNPSEC RGST Registrar(s) 0 7 2021-02-18 Trustee NautaDutilh DUTILH LAI Legal Adviser to the Issuer(s) 0 16 2021-02-18 Trustee White &amp; Case LLP WC1 LAI Legal Adviser to the Issuer(s) 0 16 2021-02-18 Trustee White &amp; Case Advokat AB WHADVO LAI Legal Adviser to the Issuer(s) 0 16 2021-02-18 Trustee Allen &amp; Overy LLP ALLOVR LAM Legal Adviser(s) to the Manage 0 16 2021-02-18 ESG Assurance Provider Sustainalytics BV SUSANA SNPC 2nd Party Consultant 0 30 2021-02-18</t>
  </si>
  <si>
    <t>Jenoptik AG</t>
  </si>
  <si>
    <t>BO2270474</t>
  </si>
  <si>
    <t>BBG00ZF12DL9</t>
  </si>
  <si>
    <t>JENGR</t>
  </si>
  <si>
    <t>2021-03-31</t>
  </si>
  <si>
    <t>2031-03-31</t>
  </si>
  <si>
    <t>Technology</t>
  </si>
  <si>
    <t>Hardware</t>
  </si>
  <si>
    <t>ESG-LINKED &amp; MULTI-CURRENCY SCHULDSCHEIN EUR350MM/USD 59MM. DEAL SIZE EQUIV TO EUR 400MM. TWO SETTLEMENT DATES: 03/31/21 FOR EUR 130MM &amp; 09/30/21 FOR EUR270MM.</t>
  </si>
  <si>
    <t>Bookrunner BNP Paribas/Frankfurt BNP JLMB Joint Lead Managers-Books 0 4 2021-09-30 Bookrunner DZ Bank DZBK JLMB Joint Lead Managers-Books 0 4 2021-09-30 Bookrunner Landesbank Hessen-Thuringen Gi HELABA JLMB Joint Lead Managers-Books 0 4 2021-09-30 Bookrunner BNP Paribas/Frankfurt BNP JLMB Joint Lead Managers-Books 0 1 2021-03-31 Bookrunner DZ Bank DZBK JLMB Joint Lead Managers-Books 0 1 2021-03-31 Bookrunner Landesbank Hessen-Thuringen Gi HELABA JLMB Joint Lead Managers-Books 0 1 2021-03-31</t>
  </si>
  <si>
    <t>BO2287999</t>
  </si>
  <si>
    <t>BBG00ZF1CX70</t>
  </si>
  <si>
    <t>2028-03-31</t>
  </si>
  <si>
    <t>BO2288013</t>
  </si>
  <si>
    <t>BBG00ZF1CXH9</t>
  </si>
  <si>
    <t>2026-03-31</t>
  </si>
  <si>
    <t>ESG-LINKED &amp; MULTI-CURRENCY SCHULDSCHEIN EUR350MM/USD59MM. DEAL SIZE EQUIV TO EUR 400MM. TWO SETTLEMENT DATES: 03/31/21 FOR EUR 130MM &amp; 09/30/21 FOR EUR270MM.</t>
  </si>
  <si>
    <t>BO2288021</t>
  </si>
  <si>
    <t>BBG00ZF1CXT6</t>
  </si>
  <si>
    <t>5YUS</t>
  </si>
  <si>
    <t>Qtrly</t>
  </si>
  <si>
    <t>Bookrunner BNP Paribas/Frankfurt BNP JLMB Joint Lead Managers-Books 0 1 2021-03-31 Bookrunner DZ Bank DZBK JLMB Joint Lead Managers-Books 0 1 2021-03-31 Bookrunner Landesbank Hessen-Thuringen Gi HELABA JLMB Joint Lead Managers-Books 0 1 2021-03-31</t>
  </si>
  <si>
    <t>BO2288039</t>
  </si>
  <si>
    <t>BBG00ZF1CY41</t>
  </si>
  <si>
    <t>2024-03-31</t>
  </si>
  <si>
    <t>BO4001745</t>
  </si>
  <si>
    <t>BBG00ZJXLT93</t>
  </si>
  <si>
    <t>BO4001760</t>
  </si>
  <si>
    <t>BBG00ZJXLTD8</t>
  </si>
  <si>
    <t>BO4001778</t>
  </si>
  <si>
    <t>BBG00ZJXLTH4</t>
  </si>
  <si>
    <t>SUSTAINABILITY-LINKED SCHULDSCHEIN. DEAL SIZE EUR 700MM. TWO SETTLEMENT DATES: EUR 275MM ON 3/3/21 &amp; EUR 425MM ON 06/23/21.</t>
  </si>
  <si>
    <t>Public Power Corp SA</t>
  </si>
  <si>
    <t>BO4570236</t>
  </si>
  <si>
    <t>BBG00ZKVGW85</t>
  </si>
  <si>
    <t>PPCGA</t>
  </si>
  <si>
    <t>GR</t>
  </si>
  <si>
    <t>2021-03-18</t>
  </si>
  <si>
    <t>2026-03-30</t>
  </si>
  <si>
    <t>B+</t>
  </si>
  <si>
    <t>Agency</t>
  </si>
  <si>
    <t>Government Owned, No Guarantee</t>
  </si>
  <si>
    <t>STEP-UP MARGIN: 50BP, STEP-UP EVENT: FAILURE TO REDUCE ISSUER'S CO2 EMISSIONS BY 40% BY DEC-22, FROM 2019 BASE YEAR.</t>
  </si>
  <si>
    <t>Bookrunner Alpha Bank AE ALPHA JLMB Joint Lead Managers-Books 0 4 2021-03-22 Bookrunner Ambrosia Capital Ltd/United Ki AMBCAP JLMB Joint Lead Managers-Books 0 4 2021-03-22 Bookrunner Axia Advisors LLC AXIA JLMB Joint Lead Managers-Books 0 4 2021-03-22 Bookrunner Citi CITI JLMB Joint Lead Managers-Books 0 4 2021-03-22 Bookrunner Credit Suisse CS JLMB Joint Lead Managers-Books 0 4 2021-03-22 Bookrunner Eurobank Ergasias SA EUROB JLMB Joint Lead Managers-Books 0 4 2021-03-22 Bookrunner Goldman Sachs Bank Europe Plc GOLEUR JLMB Joint Lead Managers-Books 0 4 2021-03-22 Bookrunner HSBC HSBC JLMB Joint Lead Managers-Books 0 4 2021-03-22 Bookrunner JP Morgan JPM JLMB Joint Lead Managers-Books 0 4 2021-03-22 Bookrunner National Bank of Greece NBG JLMB Joint Lead Managers-Books 0 4 2021-03-22 Bookrunner Piraeus Bank PIRAEU JLMB Joint Lead Managers-Books 0 4 2021-03-22 NonBookrunner Citi CITI GLCO Global Coordinator(s) 0 4 2021-03-22 NonBookrunner Goldman Sachs Bank Europe Plc GOLEUR GLCO Global Coordinator(s) 0 4 2021-03-22 NonBookrunner HSBC HSBC GLCO Global Coordinator(s) 0 4 2021-03-22 Bookrunner Alpha Bank AE ALPHA JLMB Joint Lead Managers-Books 0 1 2021-03-11 Bookrunner Ambrosia Capital Ltd/United Ki AMBCAP JLMB Joint Lead Managers-Books 0 1 2021-03-11 Bookrunner Axia Advisors LLC AXIA JLMB Joint Lead Managers-Books 0 1 2021-03-11 Bookrunner Citi CITI JLMB Joint Lead Managers-Books 0 1 2021-03-11 Bookrunner Credit Suisse CS JLMB Joint Lead Managers-Books 0 1 2021-03-11 Bookrunner Eurobank Ergasias SA EUROB JLMB Joint Lead Managers-Books 0 1 2021-03-11 Bookrunner Goldman Sachs Bank Europe Plc GOLEUR JLMB Joint Lead Managers-Books 0 1 2021-03-11 Bookrunner HSBC HSBC JLMB Joint Lead Managers-Books 0 1 2021-03-11 Bookrunner JP Morgan JPM JLMB Joint Lead Managers-Books 0 1 2021-03-11 Bookrunner National Bank of Greece NBG JLMB Joint Lead Managers-Books 0 1 2021-03-11 Bookrunner Piraeus Bank PIRAEU JLMB Joint Lead Managers-Books 0 1 2021-03-11 NonBookrunner Citi CITI GLCO Global Coordinator(s) 0 1 2021-03-11 NonBookrunner Goldman Sachs Bank Europe Plc GOLEUR GLCO Global Coordinator(s) 0 1 2021-03-11 NonBookrunner HSBC HSBC GLCO Global Coordinator(s) 0 1 2021-03-11 Trustee HSBC HSBC STRA Structuring Agent(s) 0 7 2021-03-11 Trustee Milbank LLP MILLLP LAI Legal Adviser to the Issuer(s) 0 16 2021-03-11 Trustee Latham &amp; Watkins LLP LATHAM LAM Legal Adviser(s) to the Manage 0 16 2021-03-11 ESG Assurance Provider Sustainalytics BV SUSANA SNPC 2nd Party Consultant 0 30 2021-03-11</t>
  </si>
  <si>
    <t>Koninklijke Ahold Delhaize NV</t>
  </si>
  <si>
    <t>BO5182908</t>
  </si>
  <si>
    <t>BBG00ZLG9PY1</t>
  </si>
  <si>
    <t>ADNA</t>
  </si>
  <si>
    <t>2030-03-18</t>
  </si>
  <si>
    <t>AA</t>
  </si>
  <si>
    <t>Consumer Staples</t>
  </si>
  <si>
    <t>Supermarkets &amp; Pharmacies</t>
  </si>
  <si>
    <t>Supermarkets</t>
  </si>
  <si>
    <t>STEP-UP MARGIN: 25 BP FROM MARCH 2026, STEP-UP EVENT: CARBON EMISSION REDUCTION - CO2 EMISSION REDUCTION - FOOD WASTE REDUCTION</t>
  </si>
  <si>
    <t>Bookrunner BNP Paribas BNPP JLMB Joint Lead Managers-Books 0 1 2021-03-11 Bookrunner BofA Securities BofA JLMB Joint Lead Managers-Books 0 1 2021-03-11 Bookrunner Deutsche Bank DB JLMB Joint Lead Managers-Books 0 1 2021-03-11 Bookrunner Goldman Sachs Bank Europe Plc GOLEUR JLMB Joint Lead Managers-Books 0 1 2021-03-11 Bookrunner JP Morgan JPM JLMB Joint Lead Managers-Books 0 1 2021-03-11 Bookrunner Societe Generale SG JLMB Joint Lead Managers-Books 0 1 2021-03-11 Trustee Allen &amp; Overy LLP ALLOVR LAI Legal Adviser to the Issuer(s) 0 16 2021-03-11 ESG Assurance Provider Sustainalytics BV SUSANA SNPC 2nd Party Consultant 0 30 2021-03-11</t>
  </si>
  <si>
    <t>BO6681916</t>
  </si>
  <si>
    <t>BBG00ZQYMVS6</t>
  </si>
  <si>
    <t>2021-03-25</t>
  </si>
  <si>
    <t>2031-03-25</t>
  </si>
  <si>
    <t>D</t>
  </si>
  <si>
    <t>STEP UP: +10BPS IF ESG RATING(MSCI) FALLS TO BBB, +20BPS IF ESG RATING (MSCI) FALLS TO BB OR LOWER</t>
  </si>
  <si>
    <t>Bookrunner Bank Pekao SA PEKAO LMGR Lead Manager(s) 0 1 2021-03-18 Trustee Bank Pekao SA PEKAO CALC Calculation Agent(s) 0 7 2021-03-18</t>
  </si>
  <si>
    <t>Hapag-Lloyd AG</t>
  </si>
  <si>
    <t>BO7346857</t>
  </si>
  <si>
    <t>BBG00ZS90181</t>
  </si>
  <si>
    <t>HPLGR</t>
  </si>
  <si>
    <t>2021-04-06</t>
  </si>
  <si>
    <t>2028-04-15</t>
  </si>
  <si>
    <t>Bookrunner Credit Agricole CIB CACIB JLMB Joint Lead Managers-Books 0 1 2021-03-25 Bookrunner Deutsche Bank DB JLMB Joint Lead Managers-Books 0 1 2021-03-25 Bookrunner DZ Bank DZBK JLMB Joint Lead Managers-Books 0 1 2021-03-25 Bookrunner Goldman Sachs International GSI JLMB Joint Lead Managers-Books 0 1 2021-03-25 Bookrunner Joh Berenberg Gossler &amp; Co KG BEREN JLMB Joint Lead Managers-Books 0 1 2021-03-25 Bookrunner Societe Generale Corporate &amp; I SOCGEN JLMB Joint Lead Managers-Books 0 1 2021-03-25 Trustee Deutsche Bank AG London DB PAAG Paying Agent(s) 0 7 2021-03-25 Trustee Deutsche Trustee Co Ltd DBTRUS TRST Trustee(s) 0 7 2021-03-25 Trustee Deutsche Bank Luxembourg SA DB TRNS Transfer Agent(s) 0 7 2021-03-25 Trustee Deutsche Bank Luxembourg SA DB LIST Listing Agent(s) 0 7 2021-03-25 Trustee Deutsche Bank Luxembourg SA DB RGST Registrar(s) 0 7 2021-03-25 Trustee White &amp; Case LLP W&amp;C LAI Legal Adviser to the Issuer(s) 0 16 2021-03-25 Trustee Latham &amp; Watkins LATHAM LAM Legal Adviser(s) to the Manage 0 16 2021-03-25 Trustee Latham &amp; Watkins LLP LATHAM LAM Legal Adviser(s) to the Manage 0 16 2021-03-25</t>
  </si>
  <si>
    <t>Verbund AG</t>
  </si>
  <si>
    <t>BO7653054</t>
  </si>
  <si>
    <t>BBG00ZSJDM98</t>
  </si>
  <si>
    <t>VERAV</t>
  </si>
  <si>
    <t>2021-04-01</t>
  </si>
  <si>
    <t>2041-04-01</t>
  </si>
  <si>
    <t>A-</t>
  </si>
  <si>
    <t>STEP-UP MARGIN: 25BP, STEP-UP EVENT: RENEWABLES INSTALLED CAPACITY</t>
  </si>
  <si>
    <t>Bookrunner BofA Securities Europe SA BOFAS JLMB Joint Lead Managers-Books 0 1 2021-03-24 Bookrunner Erste Group Bank ERSTE JLMB Joint Lead Managers-Books 0 1 2021-03-24 Bookrunner JP Morgan Securities PLC JPM JLMB Joint Lead Managers-Books 0 1 2021-03-24 Bookrunner Morgan Stanley &amp; Co Internatio MS JLMB Joint Lead Managers-Books 0 1 2021-03-24 Bookrunner Societe Generale SG JLMB Joint Lead Managers-Books 0 1 2021-03-24 Trustee Citibank Europe PLC CITIFS PAAG Paying Agent(s) 0 7 2021-03-24 Trustee BofA Securities Europe SA BOFAS ESGA ESG Agent 0 7 2021-03-24 Trustee JP Morgan Securities PLC JPM ESGA ESG Agent 0 7 2021-03-24 Trustee Binder Grosswang Rechtsanwalte BINGRO LAI Legal Adviser to the Issuer(s) 0 16 2021-03-24 Trustee White &amp; Case LLP W&amp;C LAI Legal Adviser to the Issuer(s) 0 16 2021-03-24 Trustee Linklaters LLP/Germany LINK LAM Legal Adviser(s) to the Manage 0 16 2021-03-24 Trustee Schonherr Rechtsanwalte GmbH SCHREC LAM Legal Adviser(s) to the Manage 0 16 2021-03-24 ESG Assurance Provider ISS Corporate Solutions ISSCRP SNPC 2nd Party Consultant 0 30 2021-03-24</t>
  </si>
  <si>
    <t>BO8025047</t>
  </si>
  <si>
    <t>BBG00ZTHF257</t>
  </si>
  <si>
    <t>Bookrunner Credit Agricole CIB CACIB JLMB Joint Lead Managers-Books 0 1 2021-03-25 Bookrunner Deutsche Bank DB JLMB Joint Lead Managers-Books 0 1 2021-03-25 Bookrunner DZ Bank DZBK JLMB Joint Lead Managers-Books 0 1 2021-03-25 Bookrunner Goldman Sachs International GSI JLMB Joint Lead Managers-Books 0 1 2021-03-25 Bookrunner Joh Berenberg Gossler &amp; Co KG BEREN JLMB Joint Lead Managers-Books 0 1 2021-03-25 Bookrunner Societe Generale Corporate &amp; I SOCGEN JLMB Joint Lead Managers-Books 0 1 2021-03-25 Trustee Deutsche Bank AG London DB PAAG Paying Agent(s) 0 7 2021-03-25 Trustee Deutsche Trustee Co Ltd DBTRUS TRST Trustee(s) 0 7 2021-03-25 Trustee Deutsche Bank Luxembourg SA DB TRNS Transfer Agent(s) 0 7 2021-03-25 Trustee Deutsche Bank Luxembourg SA DB LIST Listing Agent(s) 0 7 2021-03-25 Trustee Deutsche Bank Luxembourg SA DB RGST Registrar(s) 0 7 2021-03-25 Trustee White &amp; Case LLP W&amp;C LAI Legal Adviser to the Issuer(s) 0 16 2021-03-25 Trustee Clifford Chance LLP CHANCE LAT Legal Adviser(s) to the Truste 0 16 2021-03-25 Trustee Latham &amp; Watkins LATHAM LAM Legal Adviser(s) to the Manage 0 16 2021-03-25 Trustee Latham &amp; Watkins LLP LATHAM LAM Legal Adviser(s) to the Manage 0 16 2021-03-25 ESG Assurance Provider DNV GL Group AS DNVGI SNPC 2nd Party Consultant 0 30 2021-03-25</t>
  </si>
  <si>
    <t>PCF GmbH</t>
  </si>
  <si>
    <t>BP0490451</t>
  </si>
  <si>
    <t>BBG0100PLMM6</t>
  </si>
  <si>
    <t>PFLEID</t>
  </si>
  <si>
    <t>2021-04-22</t>
  </si>
  <si>
    <t>2026-04-15</t>
  </si>
  <si>
    <t>Secured</t>
  </si>
  <si>
    <t>STEP-UP MARGIN: 12.5BP, STEP-UP EVENT: DEC 2022 USE RECYCLED WOOD PRODUCTS 44% AND STEP-UP MARGIN: 12.5BP, EVENT: DEC 2022 REDUCTION GAS EMISSION TO 201670 TONS</t>
  </si>
  <si>
    <t>Bookrunner BofA Securities Europe SA BOFAS JLMB Joint Lead Managers-Books 0 1 2021-04-15 Bookrunner Credit Suisse Securities (Euro CS JLMB Joint Lead Managers-Books 0 1 2021-04-15 Bookrunner Deutsche Bank DB JLMB Joint Lead Managers-Books 0 1 2021-04-15 Bookrunner Goldman Sachs Bank Europe SE GS JLMB Joint Lead Managers-Books 0 1 2021-04-15 Bookrunner JP Morgan Securities PLC JPM JLMB Joint Lead Managers-Books 0 1 2021-04-15 Bookrunner Sociedad de Valores SOCVAL JLMB Joint Lead Managers-Books 0 1 2021-04-15 NonBookrunner Credit Suisse Securities (Euro CS GLCO Global Coordinator(s) 0 1 2021-04-15 NonBookrunner Goldman Sachs Bank Europe SE GS GLCO Global Coordinator(s) 0 1 2021-04-15 NonBookrunner Sociedad de Valores SOCVAL GLCO Global Coordinator(s) 0 1 2021-04-15</t>
  </si>
  <si>
    <t>BP0490469</t>
  </si>
  <si>
    <t>BBG0100PLMX4</t>
  </si>
  <si>
    <t>BP0490477</t>
  </si>
  <si>
    <t>BBG0100PLMZ2</t>
  </si>
  <si>
    <t>Bookrunner BofA Securities Europe SA BOFAS JLMB Joint Lead Managers-Books 0 1 2021-04-15 Bookrunner Credit Suisse Securities (Euro CS JLMB Joint Lead Managers-Books 0 1 2021-04-15 Bookrunner Deutsche Bank DB JLMB Joint Lead Managers-Books 0 1 2021-04-15 Bookrunner Goldman Sachs Bank Europe SE GS JLMB Joint Lead Managers-Books 0 1 2021-04-15 Bookrunner JP Morgan Securities PLC JPM JLMB Joint Lead Managers-Books 0 1 2021-04-15 NonBookrunner Credit Suisse Securities (Euro CS GLCO Global Coordinator(s) 0 1 2021-04-15 NonBookrunner Goldman Sachs Bank Europe SE GS GLCO Global Coordinator(s) 0 1 2021-04-15 NonBookrunner Sociedad de Valores SOCVAL GLCO Global Coordinator(s) 0 1 2021-04-15 Trustee Kirkland &amp; Ellis K&amp;E LAI Legal Adviser to the Issuer(s) 0 16 2021-04-15 ESG Assurance Provider ISS-oekom ISSOEK SNPC 2nd Party Consultant 0 30 2021-04-15</t>
  </si>
  <si>
    <t>BP0490485</t>
  </si>
  <si>
    <t>BBG0100PLN62</t>
  </si>
  <si>
    <t>Kelag-Kaerntner Elektrizitaets AG</t>
  </si>
  <si>
    <t>BP0568710</t>
  </si>
  <si>
    <t>BBG0100RC7S9</t>
  </si>
  <si>
    <t>KELAGG</t>
  </si>
  <si>
    <t>2021-04-16</t>
  </si>
  <si>
    <t>2041-04-16</t>
  </si>
  <si>
    <t>STEP-UP MARGIN: 50 BPS, STEP UP EVENT; ESG RATING &lt;68 IN REPORT 2026 &amp;/OR &lt;70 IN REPORT 2031, COUPON INCREASES ONCE IN AND FOR PERIOD ONLY</t>
  </si>
  <si>
    <t>Bookrunner UniCredit Bank Austria AG UCBA LMGR Lead Manager(s) 0 1 2021-04-12 Trustee Citibank Europe PLC CITIFS PAAG Paying Agent(s) 0 7 2021-04-12</t>
  </si>
  <si>
    <t>Berlin Hyp AG</t>
  </si>
  <si>
    <t>BP0671035</t>
  </si>
  <si>
    <t>BBG01015BGG0</t>
  </si>
  <si>
    <t>BHH</t>
  </si>
  <si>
    <t>2021-04-21</t>
  </si>
  <si>
    <t>2031-04-21</t>
  </si>
  <si>
    <t>Sr Preferred</t>
  </si>
  <si>
    <t>AA-</t>
  </si>
  <si>
    <t>Financials</t>
  </si>
  <si>
    <t>Consumer Finance</t>
  </si>
  <si>
    <t>Financial Institutions</t>
  </si>
  <si>
    <t>Banking</t>
  </si>
  <si>
    <t>SUSTAINABILITY-LINKED BOND, STEP-UP COUPON: 25BP, STEP-UP EVENT: CARBON REDUCTION UNTIL DEC 2030</t>
  </si>
  <si>
    <t>Bookrunner Commerzbank COBA JLMB Joint Lead Managers-Books 0 1 2021-04-13 Bookrunner Credit Agricole CIB CACIB JLMB Joint Lead Managers-Books 0 1 2021-04-13 Bookrunner DZ BANK AG Deutsche Zentral-Ge DZBKGE JLMB Joint Lead Managers-Books 0 1 2021-04-13 Bookrunner HSBC HSBC JLMB Joint Lead Managers-Books 0 1 2021-04-13 Bookrunner Landesbank Baden-Wuerttemberg LBBW JLMB Joint Lead Managers-Books 0 1 2021-04-13 NonBookrunner Bankhaus Lampe KG BHLAMP CLM Co-Lead Manager(s) 0 1 2021-04-13 Trustee Berlin-Hannoversche Hypotheken BHH PAAG Paying Agent(s) 0 7 2021-04-13 Trustee Berlin-Hannoversche Hypotheken BHH FISC Fiscal Agent(s) 0 7 2021-04-13 Trustee White &amp; Case LLP W&amp;C LAM Legal Adviser(s) to the Manage 0 16 2021-04-13 ESG Assurance Provider Sustainalytics BV SUSANA SNPC 2nd Party Consultant 0 30 2021-04-13</t>
  </si>
  <si>
    <t>Aeroporti di Roma SpA</t>
  </si>
  <si>
    <t>BP2016262</t>
  </si>
  <si>
    <t>BBG0107S0918</t>
  </si>
  <si>
    <t>ADRIT</t>
  </si>
  <si>
    <t>2021-04-30</t>
  </si>
  <si>
    <t>2031-07-30</t>
  </si>
  <si>
    <t>BBB-</t>
  </si>
  <si>
    <t>STEP-UP MARGIN: 12.5BP (1 SPT NOT MET) OR 19BP (2 SPTs NOT MET) OR 25BP (3 SPTs NOT MET). STEP-UP EVENT: CO2 EMISSIONS, ACA LEVEL 4+ MAINTENANCE</t>
  </si>
  <si>
    <t>Bookrunner Barclays BARCS JLMB Joint Lead Managers-Books 0 1 2021-04-22 Bookrunner BofA Securities BofA JLMB Joint Lead Managers-Books 0 1 2021-04-22 Bookrunner Credit Agricole CIB CACIB JLMB Joint Lead Managers-Books 0 1 2021-04-22 Bookrunner Goldman Sachs International GSI JLMB Joint Lead Managers-Books 0 1 2021-04-22 Bookrunner IMI - Intesa Sanpaolo IMI JLMB Joint Lead Managers-Books 0 1 2021-04-22 Bookrunner Mediobanca MEDBCA JLMB Joint Lead Managers-Books 0 1 2021-04-22 Bookrunner Societe Generale SG JLMB Joint Lead Managers-Books 0 1 2021-04-22 Bookrunner UniCredit UNICRD JLMB Joint Lead Managers-Books 0 1 2021-04-22 NonBookrunner BofA Securities BofA ESGA ESG Agent 0 1 2021-04-22 NonBookrunner Credit Agricole CIB CACIB ESGA ESG Agent 0 1 2021-04-22 Trustee Bank of New York Mellon/London BNY PAAG Paying Agent(s) 0 7 2021-04-22 Trustee BNY Mellon Corporate Trustee S BNYMEL TRST Trustee(s) 0 7 2021-04-22 Trustee Bank of New York Mellon/London BNY TRNS Transfer Agent(s) 0 7 2021-04-22 Trustee Walkers Listing Services Ltd WALLIS LIST Listing Agent(s) 0 7 2021-04-22 Trustee Bank of New York Mellon Luxemb BNYM RGST Registrar(s) 0 7 2021-04-22 Trustee Legance Avvocati Associati LSLA LAI Legal Adviser to the Issuer(s) 0 16 2021-04-22 Trustee White &amp; Case/Milan W&amp;C LAM Legal Adviser(s) to the Manage 0 16 2021-04-22 ESG Assurance Provider Sustainalytics BV SUSANA SNPC 2nd Party Consultant 0 30 2021-04-22</t>
  </si>
  <si>
    <t>Rexel SA</t>
  </si>
  <si>
    <t>BP2664129</t>
  </si>
  <si>
    <t>BBG010FN1YC2</t>
  </si>
  <si>
    <t>RXLFP</t>
  </si>
  <si>
    <t>2021-05-05</t>
  </si>
  <si>
    <t>2028-06-15</t>
  </si>
  <si>
    <t>Industrial Other</t>
  </si>
  <si>
    <t>STEP-UP MARGIN: 25BP. SPT 1: 23% REDUCTION IN SCOPE 3 GHG EMISSIONS; SPT 2: 23.7% REDUCTION IN SCOPE 1 &amp; 2 GHG EMISISONS BY 2023.</t>
  </si>
  <si>
    <t>Bookrunner Barclays BARCS JLMB Joint Lead Managers-Books 0 4 2021-05-07 Bookrunner Credit Agricole CIB CACIB JLMB Joint Lead Managers-Books 0 4 2021-05-07 Bookrunner HSBC HSBC JLMB Joint Lead Managers-Books 0 4 2021-05-07 Bookrunner Societe Generale SG JLMB Joint Lead Managers-Books 0 4 2021-05-07 Bookrunner Wells Fargo WFC JLMB Joint Lead Managers-Books 0 4 2021-05-07 NonBookrunner Banco Bilbao Vizcaya Argentari BBVA CLM Co-Lead Manager(s) 0 4 2021-05-07 NonBookrunner Natixis NATIX CLM Co-Lead Manager(s) 0 4 2021-05-07 NonBookrunner Credit Agricole CIB CACIB GLCO Global Coordinator(s) 0 4 2021-05-07 NonBookrunner HSBC HSBC GLCO Global Coordinator(s) 0 4 2021-05-07 NonBookrunner Societe Generale SG GLCO Global Coordinator(s) 0 4 2021-05-07 #N/A N/A Debevoise &amp; Plimpton/Paris DEBPLI LAI Legal Adviser to the Issuer(s) 0 17 2021-05-07 #N/A N/A Debevoise &amp; Plimpton/London D&amp;PL LAI Legal Adviser to the Issuer(s) 0 17 2021-05-07 #N/A N/A Hogan Lovells International LL LOVELL LAM Legal Adviser(s) to the Manage 0 17 2021-05-07 #N/A N/A Hogan Lovells Paris LLP HGLV LAM Legal Adviser(s) to the Manage 0 17 2021-05-07 Bookrunner Barclays BARCS JLMB Joint Lead Managers-Books 0 1 2021-04-27 Bookrunner Credit Agricole CIB CACIB JLMB Joint Lead Managers-Books 0 1 2021-04-27 Bookrunner HSBC HSBC JLMB Joint Lead Managers-Books 0 1 2021-04-27 Bookrunner Societe Generale SG JLMB Joint Lead Managers-Books 0 1 2021-04-27 Bookrunner Wells Fargo WFC JLMB Joint Lead Managers-Books 0 1 2021-04-27 NonBookrunner Banco Bilbao Vizcaya Argentari BBVA CLM Co-Lead Manager(s) 0 1 2021-04-27 NonBookrunner Natixis NATIX CLM Co-Lead Manager(s) 0 1 2021-04-27 NonBookrunner Credit Agricole CIB CACIB GLCO Global Coordinator(s) 0 1 2021-04-27 NonBookrunner HSBC HSBC GLCO Global Coordinator(s) 0 1 2021-04-27 NonBookrunner Societe Generale SG GLCO Global Coordinator(s) 0 1 2021-04-27 Trustee Bank of New York Mellon/London BNY PAAG Paying Agent(s) 0 7 2021-04-27 Trustee Bank of New York Mellon/London BNY TRST Trustee(s) 0 7 2021-04-27 Trustee Bank of New York Mellon SA-NV/ BANKOF TRNS Transfer Agent(s) 0 7 2021-04-27 Trustee Bank of New York Mellon SA-NV/ BANKOF LIST Listing Agent(s) 0 7 2021-04-27 Trustee Bank of New York Mellon SA-NV/ BANKOF RGST Registrar(s) 0 7 2021-04-27 Trustee Debevoise &amp; Plimpton/Paris DEBPLI LAI Legal Adviser to the Issuer(s) 0 16 2021-04-27 Trustee Debevoise &amp; Plimpton/London D&amp;PL LAI Legal Adviser to the Issuer(s) 0 16 2021-04-27 Trustee Hogan Lovells International LL LOVELL LAM Legal Adviser(s) to the Manage 0 16 2021-04-27 Trustee Hogan Lovells Paris LLP HGLV LAM Legal Adviser(s) to the Manage 0 16 2021-04-27 ESG Assurance Provider Vigeo SASV VIGEO SNPC 2nd Party Consultant 0 30 2021-04-27</t>
  </si>
  <si>
    <t>Herens Holdco Sarl</t>
  </si>
  <si>
    <t>BP2693730</t>
  </si>
  <si>
    <t>BBG010FNLMS9</t>
  </si>
  <si>
    <t>LNZING</t>
  </si>
  <si>
    <t>2021-05-14</t>
  </si>
  <si>
    <t>2028-05-15</t>
  </si>
  <si>
    <t>Chemicals</t>
  </si>
  <si>
    <t>STEP-UP MARGIN: 25BP, STEP-UP EVENT: MAY 2025 GREENHOUSE GAS EMISSIONS AND WASTE INTENSITY PERCENTAGE</t>
  </si>
  <si>
    <t>Bookrunner Credit Agricole Corporate &amp; In CACIB JLMB Joint Lead Managers-Books 0 1 2021-04-30 Bookrunner Credit Suisse Securities (Euro CS JLMB Joint Lead Managers-Books 0 1 2021-04-30 Bookrunner Deutsche Bank Securities Inc DB JLMB Joint Lead Managers-Books 0 1 2021-04-30 Bookrunner RBC Capital Markets RBCCM JLMB Joint Lead Managers-Books 0 1 2021-04-30 Bookrunner Societe Generale SG JLMB Joint Lead Managers-Books 0 1 2021-04-30 Bookrunner UBS AG UBS JLMB Joint Lead Managers-Books 0 1 2021-04-30 Bookrunner UniCredit Capital Markets Inc UNICRE JLMB Joint Lead Managers-Books 0 1 2021-04-30 NonBookrunner MUFG Securities Americas Inc MUFG CM Co-Manager(s) 0 1 2021-04-30 NonBookrunner NatWest Markets NWM CM Co-Manager(s) 0 1 2021-04-30 Bookrunner Deutsche Bank Securities Inc DB LEFT Left Lead 0 1 2021-04-30 Trustee Deutsche Bank Trust Co America DB PAAG Paying Agent(s) 0 7 2021-04-30 Trustee Deutsche Bank Trust Co America DB TRNS Transfer Agent(s) 0 7 2021-04-30 Trustee Deutsche Bank Trust Co America DB RGST Registrar(s) 0 7 2021-04-30 Trustee Allen &amp; Overy LLP ALLOVR LAM Legal Adviser(s) to the Manage 0 16 2021-04-30</t>
  </si>
  <si>
    <t>Herens Midco Sarl</t>
  </si>
  <si>
    <t>BP2693748</t>
  </si>
  <si>
    <t>BBG010FNLMV5</t>
  </si>
  <si>
    <t>2029-05-15</t>
  </si>
  <si>
    <t>CCC</t>
  </si>
  <si>
    <t>Bookrunner Credit Agricole Securities USA CASECS JLMB Joint Lead Managers-Books 0 1 2021-04-30 Bookrunner Credit Suisse CS JLMB Joint Lead Managers-Books 0 1 2021-04-30 Bookrunner Deutsche Bank Securities Inc DB JLMB Joint Lead Managers-Books 0 1 2021-04-30 Bookrunner RBC Capital Markets RBCCM JLMB Joint Lead Managers-Books 0 1 2021-04-30 Bookrunner Societe Generale SG JLMB Joint Lead Managers-Books 0 1 2021-04-30 Bookrunner UBS Securities LLC UBS JLMB Joint Lead Managers-Books 0 1 2021-04-30 Bookrunner UniCredit Capital Markets Inc UNICRE JLMB Joint Lead Managers-Books 0 1 2021-04-30 NonBookrunner MUFG Securities Americas Inc MUFG CM Co-Manager(s) 0 1 2021-04-30 NonBookrunner Natwest Bank NAT CM Co-Manager(s) 0 1 2021-04-30 Bookrunner Deutsche Bank Securities Inc DB LEFT Left Lead 0 1 2021-04-30 Trustee Deutsche Bank Trust Co America DB PAAG Paying Agent(s) 0 7 2021-04-30 Trustee Deutsche Bank Trust Co America DB TRNS Transfer Agent(s) 0 7 2021-04-30 Trustee Deutsche Bank Trust Co America DB RGST Registrar(s) 0 7 2021-04-30 Trustee Allen &amp; Overy LLP ALLOVR LAM Legal Adviser(s) to the Manage 0 16 2021-04-30</t>
  </si>
  <si>
    <t>BP2693755</t>
  </si>
  <si>
    <t>BBG010FNLMW4</t>
  </si>
  <si>
    <t>BP2693763</t>
  </si>
  <si>
    <t>BBG010FNLN07</t>
  </si>
  <si>
    <t>Bookrunner Credit Agricole Securities USA CASECS JLMB Joint Lead Managers-Books 0 1 2021-04-30 Bookrunner Credit Suisse CS JLMB Joint Lead Managers-Books 0 1 2021-04-30 Bookrunner Deutsche Bank Securities Inc DB JLMB Joint Lead Managers-Books 0 1 2021-04-30 Bookrunner RBC Capital Markets RBCCM JLMB Joint Lead Managers-Books 0 1 2021-04-30 Bookrunner Societe Generale SG JLMB Joint Lead Managers-Books 0 1 2021-04-30 Bookrunner UBS Securities LLC UBS JLMB Joint Lead Managers-Books 0 1 2021-04-30 Bookrunner UniCredit Capital Markets Inc UNICRE JLMB Joint Lead Managers-Books 0 1 2021-04-30 NonBookrunner MUFG Securities Americas Inc MUFG CM Co-Manager(s) 0 1 2021-04-30 NonBookrunner Natwest Bank NAT CM Co-Manager(s) 0 1 2021-04-30 Bookrunner Deutsche Bank Securities Inc DB LEFT Left Lead 0 1 2021-04-30 Trustee Deutsche Bank Luxembourg SA DB PAAG Paying Agent(s) 0 7 2021-04-30 Trustee Deutsche Bank Luxembourg SA DB TRNS Transfer Agent(s) 0 7 2021-04-30 Trustee Deutsche Bank Trust Co America DB RGST Registrar(s) 0 7 2021-04-30 Trustee Allen &amp; Overy LLP ALLOVR LAM Legal Adviser(s) to the Manage 0 16 2021-04-30</t>
  </si>
  <si>
    <t>UBM Development AG</t>
  </si>
  <si>
    <t>BP3002782</t>
  </si>
  <si>
    <t>BBG010H4YJT1</t>
  </si>
  <si>
    <t>UBSAV</t>
  </si>
  <si>
    <t>2021-05-21</t>
  </si>
  <si>
    <t>2026-05-21</t>
  </si>
  <si>
    <t>Travel &amp; Lodging</t>
  </si>
  <si>
    <t>STEP-UP MARGIN 15 BP TO REDEMPTION AMT, STEP-UP EVENT: ESG RATING BELOW C+.</t>
  </si>
  <si>
    <t>Bookrunner MM Warburg &amp; CO KGaA MMWARB JLMB Joint Lead Managers-Books 0 1 2021-05-11 Bookrunner Raiffeisen Bank International RAIINT JLMB Joint Lead Managers-Books 0 1 2021-05-11 NonBookrunner Raiffeisen Bank International RAIINT GLCO Global Coordinator(s) 0 1 2021-05-11 Trustee MM Warburg &amp; CO KGaA MMWARB ESGA ESG Agent 0 7 2021-05-11 Trustee Raiffeisen Bank International RAIINT ESGA ESG Agent 0 7 2021-05-11 #N/A N/A Not Available N/A DLR Dealer(s) 0 27 2021-04-27 #N/A N/A Not Available N/A EXCH Exchange Agent(s) 0 27 2021-04-27</t>
  </si>
  <si>
    <t>Iochpe-Maxion Austria GmbH / Maxion Wheels de Mexico S de RL de CV</t>
  </si>
  <si>
    <t>BP3021477</t>
  </si>
  <si>
    <t>BBG010HFB1N6</t>
  </si>
  <si>
    <t>IOCMXW</t>
  </si>
  <si>
    <t>2021-05-07</t>
  </si>
  <si>
    <t>2028-05-07</t>
  </si>
  <si>
    <t>Auto Parts Manufacturing</t>
  </si>
  <si>
    <t>Automotive</t>
  </si>
  <si>
    <t>STEP-UP MARGIN: 25BP, STEP-UP EVENT: DEC 2025</t>
  </si>
  <si>
    <t>Bookrunner Banco Itau BBA ITABBA JLMB Joint Lead Managers-Books 57143 1 2021-04-27 Bookrunner Banco Santander SANT JLMB Joint Lead Managers-Books 57143 1 2021-04-27 Bookrunner Bradesco BBI SA BRADSC JLMB Joint Lead Managers-Books 57143 1 2021-04-27 Bookrunner Citigroup Global Markets Inc CITI JLMB Joint Lead Managers-Books 57143 1 2021-04-27 Bookrunner Commerzbank AG CMZB JLMB Joint Lead Managers-Books 57143 1 2021-04-27 Bookrunner HSBC Securities HSBC JLMB Joint Lead Managers-Books 57143 1 2021-04-27 Bookrunner UBS Securities UBS JLMB Joint Lead Managers-Books 57142 1 2021-04-27 NonBookrunner Itau BBA USA Securities Inc ITAU ESGA ESG Agent 0 1 2021-04-27 Trustee UMB Bank NA UMB PAAG Paying Agent(s) 0 7 2021-04-27 Trustee UMB Bank NA UMB TRST Trustee(s) 0 7 2021-04-27 Trustee UMB Bank NA UMB RGST Registrar(s) 0 7 2021-04-27 Trustee Mussnich &amp; Aragao Advogados MUSSNI LAI Legal Adviser to the Issuer(s) 0 16 2021-04-27 Trustee White &amp; Case SC/Mexico City WHICAS LAI Legal Adviser to the Issuer(s) 0 16 2021-04-27 Trustee Pinheiro Guimaraes Advogados PINGUI LAM Legal Adviser(s) to the Manage 0 16 2021-04-27 Trustee Simpson Thacher &amp; Bartlett ST&amp;B LAM Legal Adviser(s) to the Manage 0 16 2021-04-27</t>
  </si>
  <si>
    <t>BP3021485</t>
  </si>
  <si>
    <t>BBG010HFB1Q3</t>
  </si>
  <si>
    <t>Bookrunner Banco Itau BBA ITABBA JLMB Joint Lead Managers-Books 57143 1 2021-04-27 Bookrunner Banco Santander SANT JLMB Joint Lead Managers-Books 57143 1 2021-04-27 Bookrunner Bradesco BBI SA BRADSC JLMB Joint Lead Managers-Books 57143 1 2021-04-27 Bookrunner Citigroup Global Markets Inc CITI JLMB Joint Lead Managers-Books 57143 1 2021-04-27 Bookrunner Commerzbank AG CMZB JLMB Joint Lead Managers-Books 57143 1 2021-04-27 Bookrunner HSBC Securities HSBC JLMB Joint Lead Managers-Books 57143 1 2021-04-27 Bookrunner UBS Securities UBS JLMB Joint Lead Managers-Books 57142 1 2021-04-27 Trustee UMB Bank NA UMB PAAG Paying Agent(s) 0 7 2021-04-27 Trustee UMB Bank NA UMB TRST Trustee(s) 0 7 2021-04-27 Trustee UMB Bank NA UMB RGST Registrar(s) 0 7 2021-04-27 Trustee Mussnich &amp; Aragao Advogados MUSSNI LAI Legal Adviser to the Issuer(s) 0 16 2021-04-27 Trustee White &amp; Case SC/Mexico City WHICAS LAI Legal Adviser to the Issuer(s) 0 16 2021-04-27 Trustee Pinheiro Guimaraes Advogados PINGUI LAM Legal Adviser(s) to the Manage 0 16 2021-04-27 Trustee Simpson Thacher &amp; Bartlett ST&amp;B LAM Legal Adviser(s) to the Manage 0 16 2021-04-27</t>
  </si>
  <si>
    <t>BP3490789</t>
  </si>
  <si>
    <t>BBG010M9V7V0</t>
  </si>
  <si>
    <t>2021-06-18</t>
  </si>
  <si>
    <t>.</t>
  </si>
  <si>
    <t>Jr Subordinated</t>
  </si>
  <si>
    <t>FOR EVERY YEAR THAT THE ISSUER'S ESG RATINGS BY BOTH ISS ESG AND ECOVADIS ARE BELOW CERTAIN THRESHOLDS, 0.10% PREMIUM ON THE REDEMPTION AMOUNT AT MATURITY.</t>
  </si>
  <si>
    <t>Bookrunner HSBC HSBC JLMB Joint Lead Managers-Books 0 1 2021-06-11 Bookrunner Raiffeisen Bank International RAIINT JLMB Joint Lead Managers-Books 0 1 2021-06-11 Trustee Clifford Chance LLP CHANCE LAM Legal Adviser(s) to the Manage 0 16 2021-06-11</t>
  </si>
  <si>
    <t>EQT AB</t>
  </si>
  <si>
    <t>BP3855841</t>
  </si>
  <si>
    <t>BBG010RS38Y9</t>
  </si>
  <si>
    <t>EQTSS</t>
  </si>
  <si>
    <t>2031-05-14</t>
  </si>
  <si>
    <t>Financial Services</t>
  </si>
  <si>
    <t>Brokerage Assetmanagers Exchanges</t>
  </si>
  <si>
    <t>STEP UP MARGIN: 7.5BPS, 7.5BPS, 10 BPS, STEP UP EVENT: BOARD DIVERSITY, INVESTMENT ADVISORY PROFESSIONALS DIVERSITY, SCIENCE BASED TARGETS EVENT</t>
  </si>
  <si>
    <t>Bookrunner BNP Paribas BNPP JLMB Joint Lead Managers-Books 0 1 2021-05-07 Bookrunner Goldman Sachs Bank Europe SE GS JLMB Joint Lead Managers-Books 0 1 2021-05-07 Bookrunner Morgan Stanley &amp; Co Internatio MS JLMB Joint Lead Managers-Books 0 1 2021-05-07 Bookrunner Nordea NORDEA JLMB Joint Lead Managers-Books 0 1 2021-05-07 Bookrunner SEB SEB JLMB Joint Lead Managers-Books 0 1 2021-05-07 NonBookrunner Deutsche Bank AG DB CLM Co-Lead Manager(s) 0 1 2021-05-07 NonBookrunner DNB Bank ASA DNB CLM Co-Lead Manager(s) 0 1 2021-05-07 NonBookrunner Goldman Sachs Bank Europe SE GS GLCO Global Coordinator(s) 0 1 2021-05-07 NonBookrunner Morgan Stanley &amp; Co Internatio MS GLCO Global Coordinator(s) 0 1 2021-05-07 NonBookrunner Goldman Sachs Bank Europe SE GS ESGA ESG Agent 0 1 2021-05-07 NonBookrunner Morgan Stanley &amp; Co Internatio MS ESGA ESG Agent 0 1 2021-05-07 Trustee Deutsche Bank AG London DB FISC Fiscal Agent(s) 0 7 2021-05-07 Trustee Advokatfirman Vinge KB VINGE LAI Legal Adviser to the Issuer(s) 0 16 2021-05-07 Trustee Latham &amp; Watkins LATHAM LAI Legal Adviser to the Issuer(s) 0 16 2021-05-07 Trustee Allen &amp; Overy LLP ALLOVR LAM Legal Adviser(s) to the Manage 0 16 2021-05-07 ESG Assurance Provider ISS-oekom ISSOEK SNPC 2nd Party Consultant 0 30 2021-05-07</t>
  </si>
  <si>
    <t>Imerys SA</t>
  </si>
  <si>
    <t>BP3866681</t>
  </si>
  <si>
    <t>BBG010RS9RW3</t>
  </si>
  <si>
    <t>NK</t>
  </si>
  <si>
    <t>2031-07-15</t>
  </si>
  <si>
    <t>ADJ TRIGGER PREMIUM STEP UP +25BPS IN 2026 IF 2025 TARGET NOT REACHED , +50BPS IN 2031 IF 2030 TARGET NOT REACHED</t>
  </si>
  <si>
    <t>Bookrunner BNP Paribas BNPP JLMB Joint Lead Managers-Books 0 1 2021-05-06 Bookrunner Credit Industriel et Commercia CIC JLMB Joint Lead Managers-Books 0 1 2021-05-06 Bookrunner MUFG Securities EMEA PLC MUFG JLMB Joint Lead Managers-Books 0 1 2021-05-06 Bookrunner Natixis NATIX JLMB Joint Lead Managers-Books 0 1 2021-05-06 Trustee BNP Paribas Securities Service BNPPAR PAAG Paying Agent(s) 0 7 2021-05-06 Trustee BNP Paribas Securities Service BNPPAR FISC Fiscal Agent(s) 0 7 2021-05-06 Trustee BNP Paribas BNPP STRA Structuring Agent(s) 0 7 2021-05-06 Trustee CMS Francis Lefebvre Avocats CMSFRA LAI Legal Adviser to the Issuer(s) 0 16 2021-05-06 Trustee Clifford Chance Europe LLP CLIFCH LAM Legal Adviser(s) to the Manage 0 16 2021-05-06 ESG Assurance Provider CICERO Senter for Klimaforskni CICERO SNPC 2nd Party Consultant 0 30 2021-05-06</t>
  </si>
  <si>
    <t>Verallia SA</t>
  </si>
  <si>
    <t>BP4319292</t>
  </si>
  <si>
    <t>BBG010TZBC19</t>
  </si>
  <si>
    <t>VRLAFP</t>
  </si>
  <si>
    <t>2028-05-14</t>
  </si>
  <si>
    <t>Packaging</t>
  </si>
  <si>
    <t>STEP UP MARGIN: 10BPS, 20BPS. STEP UP EVENT: CO2 EMISSIONS MORE THAN 2,625KT, EXTERNAL CULLET SHARE LESS THAN 59% IN 2025.</t>
  </si>
  <si>
    <t>Bookrunner Banco Santander SANT JLMB Joint Lead Managers-Books 0 1 2021-05-06 Bookrunner Bank of America BA JLMB Joint Lead Managers-Books 0 1 2021-05-06 Bookrunner BNP Paribas BNPP JLMB Joint Lead Managers-Books 0 1 2021-05-06 Bookrunner Credit Agricole CIB CACIB JLMB Joint Lead Managers-Books 0 1 2021-05-06 Bookrunner Deutsche Bank DB JLMB Joint Lead Managers-Books 0 1 2021-05-06 Bookrunner Raiffeisen Bank International RBI JLMB Joint Lead Managers-Books 0 1 2021-05-06 Bookrunner Societe Generale SG JLMB Joint Lead Managers-Books 0 1 2021-05-06 NonBookrunner BNP Paribas BNPP GLCO Global Coordinator(s) 0 1 2021-05-06 NonBookrunner Credit Agricole CIB CACIB GLCO Global Coordinator(s) 0 1 2021-05-06 NonBookrunner Deutsche Bank DB GLCO Global Coordinator(s) 0 1 2021-05-06 Trustee Societe Generale SG PAAG Paying Agent(s) 0 7 2021-05-06 Trustee Societe Generale SG CALC Calculation Agent(s) 0 7 2021-05-06 Trustee Societe Generale SG FISC Fiscal Agent(s) 0 7 2021-05-06 Trustee White &amp; Case LLP W&amp;C LAI Legal Adviser to the Issuer(s) 0 16 2021-05-06 Trustee Allen &amp; Overy LLP ALLOVR LAM Legal Adviser(s) to the Manage 0 16 2021-05-06</t>
  </si>
  <si>
    <t>BP5467942</t>
  </si>
  <si>
    <t>BBG01135D1W9</t>
  </si>
  <si>
    <t>2021-06-02</t>
  </si>
  <si>
    <t>2029-07-15</t>
  </si>
  <si>
    <t>- 12.5BPS STEP-UP IN PRICING STARTING AFTER JULY 15, 2026, IF SPT 1 NOT MET; - 12.5BPS STEP-UP IN PRICING STARTING AFTER JULY 15, 2027, IF SPT 2 NOT MET.</t>
  </si>
  <si>
    <t>Bookrunner Barclays BARCS JLMB Joint Lead Managers-Books 0 1 2021-05-17 Bookrunner BNP Paribas BNPP JLMB Joint Lead Managers-Books 0 1 2021-05-17 Bookrunner Citigroup C JLMB Joint Lead Managers-Books 0 1 2021-05-17 Bookrunner Credit Suisse CS JLMB Joint Lead Managers-Books 0 1 2021-05-17 Bookrunner Deutsche Bank DB JLMB Joint Lead Managers-Books 0 1 2021-05-17 Bookrunner Goldman Sachs GS JLMB Joint Lead Managers-Books 0 1 2021-05-17 Bookrunner Societe Generale SG JLMB Joint Lead Managers-Books 0 1 2021-05-17 Bookrunner Wells Fargo WFC JLMB Joint Lead Managers-Books 0 1 2021-05-17 NonBookrunner IMI - Intesa Sanpaolo IMI CM Co-Manager(s) 0 1 2021-05-17 NonBookrunner Samuel A Ramirez &amp; Co Inc SAMRCO CM Co-Manager(s) 0 1 2021-05-17 Trustee Deutsche Bank AG London DB PAAG Paying Agent(s) 0 7 2021-05-17 Trustee Deutsche Bank Trust Company Am DB TRST Trustee(s) 0 7 2021-05-17 Trustee Deutsche Bank Luxembourg SA DB TRNS Transfer Agent(s) 0 7 2021-05-17 Trustee Deutsche Bank Trust Company Am DB TRNS Transfer Agent(s) 0 7 2021-05-17 Trustee Deutsche Bank Trust Company Am DB LIST Listing Agent(s) 0 7 2021-05-17 Trustee Deutsche Bank Luxembourg SA DB RGST Registrar(s) 0 7 2021-05-17 Trustee Deutsche Bank Trust Company Am DB RGST Registrar(s) 0 7 2021-05-17 Trustee Clifford Chance Partnerschafts CHANCE LAI Legal Adviser to the Issuer(s) 0 16 2021-05-17 Trustee Clifford Chance Europe LLP CLIFCH LAI Legal Adviser to the Issuer(s) 0 16 2021-05-17 Trustee Wachtell Lipton Rosen &amp; Katz WLR&amp;K LAI Legal Adviser to the Issuer(s) 0 16 2021-05-17 Trustee Walder Wyss &amp; Partner AG WALDER LAI Legal Adviser to the Issuer(s) 0 16 2021-05-17 Trustee Latham &amp; Watkins LLP LATHAM LAM Legal Adviser(s) to the Manage 0 16 2021-05-17 Trustee Latham &amp; Watkins AARPI LATWAT LAM Legal Adviser(s) to the Manage 0 16 2021-05-17</t>
  </si>
  <si>
    <t>BP5467959</t>
  </si>
  <si>
    <t>BBG01135D1X8</t>
  </si>
  <si>
    <t>Bookrunner Barclays BARCS JLMB Joint Lead Managers-Books 0 1 2021-05-17 Bookrunner BNP Paribas BNPP JLMB Joint Lead Managers-Books 0 1 2021-05-17 Bookrunner Citigroup C JLMB Joint Lead Managers-Books 0 1 2021-05-17 Bookrunner Credit Suisse CS JLMB Joint Lead Managers-Books 0 1 2021-05-17 Bookrunner Deutsche Bank DB JLMB Joint Lead Managers-Books 0 1 2021-05-17 Bookrunner Goldman Sachs GS JLMB Joint Lead Managers-Books 0 1 2021-05-17 Bookrunner Societe Generale SG JLMB Joint Lead Managers-Books 0 1 2021-05-17 Bookrunner Wells Fargo WFC JLMB Joint Lead Managers-Books 0 1 2021-05-17 NonBookrunner IMI - Intesa Sanpaolo IMI CM Co-Manager(s) 0 1 2021-05-17 NonBookrunner Samuel A Ramirez &amp; Co Inc SAMRCO CM Co-Manager(s) 0 1 2021-05-17 Trustee Deutsche Bank AG London DB PAAG Paying Agent(s) 0 7 2021-05-17 Trustee Deutsche Bank Trust Company Am DB TRST Trustee(s) 0 7 2021-05-17 Trustee Deutsche Bank Luxembourg SA DB TRNS Transfer Agent(s) 0 7 2021-05-17 Trustee Deutsche Bank Trust Company Am DB TRNS Transfer Agent(s) 0 7 2021-05-17 Trustee Deutsche Bank Trust Company Am DB LIST Listing Agent(s) 0 7 2021-05-17 Trustee Deutsche Bank Luxembourg SA DB RGST Registrar(s) 0 7 2021-05-17 Trustee Deutsche Bank Trust Company Am DB RGST Registrar(s) 0 7 2021-05-17 Trustee Clifford Chance Partnerschafts CHANCE LAI Legal Adviser to the Issuer(s) 0 16 2021-05-17 Trustee Clifford Chance Europe LLP CLIFCH LAI Legal Adviser to the Issuer(s) 0 16 2021-05-17 Trustee Wachtell Lipton Rosen &amp; Katz WLR&amp;K LAI Legal Adviser to the Issuer(s) 0 16 2021-05-17 Trustee Walder Wyss &amp; Partner AG WALDER LAI Legal Adviser to the Issuer(s) 0 16 2021-05-17 Trustee Latham &amp; Watkins LLP LATHAM LAM Legal Adviser(s) to the Manage 0 16 2021-05-17 Trustee Latham &amp; Watkins AARPI LATWAT LAM Legal Adviser(s) to the Manage 0 16 2021-05-17 ESG Assurance Provider Sustainalytics BV SUSANA SNPC 2nd Party Consultant 0 30 2021-05-17</t>
  </si>
  <si>
    <t>Hammerson Ireland Finance DAC</t>
  </si>
  <si>
    <t>BP7949749</t>
  </si>
  <si>
    <t>BBG01173G6X5</t>
  </si>
  <si>
    <t>HMSOLN</t>
  </si>
  <si>
    <t>IE</t>
  </si>
  <si>
    <t>GB</t>
  </si>
  <si>
    <t>2021-06-03</t>
  </si>
  <si>
    <t>2027-06-03</t>
  </si>
  <si>
    <t>Real Estate</t>
  </si>
  <si>
    <t>REITs</t>
  </si>
  <si>
    <t>Retail REITs</t>
  </si>
  <si>
    <t>STEP-UP MARGIN : 75 BP IN FINAL PERIOD IF GHG KPI NOT MET</t>
  </si>
  <si>
    <t>Bookrunner Bank of China Ltd/London BOCLON JLMB Joint Lead Managers-Books 0 1 2021-05-26 Bookrunner Barclays BARCS JLMB Joint Lead Managers-Books 0 1 2021-05-26 Bookrunner BNP Paribas BNPP JLMB Joint Lead Managers-Books 0 1 2021-05-26 Bookrunner ICBC Standard Bank Plc ICBCST JLMB Joint Lead Managers-Books 0 1 2021-05-26 Bookrunner JP Morgan JPM JLMB Joint Lead Managers-Books 0 1 2021-05-26 Bookrunner Mizuho International PLC MIZUHO JLMB Joint Lead Managers-Books 0 1 2021-05-26 Bookrunner MUFG Securities EMEA PLC MUFG JLMB Joint Lead Managers-Books 0 1 2021-05-26 Bookrunner Wells Fargo Securities Interna WSIL JLMB Joint Lead Managers-Books 0 1 2021-05-26 Trustee Allen &amp; Overy LLP ALLOVR LAM Legal Adviser(s) to the Manage 0 16 2021-05-26 ESG Assurance Provider DNV Business Assurance Service DNVBIZ SNPC 2nd Party Consultant 0 30 2021-05-26</t>
  </si>
  <si>
    <t>Lakers Group AB</t>
  </si>
  <si>
    <t>BP8607064</t>
  </si>
  <si>
    <t>BBG0118SLG25</t>
  </si>
  <si>
    <t>LAKGRP</t>
  </si>
  <si>
    <t>2021-06-09</t>
  </si>
  <si>
    <t>2025-06-09</t>
  </si>
  <si>
    <t>NOK</t>
  </si>
  <si>
    <t>REDEEMS AT 100.5% AT MATURITY IF SUSTAINABILITY PERFORMANCE TARGETs NOT MET (CO2: REDUCTION/TOP 5 SUPPLIER CONTRIBUTORS/EMPLOYEE EFFICIENCY.</t>
  </si>
  <si>
    <t>ESG</t>
  </si>
  <si>
    <t>Bookrunner Arctic Securities ARCTIC JLMB Joint Lead Managers-Books 0 4 2021-06-30 Bookrunner Pareto Securities PARETO JLMB Joint Lead Managers-Books 0 4 2021-06-30 Bookrunner Swedbank SWED JLMB Joint Lead Managers-Books 0 4 2021-06-30 Bookrunner Arctic Securities ARCTIC JLMB Joint Lead Managers-Books 0 1 2021-05-31 Bookrunner Pareto Securities PARETO JLMB Joint Lead Managers-Books 0 1 2021-05-31 Bookrunner Swedbank SWED JLMB Joint Lead Managers-Books 0 1 2021-05-31 NonBookrunner Arctic Securities ARCTIC GLCO Global Coordinator(s) 0 1 2021-05-31 Trustee Arctic Securities ARCTIC PAAG Paying Agent(s) 0 7 2021-05-31 Trustee Nordic Trustee AS NORTR TRST Trustee(s) 0 7 2021-05-31</t>
  </si>
  <si>
    <t>Eni SpA</t>
  </si>
  <si>
    <t>BP8798616</t>
  </si>
  <si>
    <t>BBG0118XV0B8</t>
  </si>
  <si>
    <t>ENIIM</t>
  </si>
  <si>
    <t>2021-06-14</t>
  </si>
  <si>
    <t>2028-06-14</t>
  </si>
  <si>
    <t>BBB+</t>
  </si>
  <si>
    <t>Integrated Oils</t>
  </si>
  <si>
    <t>Integrated</t>
  </si>
  <si>
    <t>STEP-UP MARGIN: 25BP (IF ONE OR BOTH TARGETS MISSED), STEP-UP EVENTS: 2025 RENEWABLES INSTALLED CAPACITY, 2024 CO2 EMISSIONS.</t>
  </si>
  <si>
    <t>Bookrunner BNP Paribas/London BNPPAR JLMB Joint Lead Managers-Books 0 1 2021-06-07 Bookrunner BofA Securities BofA JLMB Joint Lead Managers-Books 0 1 2021-06-07 Bookrunner Credit Agricole CIB CACIB JLMB Joint Lead Managers-Books 0 1 2021-06-07 Bookrunner Goldman Sachs International GSI JLMB Joint Lead Managers-Books 0 1 2021-06-07 Bookrunner JP Morgan Securities PLC JPM JLMB Joint Lead Managers-Books 0 1 2021-06-07 Bookrunner Morgan Stanley MS JLMB Joint Lead Managers-Books 0 1 2021-06-07 Bookrunner UniCredit UNICRD JLMB Joint Lead Managers-Books 0 1 2021-06-07 NonBookrunner Credit Agricole CIB CACIB ESGA ESG Agent 0 1 2021-06-07 NonBookrunner Goldman Sachs International GSI ESGA ESG Agent 0 1 2021-06-07 NonBookrunner UniCredit UNICRD ESGA ESG Agent 0 1 2021-06-07 Trustee Bank of New York Mellon/London BNY PAAG Paying Agent(s) 0 7 2021-06-07 Trustee Bank of New York Mellon SA-NV/ BANKOF PAAG Paying Agent(s) 0 7 2021-06-07 Trustee Banque Eni SA BANENI PAAG Paying Agent(s) 0 7 2021-06-07 Trustee Bank of New York Mellon/London BNY CALC Calculation Agent(s) 0 7 2021-06-07 Trustee Bank of New York Mellon/London BNY FISC Fiscal Agent(s) 0 7 2021-06-07 Trustee Bank of New York Mellon/London BNY TRNS Transfer Agent(s) 0 7 2021-06-07 Trustee Bank of New York Mellon SA-NV/ BANKOF TRNS Transfer Agent(s) 0 7 2021-06-07 Trustee Banque Internationale a Luxemb BIL LIST Listing Agent(s) 0 7 2021-06-07 Trustee Bank of New York Mellon SA-NV/ BANKOF RGST Registrar(s) 0 7 2021-06-07 Trustee Simmons &amp; Simmons/Rome S&amp;S LAI Legal Adviser to the Issuer(s) 0 16 2021-06-07 Trustee Simmons &amp; Simmons SISSON LAI Legal Adviser to the Issuer(s) 0 16 2021-06-07 Trustee Simmons &amp; Simmons/Brussels S&amp;S LAI Legal Adviser to the Issuer(s) 0 16 2021-06-07 Trustee Linklaters LLP/Belgium LINLAT LAM Legal Adviser(s) to the Manage 0 16 2021-06-07 Trustee Studio Legale Associato assoc LINKLA LAM Legal Adviser(s) to the Manage 0 16 2021-06-07 Trustee Clifford Chance Studio Legale CLFLEG LATX Legal Adviser(s) to Tax 0 16 2021-06-07 ESG Assurance Provider Vigeo SASV VIGEO SNPC 2nd Party Consultant 0 30 2021-06-07</t>
  </si>
  <si>
    <t>Fritz Draexlmaier GmbH &amp; Co KG</t>
  </si>
  <si>
    <t>BP9767255</t>
  </si>
  <si>
    <t>BBG011C1XWN8</t>
  </si>
  <si>
    <t>DRAEXL</t>
  </si>
  <si>
    <t>2021-07-06</t>
  </si>
  <si>
    <t>2025-07-06</t>
  </si>
  <si>
    <t>ESG-LINKED. KPI'S: SELF-POWER POTENTIAL, RECYCLING QUOTA, APPRENTICESHIP QUOTA. 0-1 OF 3 KPI MET +5BPS, 2 OF 3 0BPS, 3 OF 3 -5BPS.</t>
  </si>
  <si>
    <t>Bookrunner Commerzbank COBA JLMB Joint Lead Managers-Books 0 4 2021-12-01 Bookrunner DZ Bank DZBK JLMB Joint Lead Managers-Books 0 4 2021-12-01 Bookrunner Landesbank Baden-Wuerttemberg LBBW JLMB Joint Lead Managers-Books 0 4 2021-12-01 Bookrunner Commerzbank COBA JLMB Joint Lead Managers-Books 0 1 2021-07-06 Bookrunner DZ Bank DZBK JLMB Joint Lead Managers-Books 0 1 2021-07-06 Bookrunner Landesbank Baden-Wuerttemberg LBBW JLMB Joint Lead Managers-Books 0 1 2021-07-06</t>
  </si>
  <si>
    <t>BP9768873</t>
  </si>
  <si>
    <t>BBG011C1YDB2</t>
  </si>
  <si>
    <t>2026-07-06</t>
  </si>
  <si>
    <t>BP9785794</t>
  </si>
  <si>
    <t>BBG011C3DB61</t>
  </si>
  <si>
    <t>2028-07-06</t>
  </si>
  <si>
    <t>BP9786156</t>
  </si>
  <si>
    <t>BBG011C40W12</t>
  </si>
  <si>
    <t>2031-07-06</t>
  </si>
  <si>
    <t>Enel Finance International NV</t>
  </si>
  <si>
    <t>BP9829774</t>
  </si>
  <si>
    <t>BBG011C64FX5</t>
  </si>
  <si>
    <t>ENELIM</t>
  </si>
  <si>
    <t>2021-06-17</t>
  </si>
  <si>
    <t>2027-06-17</t>
  </si>
  <si>
    <t>STEP-UP MARGIN: 25BP, STEP-UP EVENT: 12/31/2023 GREENHOUSE GAS EMISSIONS ABOVE 148G/KWHEQ</t>
  </si>
  <si>
    <t>Bookrunner Banca Akros SpA AKROS JLMB Joint Lead Managers-Books 0 1 2021-06-08 Bookrunner Banco Bilbao Vizcaya Argentari BBVA JLMB Joint Lead Managers-Books 0 1 2021-06-08 Bookrunner Banco Santander SANT JLMB Joint Lead Managers-Books 0 1 2021-06-08 Bookrunner BNP Paribas BNPP JLMB Joint Lead Managers-Books 0 1 2021-06-08 Bookrunner CaixaBank CAIXA JLMB Joint Lead Managers-Books 0 1 2021-06-08 Bookrunner Credit Agricole CIB CACIB JLMB Joint Lead Managers-Books 0 1 2021-06-08 Bookrunner Deutsche Bank DB JLMB Joint Lead Managers-Books 0 1 2021-06-08 Bookrunner Goldman Sachs International GSI JLMB Joint Lead Managers-Books 0 1 2021-06-08 Bookrunner IMI - Intesa Sanpaolo IMI JLMB Joint Lead Managers-Books 0 1 2021-06-08 Bookrunner ING Groep ING JLMB Joint Lead Managers-Books 0 1 2021-06-08 Bookrunner JP Morgan Securities PLC JPM JLMB Joint Lead Managers-Books 0 1 2021-06-08 Bookrunner Mediobanca MEDBCA JLMB Joint Lead Managers-Books 0 1 2021-06-08 Bookrunner Natixis NATIX JLMB Joint Lead Managers-Books 0 1 2021-06-08 Bookrunner Societe Generale SG JLMB Joint Lead Managers-Books 0 1 2021-06-08 Bookrunner UniCredit UNICRD JLMB Joint Lead Managers-Books 0 1 2021-06-08 Trustee Allen &amp; Overy LLP ALLOVR LAI Legal Adviser to the Issuer(s) 0 16 2021-06-08 ESG Assurance Provider Vigeo SASV VIGEO SNPC 2nd Party Consultant 0 30 2021-06-08</t>
  </si>
  <si>
    <t>BP9829808</t>
  </si>
  <si>
    <t>BBG011C64G81</t>
  </si>
  <si>
    <t>2030-06-17</t>
  </si>
  <si>
    <t>Bookrunner Banca Akros SpA AKROS JLMB Joint Lead Managers-Books 0 1 2021-06-08 Bookrunner Banco Bilbao Vizcaya Argentari BBVA JLMB Joint Lead Managers-Books 0 1 2021-06-08 Bookrunner Banco Santander SANT JLMB Joint Lead Managers-Books 0 1 2021-06-08 Bookrunner BNP Paribas BNPP JLMB Joint Lead Managers-Books 0 1 2021-06-08 Bookrunner CaixaBank CAIXA JLMB Joint Lead Managers-Books 0 1 2021-06-08 Bookrunner Credit Agricole CIB CACIB JLMB Joint Lead Managers-Books 0 1 2021-06-08 Bookrunner Deutsche Bank DB JLMB Joint Lead Managers-Books 0 1 2021-06-08 Bookrunner Goldman Sachs International GSI JLMB Joint Lead Managers-Books 0 1 2021-06-08 Bookrunner IMI - Intesa Sanpaolo IMI JLMB Joint Lead Managers-Books 0 1 2021-06-08 Bookrunner ING Groep ING JLMB Joint Lead Managers-Books 0 1 2021-06-08 Bookrunner JP Morgan Securities PLC JPM JLMB Joint Lead Managers-Books 0 1 2021-06-08 Bookrunner Mediobanca MEDBCA JLMB Joint Lead Managers-Books 0 1 2021-06-08 Bookrunner Natixis NATIX JLMB Joint Lead Managers-Books 0 1 2021-06-08 Bookrunner Societe Generale SG JLMB Joint Lead Managers-Books 0 1 2021-06-08 Bookrunner UniCredit UNICRD JLMB Joint Lead Managers-Books 0 1 2021-06-08 Trustee Bank of New York Mellon/London BNY PAAG Paying Agent(s) 0 7 2021-06-08 Trustee Bank of New York Mellon/London BNY TRNS Transfer Agent(s) 0 7 2021-06-08 Trustee Walkers Listing Services Ltd WALLIS LIST Listing Agent(s) 0 7 2021-06-08 Trustee Bank of New York Mellon SA-NV/ BANKOF RGST Registrar(s) 0 7 2021-06-08 Trustee Allen &amp; Overy AONETH LAI Legal Adviser to the Issuer(s) 0 16 2021-06-08 Trustee Allen &amp; Overy/Rome ALOVIT LAI Legal Adviser to the Issuer(s) 0 16 2021-06-08 Trustee Allen &amp; Overy/Milan IT LAI Legal Adviser to the Issuer(s) 0 16 2021-06-08 Trustee Linklaters L&amp;A LAM Legal Adviser(s) to the Manage 0 16 2021-06-08 Trustee Studio Legale Associato assoc LINKLA LAM Legal Adviser(s) to the Manage 0 16 2021-06-08 ESG Assurance Provider Vigeo SASV VIGEO SNPC 2nd Party Consultant 0 30 2021-06-08</t>
  </si>
  <si>
    <t>BP9829816</t>
  </si>
  <si>
    <t>BBG011C64GK7</t>
  </si>
  <si>
    <t>2036-06-17</t>
  </si>
  <si>
    <t>STEP-UP MARGIN: 25BP, STEP-UP EVENT: 12/31/2031 GREENHOUSE GAS EMISSIONS ABOVE 82G/KWHEQ</t>
  </si>
  <si>
    <t>JBS Finance Luxembourg Sarl</t>
  </si>
  <si>
    <t>BP9865349</t>
  </si>
  <si>
    <t>BBG011C76BK4</t>
  </si>
  <si>
    <t>JBSSBZ</t>
  </si>
  <si>
    <t>2021-06-15</t>
  </si>
  <si>
    <t>2032-01-15</t>
  </si>
  <si>
    <t>Food &amp; Beverage</t>
  </si>
  <si>
    <t>Food and Beverage</t>
  </si>
  <si>
    <t>FROM 01/15/2027 CPN STEP UP BY 25BPS UNLESS SUSTAINABILITY PERFORMANCE TARGET MET</t>
  </si>
  <si>
    <t>Bookrunner Banco Santander (US) SANTAN JLMB Joint Lead Managers-Books 0 1 2021-06-08 Bookrunner Barclays Capital BCLY JLMB Joint Lead Managers-Books 0 1 2021-06-08 Bookrunner Bradesco BBI SA BRADSC JLMB Joint Lead Managers-Books 0 1 2021-06-08 Bookrunner BTG Pactual US Capital Corp BTGPAC JLMB Joint Lead Managers-Books 0 1 2021-06-08 Bookrunner Mizuho Securities USA Inc MIZ JLMB Joint Lead Managers-Books 0 1 2021-06-08 Bookrunner XP Inc XPINC JLMB Joint Lead Managers-Books 0 1 2021-06-08 Trustee White &amp; Case LLP W&amp;C LAI Legal Adviser to the Issuer(s) 0 16 2021-06-08 Trustee Davis Polk &amp; Wardwell DPW LAM Legal Adviser(s) to the Manage 0 16 2021-06-08 ESG Assurance Provider ISS-oekom ISSOEK SNPC 2nd Party Consultant 0 30 2021-06-08</t>
  </si>
  <si>
    <t>BP9865356</t>
  </si>
  <si>
    <t>BBG011C76BN1</t>
  </si>
  <si>
    <t>Bookrunner Banco Santander (US) SANTAN JLMB Joint Lead Managers-Books 0 1 2021-06-08 Bookrunner Barclays Capital BCLY JLMB Joint Lead Managers-Books 0 1 2021-06-08 Bookrunner Bradesco BBI SA BRADSC JLMB Joint Lead Managers-Books 0 1 2021-06-08 Bookrunner BTG Pactual US Capital Corp BTGPAC JLMB Joint Lead Managers-Books 0 1 2021-06-08 Bookrunner Mizuho Securities USA Inc MIZ JLMB Joint Lead Managers-Books 0 1 2021-06-08 Bookrunner XP Inc XPINC JLMB Joint Lead Managers-Books 0 1 2021-06-08 Trustee White &amp; Case LLP W&amp;C LAI Legal Adviser to the Issuer(s) 0 16 2021-06-08 Trustee Davis Polk &amp; Wardwell DPW LAM Legal Adviser(s) to the Manage 0 16 2021-06-08</t>
  </si>
  <si>
    <t>Edenred</t>
  </si>
  <si>
    <t>BP9946271</t>
  </si>
  <si>
    <t>BBG011CBFPK4</t>
  </si>
  <si>
    <t>EDENFP</t>
  </si>
  <si>
    <t>EDEN</t>
  </si>
  <si>
    <t>ZERO COUPON</t>
  </si>
  <si>
    <t>Consumer Services</t>
  </si>
  <si>
    <t>90 DAYS LOCK-UP. STEP UP MARGIN: 50BP, STEP UP EVENTS: KPI 1 AT LEAST 34 % WOMEN EXECUTIVE POSITIONS, KPI 2: 15% LESS GREENHOUSE EMISSIONS, KPI 3: AT LEAST 64%</t>
  </si>
  <si>
    <t>Bookrunner Barclays BARCS JLMB Joint Lead Managers-Books 0 1 2021-06-09 Bookrunner BNP Paribas BNPP JLMB Joint Lead Managers-Books 0 1 2021-06-09 Bookrunner Citigroup Global Markets Ltd CITI JLMB Joint Lead Managers-Books 0 1 2021-06-09 Bookrunner Credit Agricole Corporate &amp; In CACIB JLMB Joint Lead Managers-Books 0 1 2021-06-09 Bookrunner JP Morgan Securities PLC JPM JLMB Joint Lead Managers-Books 0 1 2021-06-09 Bookrunner Societe Generale SG JLMB Joint Lead Managers-Books 0 1 2021-06-09 NonBookrunner Credit Agricole Corporate &amp; In CACIB GLCO Global Coordinator(s) 0 1 2021-06-09 NonBookrunner Societe Generale SG GLCO Global Coordinator(s) 0 1 2021-06-09 Trustee Societe Generale Securities Se SGSECS PAAG Paying Agent(s) 0 7 2021-06-09 Trustee Conv Ex Advisors Ltd CONEAD CALC Calculation Agent(s) 0 7 2021-06-09 Trustee Credit Agricole Corporate &amp; In CACIB ESGA ESG Agent 0 7 2021-06-09 Trustee Societe Generale SG ESGA ESG Agent 0 7 2021-06-09 Trustee Allen &amp; Overy LLP ALLOVR LAM Legal Adviser(s) to the Manage 0 16 2021-06-09</t>
  </si>
  <si>
    <t>SSAB AB</t>
  </si>
  <si>
    <t>BQ0031691</t>
  </si>
  <si>
    <t>BBG011CHC5T9</t>
  </si>
  <si>
    <t>SSABAS</t>
  </si>
  <si>
    <t>2021-06-16</t>
  </si>
  <si>
    <t>2026-06-16</t>
  </si>
  <si>
    <t>DMTN</t>
  </si>
  <si>
    <t>SEK</t>
  </si>
  <si>
    <t>REDEEMED AT 101% IF CO2 EMISSIONS NOT REDUCED BY 10%</t>
  </si>
  <si>
    <t>Bookrunner DNB Markets DNB JLMB Joint Lead Managers-Books 0 1 2021-06-09 Bookrunner SEB SEB JLMB Joint Lead Managers-Books 0 1 2021-06-09 Trustee White &amp; Case LLP W&amp;C LAI Legal Adviser to the Issuer(s) 0 16 2021-06-09</t>
  </si>
  <si>
    <t>Constantia Flexibles GmbH</t>
  </si>
  <si>
    <t>BQ1161117</t>
  </si>
  <si>
    <t>BBG011FRHKS7</t>
  </si>
  <si>
    <t>COFAV</t>
  </si>
  <si>
    <t>2021-08-04</t>
  </si>
  <si>
    <t>2028-08-04</t>
  </si>
  <si>
    <t>ESG-LINKED SCHULDSCHEIN. SUSTAINABILITY PRICING ADJUSTMENT: +2.5BPS IF ESG SCORE &lt;=65;   -2.5BPS IF &gt;=75.</t>
  </si>
  <si>
    <t>Bookrunner Erste Group Bank ERSTE JLMB Joint Lead Managers-Books 0 1 2021-08-04 Bookrunner Landesbank Baden-Wuerttemberg LBBW JLMB Joint Lead Managers-Books 0 1 2021-08-04 Bookrunner UniCredit Bank Austria AG UCBA JLMB Joint Lead Managers-Books 0 1 2021-08-04</t>
  </si>
  <si>
    <t>BQ1161786</t>
  </si>
  <si>
    <t>BBG011FRJ928</t>
  </si>
  <si>
    <t>2026-08-04</t>
  </si>
  <si>
    <t>BQ1161794</t>
  </si>
  <si>
    <t>BBG011FRJ937</t>
  </si>
  <si>
    <t>2024-08-04</t>
  </si>
  <si>
    <t>Nobian Finance BV</t>
  </si>
  <si>
    <t>BQ1586537</t>
  </si>
  <si>
    <t>BBG011JF2HL9</t>
  </si>
  <si>
    <t>NOHOLB</t>
  </si>
  <si>
    <t>2021-07-01</t>
  </si>
  <si>
    <t>2026-07-15</t>
  </si>
  <si>
    <t>STEP-UP MARGIN: 12.5, STEP-UP EVENT: INCREASE RENEWABLE ENERGY USE BY 29% BY 12/22 AND REDUCTION CO2 EMISSIONS BY 4%</t>
  </si>
  <si>
    <t>Bookrunner Barclays Bank PLC BARCBK JLMB Joint Lead Managers-Books 0 1 2021-06-24 Bookrunner Credit Suisse AG/London CS JLMB Joint Lead Managers-Books 0 1 2021-06-24 Bookrunner Deutsche Bank AG London DB JLMB Joint Lead Managers-Books 0 1 2021-06-24 Bookrunner HSBC HSBC JLMB Joint Lead Managers-Books 0 1 2021-06-24 Bookrunner ING Bank NV/London ING JLMB Joint Lead Managers-Books 0 1 2021-06-24 Bookrunner Jefferies International Ltd JEFF JLMB Joint Lead Managers-Books 0 1 2021-06-24 Bookrunner JP Morgan Securities PLC JPM JLMB Joint Lead Managers-Books 0 1 2021-06-24 Bookrunner Mizuho International PLC MIZUHO JLMB Joint Lead Managers-Books 0 1 2021-06-24 Bookrunner Morgan Stanley &amp; Co Internatio MS JLMB Joint Lead Managers-Books 0 1 2021-06-24 Bookrunner NatWest Markets NWM JLMB Joint Lead Managers-Books 0 1 2021-06-24 Bookrunner Rabobank International/London RABO JLMB Joint Lead Managers-Books 0 1 2021-06-24 Bookrunner RBC Capital Markets RBCCM JLMB Joint Lead Managers-Books 0 1 2021-06-24 Bookrunner Skandinaviska Enskilda Banken- SEB JLMB Joint Lead Managers-Books 0 1 2021-06-24 NonBookrunner Credit Suisse AG/London CS GLCO Global Coordinator(s) 0 1 2021-06-24 NonBookrunner HSBC HSBC GLCO Global Coordinator(s) 0 1 2021-06-24 NonBookrunner JP Morgan Securities PLC JPM GLCO Global Coordinator(s) 0 1 2021-06-24 Trustee Deutsche Bank AG London DB PAAG Paying Agent(s) 0 7 2021-06-24 Trustee Wilmington Trust NA WILTRU TRST Trustee(s) 0 7 2021-06-24 Trustee Latham &amp; Watkins LLP LATHAM LAI Legal Adviser to the Issuer(s) 0 16 2021-06-24 Trustee NautaDutilh DUTILH LAI Legal Adviser to the Issuer(s) 0 16 2021-06-24 Trustee Milbank LLP MILLLP LAM Legal Adviser(s) to the Manage 0 16 2021-06-24</t>
  </si>
  <si>
    <t>BQ1586552</t>
  </si>
  <si>
    <t>BBG011JF2HN7</t>
  </si>
  <si>
    <t>Bookrunner Barclays Bank PLC BARCBK JLMB Joint Lead Managers-Books 0 1 2021-06-24 Bookrunner Credit Suisse AG/London CS JLMB Joint Lead Managers-Books 0 1 2021-06-24 Bookrunner Deutsche Bank AG London DB JLMB Joint Lead Managers-Books 0 1 2021-06-24 Bookrunner HSBC HSBC JLMB Joint Lead Managers-Books 0 1 2021-06-24 Bookrunner ING Bank NV/London ING JLMB Joint Lead Managers-Books 0 1 2021-06-24 Bookrunner Jefferies International Ltd JEFF JLMB Joint Lead Managers-Books 0 1 2021-06-24 Bookrunner JP Morgan Securities PLC JPM JLMB Joint Lead Managers-Books 0 1 2021-06-24 Bookrunner Mizuho International PLC MIZUHO JLMB Joint Lead Managers-Books 0 1 2021-06-24 Bookrunner Morgan Stanley &amp; Co Internatio MS JLMB Joint Lead Managers-Books 0 1 2021-06-24 Bookrunner NatWest Markets NWM JLMB Joint Lead Managers-Books 0 1 2021-06-24 Bookrunner Rabobank International/London RABO JLMB Joint Lead Managers-Books 0 1 2021-06-24 Bookrunner RBC Capital Markets RBCCM JLMB Joint Lead Managers-Books 0 1 2021-06-24 Bookrunner Skandinaviska Enskilda Banken- SEB JLMB Joint Lead Managers-Books 0 1 2021-06-24 NonBookrunner Credit Suisse AG/London CS GLCO Global Coordinator(s) 0 1 2021-06-24 NonBookrunner HSBC HSBC GLCO Global Coordinator(s) 0 1 2021-06-24 NonBookrunner JP Morgan Securities PLC JPM GLCO Global Coordinator(s) 0 1 2021-06-24 Trustee Deutsche Bank AG London DB PAAG Paying Agent(s) 0 7 2021-06-24 Trustee Wilmington Trust NA WILTRU TRST Trustee(s) 0 7 2021-06-24 Trustee Latham &amp; Watkins LLP LATHAM LAI Legal Adviser to the Issuer(s) 0 16 2021-06-24 Trustee NautaDutilh DUTILH LAI Legal Adviser to the Issuer(s) 0 16 2021-06-24 Trustee Milbank LLP MILLLP LAM Legal Adviser(s) to the Manage 0 16 2021-06-24 ESG Assurance Provider DNV GL Group AS DNVGI SNPC 2nd Party Consultant 0 30 2021-06-24</t>
  </si>
  <si>
    <t>Zeppelin GmbH</t>
  </si>
  <si>
    <t>BQ2320183</t>
  </si>
  <si>
    <t>BBG011KPDX29</t>
  </si>
  <si>
    <t>ZEPPEL</t>
  </si>
  <si>
    <t>2021-08-06</t>
  </si>
  <si>
    <t>2031-08-06</t>
  </si>
  <si>
    <t>Construction Machinery</t>
  </si>
  <si>
    <t>SUSTAINABILITY-LINKED SCHULDSCHEIN. SUSTAINABILITY PRICING ADJUSTMENT: +/- 2.5BPS DEPENDING ON FINAL KPIS MET.</t>
  </si>
  <si>
    <t>Bookrunner Landesbank Baden-Wuerttemberg LBBW JLMB Joint Lead Managers-Books 0 1 2021-08-06 Bookrunner UniCredit Bank AG UNICRD JLMB Joint Lead Managers-Books 0 1 2021-08-06</t>
  </si>
  <si>
    <t>BQ2321892</t>
  </si>
  <si>
    <t>BBG011KPH6F0</t>
  </si>
  <si>
    <t>2028-08-06</t>
  </si>
  <si>
    <t>Picard Groupe SAS</t>
  </si>
  <si>
    <t>BQ2953850</t>
  </si>
  <si>
    <t>BBG011MCTKM5</t>
  </si>
  <si>
    <t>PICSUR</t>
  </si>
  <si>
    <t>2021-07-07</t>
  </si>
  <si>
    <t>2026-07-01</t>
  </si>
  <si>
    <t>STEP-UP MARGIN: 12.5 BPS PER KPI, STEP-UP EVENTS: CO2 EMISSIONS, ENERGY CONSUMPTION</t>
  </si>
  <si>
    <t>Bookrunner Credit Suisse Bank Europe SA CS JLMB Joint Lead Managers-Books 0 1 2021-06-30 Bookrunner Deutsche Bank AG/New York NY DB JLMB Joint Lead Managers-Books 0 1 2021-06-30 Bookrunner Goldman Sachs Bank Europe SE GS JLMB Joint Lead Managers-Books 0 1 2021-06-30 Bookrunner HSBC Continental Europe SA HSBCCE JLMB Joint Lead Managers-Books 0 1 2021-06-30 Bookrunner JP Morgan AG JPM JLMB Joint Lead Managers-Books 0 1 2021-06-30 Bookrunner Morgan Stanley Europe SE MSEURO JLMB Joint Lead Managers-Books 0 1 2021-06-30 Bookrunner Natixis/New York NY NATIXI JLMB Joint Lead Managers-Books 0 1 2021-06-30 NonBookrunner Credit Suisse Bank Europe SA CS GLCO Global Coordinator(s) 0 1 2021-06-30 NonBookrunner Goldman Sachs Bank Europe SE GS GLCO Global Coordinator(s) 0 1 2021-06-30 NonBookrunner JP Morgan AG JPM GLCO Global Coordinator(s) 0 1 2021-06-30 NonBookrunner Morgan Stanley Europe SE MSEURO GLCO Global Coordinator(s) 0 1 2021-06-30 Trustee Cravath Swaine &amp; Moore US LAI Legal Adviser to the Issuer(s) 0 16 2021-06-30 Trustee Kirkland &amp; Ellis K&amp;E LAM Legal Adviser(s) to the Manage 0 16 2021-06-30</t>
  </si>
  <si>
    <t>Lion/Polaris Lux 4 SA</t>
  </si>
  <si>
    <t>BQ2953868</t>
  </si>
  <si>
    <t>BBG011MCTKR0</t>
  </si>
  <si>
    <t>Restaurants</t>
  </si>
  <si>
    <t>STEP-UP MARGIN: 12.5 BP PER KPI, STEP-UP EVENTS: CO2 EMISSIONS, ENERGY CONSUMPTION</t>
  </si>
  <si>
    <t>Bookrunner Credit Suisse Bank Europe SA CS JLMB Joint Lead Managers-Books 0 1 2021-06-30 Bookrunner Deutsche Bank AG/New York NY DB JLMB Joint Lead Managers-Books 0 1 2021-06-30 Bookrunner Goldman Sachs Bank Europe SE GS JLMB Joint Lead Managers-Books 0 1 2021-06-30 Bookrunner HSBC Continental Europe SA HSBCCE JLMB Joint Lead Managers-Books 0 1 2021-06-30 Bookrunner JP Morgan AG JPM JLMB Joint Lead Managers-Books 0 1 2021-06-30 Bookrunner Morgan Stanley Europe SE MSEURO JLMB Joint Lead Managers-Books 0 1 2021-06-30 Bookrunner Natixis/New York NY NATIXI JLMB Joint Lead Managers-Books 0 1 2021-06-30 NonBookrunner JP Morgan Securities PLC JPM GLCO Global Coordinator(s) 0 1 2021-06-30 NonBookrunner Morgan Stanley MS GLCO Global Coordinator(s) 0 1 2021-06-30 Trustee Cravath Swaine &amp; Moore US LAI Legal Adviser to the Issuer(s) 0 16 2021-06-30 Trustee Kirkland &amp; Ellis K&amp;E LAM Legal Adviser(s) to the Manage 0 16 2021-06-30</t>
  </si>
  <si>
    <t>Picard Bondco SA</t>
  </si>
  <si>
    <t>BQ2953876</t>
  </si>
  <si>
    <t>BBG011MCTL07</t>
  </si>
  <si>
    <t>2027-07-01</t>
  </si>
  <si>
    <t>CCC+</t>
  </si>
  <si>
    <t>Bookrunner Credit Suisse Bank Europe SA CS JLMB Joint Lead Managers-Books 0 1 2021-06-30 Bookrunner Deutsche Bank AG/New York NY DB JLMB Joint Lead Managers-Books 0 1 2021-06-30 Bookrunner Goldman Sachs Bank Europe SE GS JLMB Joint Lead Managers-Books 0 1 2021-06-30 Bookrunner HSBC Continental Europe SA HSBCCE JLMB Joint Lead Managers-Books 0 1 2021-06-30 Bookrunner JP Morgan AG JPM JLMB Joint Lead Managers-Books 0 1 2021-06-30 Bookrunner Morgan Stanley Europe SE MSEURO JLMB Joint Lead Managers-Books 0 1 2021-06-30 Bookrunner Natixis NATIX JLMB Joint Lead Managers-Books 0 1 2021-06-30 NonBookrunner Credit Suisse CS GLCO Global Coordinator(s) 0 1 2021-06-30 NonBookrunner Morgan Stanley MS GLCO Global Coordinator(s) 0 1 2021-06-30 Trustee Cravath Swaine &amp; Moore US LAI Legal Adviser to the Issuer(s) 0 16 2021-06-30 Trustee Kirkland &amp; Ellis K&amp;E LAM Legal Adviser(s) to the Manage 0 16 2021-06-30</t>
  </si>
  <si>
    <t>BQ2953892</t>
  </si>
  <si>
    <t>BBG011MCTL43</t>
  </si>
  <si>
    <t>Bookrunner Credit Suisse Bank Europe SA CS JLMB Joint Lead Managers-Books 0 1 2021-06-30 Bookrunner Deutsche Bank AG/New York NY DB JLMB Joint Lead Managers-Books 0 1 2021-06-30 Bookrunner Goldman Sachs Bank Europe SE GS JLMB Joint Lead Managers-Books 0 1 2021-06-30 Bookrunner HSBC Continental Europe SA HSBCCE JLMB Joint Lead Managers-Books 0 1 2021-06-30 Bookrunner JP Morgan AG JPM JLMB Joint Lead Managers-Books 0 1 2021-06-30 Bookrunner Morgan Stanley Europe SE MSEURO JLMB Joint Lead Managers-Books 0 1 2021-06-30 Bookrunner Natixis/New York NY NATIXI JLMB Joint Lead Managers-Books 0 1 2021-06-30 NonBookrunner JP Morgan AG JPM GLCO Global Coordinator(s) 0 1 2021-06-30 NonBookrunner Morgan Stanley MS GLCO Global Coordinator(s) 0 1 2021-06-30 Trustee Cravath Swaine &amp; Moore US LAI Legal Adviser to the Issuer(s) 0 16 2021-06-30 Trustee Kirkland &amp; Ellis K&amp;E LAM Legal Adviser(s) to the Manage 0 16 2021-06-30</t>
  </si>
  <si>
    <t>BQ2954189</t>
  </si>
  <si>
    <t>BBG011MCTM50</t>
  </si>
  <si>
    <t>Bookrunner Credit Suisse Bank Europe SA CS JLMB Joint Lead Managers-Books 0 1 2021-06-30 Bookrunner Deutsche Bank AG/New York NY DB JLMB Joint Lead Managers-Books 0 1 2021-06-30 Bookrunner Goldman Sachs Bank Europe SE GS JLMB Joint Lead Managers-Books 0 1 2021-06-30 Bookrunner HSBC Continental Europe SA HSBCCE JLMB Joint Lead Managers-Books 0 1 2021-06-30 Bookrunner JP Morgan AG JPM JLMB Joint Lead Managers-Books 0 1 2021-06-30 Bookrunner Morgan Stanley Europe SE MSEURO JLMB Joint Lead Managers-Books 0 1 2021-06-30 Bookrunner Natixis/New York NY NATIXI JLMB Joint Lead Managers-Books 0 1 2021-06-30 NonBookrunner Goldman Sachs GS GLCO Global Coordinator(s) 0 1 2021-06-30 NonBookrunner Morgan Stanley MS GLCO Global Coordinator(s) 0 1 2021-06-30 Trustee Cravath Swaine &amp; Moore US LAI Legal Adviser to the Issuer(s) 0 16 2021-06-30 Trustee Kirkland &amp; Ellis K&amp;E LAM Legal Adviser(s) to the Manage 0 16 2021-06-30</t>
  </si>
  <si>
    <t>BQ2954205</t>
  </si>
  <si>
    <t>BBG011MCTMK3</t>
  </si>
  <si>
    <t>Suzano Austria GmbH</t>
  </si>
  <si>
    <t>BQ2995893</t>
  </si>
  <si>
    <t>BBG011MF43T6</t>
  </si>
  <si>
    <t>SUZANO</t>
  </si>
  <si>
    <t>DM3N</t>
  </si>
  <si>
    <t>Forest &amp; Paper Products Manufacturing</t>
  </si>
  <si>
    <t>STEP-UP MARGIN: 12.5 BPS IF INDUSTRIAL WATER TARGET OR WOMEN IN LEADERSHIP TARGET NOT MET OR 25 BPS IF NEITHER IS MET.</t>
  </si>
  <si>
    <t>Bookrunner BNP Paribas Securities Corp BNPPAR JLMB Joint Lead Managers-Books 100000 1 2021-06-28 Bookrunner BofA Securities BofA JLMB Joint Lead Managers-Books 100000 1 2021-06-28 Bookrunner Credit Agricole Securities USA CASECS JLMB Joint Lead Managers-Books 100000 1 2021-06-28 Bookrunner Goldman Sachs Bank Europe SE GS JLMB Joint Lead Managers-Books 100000 1 2021-06-28 Bookrunner JP Morgan Securities LLC JPM JLMB Joint Lead Managers-Books 100000 1 2021-06-28 Bookrunner Mizuho Securities USA LLC MIZ JLMB Joint Lead Managers-Books 100000 1 2021-06-28 Bookrunner MUFG Securities Americas Inc MUFG JLMB Joint Lead Managers-Books 100000 1 2021-06-28 Bookrunner Rabo Securities USA Inc RABO JLMB Joint Lead Managers-Books 100000 1 2021-06-28 Bookrunner Scotia Capital USA Inc SCOTIA JLMB Joint Lead Managers-Books 100000 1 2021-06-28 Bookrunner SMBC Nikko Securities America SMBC JLMB Joint Lead Managers-Books 100000 1 2021-06-28 Trustee Deutsche Bank Trust Co America DB PAAG Paying Agent(s) 0 7 2021-06-28 Trustee Deutsche Bank Trust Co America DB TRST Trustee(s) 0 7 2021-06-28 Trustee Deutsche Bank Trust Co America DB RGST Registrar(s) 0 7 2021-06-28 Trustee Cleary Gottlieb Steen &amp; Hamilt CGS&amp;H LAI Legal Adviser to the Issuer(s) 0 16 2021-06-28 Trustee Internal Adviser IA LAI Legal Adviser to the Issuer(s) 0 16 2021-06-28 Trustee Weber Rechtsanwalte GmbH WEBERR LAI Legal Adviser to the Issuer(s) 0 16 2021-06-28 Trustee Paul Hastings LLP PAULHS LAM Legal Adviser(s) to the Manage 0 16 2021-06-28 ESG Assurance Provider ISS-oekom ISSOEK SNPC 2nd Party Consultant 0 30 2021-06-28</t>
  </si>
  <si>
    <t>Repsol Europe Finance Sarl</t>
  </si>
  <si>
    <t>BQ3131753</t>
  </si>
  <si>
    <t>BBG011MLK4J4</t>
  </si>
  <si>
    <t>REPSM</t>
  </si>
  <si>
    <t>2029-07-06</t>
  </si>
  <si>
    <t>25bps/annum step up in 2027-2029 if the group fails to reduce its Carbon Intensity Indicator (CII) by 12% by 2025</t>
  </si>
  <si>
    <t>Bookrunner Bank of America Securities Ltd BASL JLMB Joint Lead Managers-Books 0 1 2021-06-29 Bookrunner Barclays BARCS JLMB Joint Lead Managers-Books 0 1 2021-06-29 Bookrunner BBVA Securities Ltd BBVA JLMB Joint Lead Managers-Books 0 1 2021-06-29 Bookrunner BNP Paribas BNPP JLMB Joint Lead Managers-Books 0 1 2021-06-29 Bookrunner Commerzbank COBA JLMB Joint Lead Managers-Books 0 1 2021-06-29 Bookrunner Credit Agricole CIB CACIB JLMB Joint Lead Managers-Books 0 1 2021-06-29 Bookrunner Credit Suisse CS JLMB Joint Lead Managers-Books 0 1 2021-06-29 Bookrunner Goldman Sachs Bank Europe SE GS JLMB Joint Lead Managers-Books 0 1 2021-06-29 Bookrunner HSBC HSBC JLMB Joint Lead Managers-Books 0 1 2021-06-29 Bookrunner Morgan Stanley International L MSINT JLMB Joint Lead Managers-Books 0 1 2021-06-29 Bookrunner MUFG Securities EMEA PLC MUFG JLMB Joint Lead Managers-Books 0 1 2021-06-29 Bookrunner Natixis NATIX JLMB Joint Lead Managers-Books 0 1 2021-06-29 Bookrunner Societe Generale SG JLMB Joint Lead Managers-Books 0 1 2021-06-29 NonBookrunner BBVA Securities Ltd BBVA GLCO Global Coordinator(s) 0 1 2021-06-29 NonBookrunner HSBC HSBC GLCO Global Coordinator(s) 0 1 2021-06-29 NonBookrunner Natixis NATIX GLCO Global Coordinator(s) 0 1 2021-06-29 Trustee Banque Internationale A Luxemb BIL PAAG Paying Agent(s) 0 7 2021-06-29 Trustee Citibank NA/London CITI PAAG Paying Agent(s) 0 7 2021-06-29 Trustee Citibank NA/London CITI CALC Calculation Agent(s) 0 7 2021-06-29 Trustee Citicorp Trustee Company Ltd CITI TRST Trustee(s) 0 7 2021-06-29 Trustee Banque Internationale A Luxemb BIL LIST Listing Agent(s) 0 7 2021-06-29 Trustee Citibank NA/London CITI ISAG Issuing Agent(s) 0 7 2021-06-29 Trustee Freshfields Bruckhaus Deringer FSHFLD LAI Legal Adviser to the Issuer(s) 0 16 2021-06-29 Trustee Linklaters LLP L&amp;A LAT Legal Adviser(s) to the Truste 0 16 2021-06-29 Trustee Linklaters LLP L&amp;A LAM Legal Adviser(s) to the Manage 0 16 2021-06-29 Trustee Linklaters/Madrid LINKMA LAM Legal Adviser(s) to the Manage 0 16 2021-06-29 ESG Assurance Provider ISS-oekom ISSOEK SNPC 2nd Party Consultant 0 30 2021-06-29</t>
  </si>
  <si>
    <t>BQ3131761</t>
  </si>
  <si>
    <t>BBG011MLK4P7</t>
  </si>
  <si>
    <t>2033-07-06</t>
  </si>
  <si>
    <t>37.5bps/annum step up in 2032-2033 if the group fails to reduce its Carbon Intensity Indicator (CII) by 25% by 2030</t>
  </si>
  <si>
    <t>Bookrunner Banco Bilbao Vizcaya Argentari BBVA JLMB Joint Lead Managers-Books 0 1 2021-06-29 Bookrunner Barclays BARCS JLMB Joint Lead Managers-Books 0 1 2021-06-29 Bookrunner BNP Paribas BNPP JLMB Joint Lead Managers-Books 0 1 2021-06-29 Bookrunner BofA Securities BofA JLMB Joint Lead Managers-Books 0 1 2021-06-29 Bookrunner Commerzbank COBA JLMB Joint Lead Managers-Books 0 1 2021-06-29 Bookrunner Credit Agricole CIB CACIB JLMB Joint Lead Managers-Books 0 1 2021-06-29 Bookrunner Credit Suisse CS JLMB Joint Lead Managers-Books 0 1 2021-06-29 Bookrunner Goldman Sachs Bank Europe SE GS JLMB Joint Lead Managers-Books 0 1 2021-06-29 Bookrunner HSBC HSBC JLMB Joint Lead Managers-Books 0 1 2021-06-29 Bookrunner Mitsubishi UFJ Financial Group MUFG JLMB Joint Lead Managers-Books 0 1 2021-06-29 Bookrunner Morgan Stanley MS JLMB Joint Lead Managers-Books 0 1 2021-06-29 Bookrunner Natixis NATIX JLMB Joint Lead Managers-Books 0 1 2021-06-29 Bookrunner Societe Generale SG JLMB Joint Lead Managers-Books 0 1 2021-06-29 NonBookrunner Banco Bilbao Vizcaya Argentari BBVA GLCO Global Coordinator(s) 0 1 2021-06-29 NonBookrunner HSBC HSBC GLCO Global Coordinator(s) 0 1 2021-06-29 NonBookrunner Natixis NATIX GLCO Global Coordinator(s) 0 1 2021-06-29 Trustee Banque Internationale A Luxemb BIL PAAG Paying Agent(s) 0 7 2021-06-29 Trustee Citibank NA/London CITI PAAG Paying Agent(s) 0 7 2021-06-29 Trustee Citibank NA/London CITI CALC Calculation Agent(s) 0 7 2021-06-29 Trustee Citicorp Trustee Company Ltd CITI TRST Trustee(s) 0 7 2021-06-29 Trustee Banque Internationale A Luxemb BIL LIST Listing Agent(s) 0 7 2021-06-29 Trustee Citibank NA/London CITI ISAG Issuing Agent(s) 0 7 2021-06-29 Trustee Freshfields Bruckhaus Deringer FSHFLD LAI Legal Adviser to the Issuer(s) 0 16 2021-06-29 Trustee Linklaters LLP L&amp;A LAT Legal Adviser(s) to the Truste 0 16 2021-06-29 Trustee Linklaters LLP L&amp;A LAM Legal Adviser(s) to the Manage 0 16 2021-06-29 Trustee Linklaters L&amp;A LAM Legal Adviser(s) to the Manage 0 16 2021-06-29 Trustee Linklaters/Madrid LINKMA LAM Legal Adviser(s) to the Manage 0 16 2021-06-29 ESG Assurance Provider ISS-oekom ISSOEK SNPC 2nd Party Consultant 0 30 2021-06-29</t>
  </si>
  <si>
    <t>A2A SpA</t>
  </si>
  <si>
    <t>BQ3956720</t>
  </si>
  <si>
    <t>BBG011PLBMH3</t>
  </si>
  <si>
    <t>AEMSPA</t>
  </si>
  <si>
    <t>2021-07-15</t>
  </si>
  <si>
    <t>STEP-UP MARGIN: 25BP, STEP-UP EVENT: EMISSION INTENSITY ABOVE 296 gCO2/kWh (REFERENCE DATE 31 Dec 2025)</t>
  </si>
  <si>
    <t>Bookrunner Banco Bilbao Vizcaya London Br BBV JLMB Joint Lead Managers-Books 0 1 2021-07-07 Bookrunner Banco Santander SA/London SANTAN JLMB Joint Lead Managers-Books 0 1 2021-07-07 Bookrunner BNP Paribas/London BNPPAR JLMB Joint Lead Managers-Books 0 1 2021-07-07 Bookrunner Citigroup Global Markets Ltd CITI JLMB Joint Lead Managers-Books 0 1 2021-07-07 Bookrunner IMI - Intesa Sanpaolo IMI JLMB Joint Lead Managers-Books 0 1 2021-07-07 Bookrunner JP Morgan Securities PLC JPM JLMB Joint Lead Managers-Books 0 1 2021-07-07 Bookrunner Mediobanca MEDBCA JLMB Joint Lead Managers-Books 0 1 2021-07-07 Bookrunner Societe Generale SG JLMB Joint Lead Managers-Books 0 1 2021-07-07 Bookrunner UniCredit Bank AG/London UNICRD JLMB Joint Lead Managers-Books 0 1 2021-07-07 NonBookrunner JP Morgan Securities PLC JPM GLCO Global Coordinator(s) 0 1 2021-07-07 NonBookrunner UniCredit Bank AG/London UNICRD GLCO Global Coordinator(s) 0 1 2021-07-07 NonBookrunner JP Morgan Securities PLC JPM ESGA ESG Agent 0 1 2021-07-07 NonBookrunner UniCredit Bank AG/London UNICRD ESGA ESG Agent 0 1 2021-07-07 Trustee Bank of New York Mellon/London BNY AGNT Agent(s) 0 7 2021-07-07 Trustee Bank of New York Mellon SA-NV/ BANKOF LIST Listing Agent(s) 0 7 2021-07-07 Trustee Orrick Herrington &amp; Sutcliffe ORRICK LAI Legal Adviser to the Issuer(s) 0 16 2021-07-07 Trustee Allen &amp; Overy/Rome ALOVIT LAM Legal Adviser(s) to the Manage 0 16 2021-07-07 Trustee Allen &amp; Overy/Milan IT LAM Legal Adviser(s) to the Manage 0 16 2021-07-07 ESG Assurance Provider Vigeo SASV VIGEO SNPC 2nd Party Consultant 0 30 2021-07-07</t>
  </si>
  <si>
    <t>BQ4396710</t>
  </si>
  <si>
    <t>BBG011Q3W835</t>
  </si>
  <si>
    <t>2021-07-12</t>
  </si>
  <si>
    <t>2026-07-12</t>
  </si>
  <si>
    <t>STEP-UP MARGIN: 25BP, STEP-UP EVENT: 12/31/23 DIRECT GHG EMISSIONS BEING ABOVE 148G/KWHEQ</t>
  </si>
  <si>
    <t>Bookrunner Barclays Capital BCLY JLMB Joint Lead Managers-Books 0 1 2021-07-07 Bookrunner BNP Paribas/New York BNPPAR JLMB Joint Lead Managers-Books 0 1 2021-07-07 Bookrunner BofA Securities BofA JLMB Joint Lead Managers-Books 0 1 2021-07-07 Bookrunner Citigroup Global Markets Inc CITI JLMB Joint Lead Managers-Books 0 1 2021-07-07 Bookrunner Credit Agricole Securities USA CASECS JLMB Joint Lead Managers-Books 0 1 2021-07-07 Bookrunner Credit Suisse CS JLMB Joint Lead Managers-Books 0 1 2021-07-07 Bookrunner Goldman Sachs GS JLMB Joint Lead Managers-Books 0 1 2021-07-07 Bookrunner HSBC Securities HSBC JLMB Joint Lead Managers-Books 0 1 2021-07-07 Bookrunner JP Morgan JPM JLMB Joint Lead Managers-Books 0 1 2021-07-07 Bookrunner Mizuho Securities USA Inc MIZ JLMB Joint Lead Managers-Books 0 1 2021-07-07 Bookrunner Morgan Stanley MS JLMB Joint Lead Managers-Books 0 1 2021-07-07 Bookrunner SMBC Nikko Securities America SMBC JLMB Joint Lead Managers-Books 0 1 2021-07-07 Bookrunner Societe Generale SG JLMB Joint Lead Managers-Books 0 1 2021-07-07 Trustee Latham &amp; Watkins LLP LATHAM LAM Legal Adviser(s) to the Manage 0 16 2021-07-07 ESG Assurance Provider Vigeo SASV VIGEO SNPC 2nd Party Consultant 0 30 2021-07-07</t>
  </si>
  <si>
    <t>BQ4396728</t>
  </si>
  <si>
    <t>BBG011Q3W871</t>
  </si>
  <si>
    <t>2028-07-12</t>
  </si>
  <si>
    <t>STEP-UP MARGIN: 25BP, STEP-UP EVENTS: DEC 2023, GHG EMISSIONS &gt;148G/KWHEQ</t>
  </si>
  <si>
    <t>BQ4396736</t>
  </si>
  <si>
    <t>BBG011Q3W8Z0</t>
  </si>
  <si>
    <t>2031-07-12</t>
  </si>
  <si>
    <t>BQ4396744</t>
  </si>
  <si>
    <t>BBG011Q3W942</t>
  </si>
  <si>
    <t>2041-07-12</t>
  </si>
  <si>
    <t>STEP-UP MARGIN: 25BP, STEP-UP EVENTS: DEC 2030, GHG EMISSIONS &gt;82G/KWHEQ</t>
  </si>
  <si>
    <t>BQ4396769</t>
  </si>
  <si>
    <t>BBG011Q3W9H8</t>
  </si>
  <si>
    <t>Bookrunner Barclays Capital BCLY JLMB Joint Lead Managers-Books 0 1 2021-07-07 Bookrunner BNP Paribas/New York BNPPAR JLMB Joint Lead Managers-Books 0 1 2021-07-07 Bookrunner BofA Securities BofA JLMB Joint Lead Managers-Books 0 1 2021-07-07 Bookrunner Citigroup Global Markets Inc CITI JLMB Joint Lead Managers-Books 0 1 2021-07-07 Bookrunner Credit Agricole Securities USA CASECS JLMB Joint Lead Managers-Books 0 1 2021-07-07 Bookrunner Credit Suisse CS JLMB Joint Lead Managers-Books 0 1 2021-07-07 Bookrunner Goldman Sachs GS JLMB Joint Lead Managers-Books 0 1 2021-07-07 Bookrunner HSBC Securities HSBC JLMB Joint Lead Managers-Books 0 1 2021-07-07 Bookrunner JP Morgan JPM JLMB Joint Lead Managers-Books 0 1 2021-07-07 Bookrunner Mizuho Securities USA Inc MIZ JLMB Joint Lead Managers-Books 0 1 2021-07-07 Bookrunner Morgan Stanley MS JLMB Joint Lead Managers-Books 0 1 2021-07-07 Bookrunner SMBC Nikko Securities America SMBC JLMB Joint Lead Managers-Books 0 1 2021-07-07 Bookrunner Societe Generale SG JLMB Joint Lead Managers-Books 0 1 2021-07-07 Trustee Latham &amp; Watkins LLP LATHAM LAM Legal Adviser(s) to the Manage 0 16 2021-07-07</t>
  </si>
  <si>
    <t>BQ4396777</t>
  </si>
  <si>
    <t>BBG011Q3WB56</t>
  </si>
  <si>
    <t>BQ4396785</t>
  </si>
  <si>
    <t>BBG011Q3WB83</t>
  </si>
  <si>
    <t>BQ4396793</t>
  </si>
  <si>
    <t>BBG011Q3WBF5</t>
  </si>
  <si>
    <t>BQ5041802</t>
  </si>
  <si>
    <t>BBG011RFPD70</t>
  </si>
  <si>
    <t>2021-07-21</t>
  </si>
  <si>
    <t>2028-07-31</t>
  </si>
  <si>
    <t>STEP-UP MARGIN: 50BP, STEP-UP EVENT: 57% REDUCTION IN C02 EMISSIONS BY 12/2023, 2019 BASE YEAR</t>
  </si>
  <si>
    <t>Bookrunner Alpha Bank AE ALPHA JLMB Joint Lead Managers-Books 0 1 2021-07-14 Bookrunner Ambrosia Capital Ltd/United Ki AMBCAP JLMB Joint Lead Managers-Books 0 1 2021-07-14 Bookrunner Axia Ventures Group Ltd AxiaVe JLMB Joint Lead Managers-Books 0 1 2021-07-14 Bookrunner Citi CITI JLMB Joint Lead Managers-Books 0 1 2021-07-14 Bookrunner Credit Suisse CS JLMB Joint Lead Managers-Books 0 1 2021-07-14 Bookrunner Eurobank EUROBK JLMB Joint Lead Managers-Books 0 1 2021-07-14 Bookrunner Goldman Sachs Bank Europe SE GS JLMB Joint Lead Managers-Books 0 1 2021-07-14 Bookrunner HSBC HSBC JLMB Joint Lead Managers-Books 0 1 2021-07-14 Bookrunner JP Morgan JPM JLMB Joint Lead Managers-Books 0 1 2021-07-14 Bookrunner National Bank of Greece NBG JLMB Joint Lead Managers-Books 0 1 2021-07-14 Bookrunner Piraeus Bank PIRAEU JLMB Joint Lead Managers-Books 0 1 2021-07-14 NonBookrunner Citi CITI GLCO Global Coordinator(s) 0 1 2021-07-14 NonBookrunner Goldman Sachs Bank Europe SE GS GLCO Global Coordinator(s) 0 1 2021-07-14 NonBookrunner HSBC HSBC GLCO Global Coordinator(s) 0 1 2021-07-14 Trustee HSBC HSBC PAAG Paying Agent(s) 0 7 2021-07-14 Trustee HSBC HSBC TRST Trustee(s) 0 7 2021-07-14 Trustee HSBC HSBC TRNS Transfer Agent(s) 0 7 2021-07-14 Trustee Milbank LLP MILLLP LAI Legal Adviser to the Issuer(s) 0 16 2021-07-14 Trustee Latham &amp; Watkins LLP LATHAM LAM Legal Adviser(s) to the Manage 0 16 2021-07-14 ESG Assurance Provider Sustainalytics BV SUSANA SNPC 2nd Party Consultant 0 30 2021-07-14</t>
  </si>
  <si>
    <t>Valeo</t>
  </si>
  <si>
    <t>BQ6920418</t>
  </si>
  <si>
    <t>BBG011XTZZP3</t>
  </si>
  <si>
    <t>FRFP</t>
  </si>
  <si>
    <t>2021-08-03</t>
  </si>
  <si>
    <t>2028-08-03</t>
  </si>
  <si>
    <t>STEP-UP MARGIN: 37.5 BP, STEP-UP EVENT: CO2 EMISSIONS</t>
  </si>
  <si>
    <t>Bookrunner BNP Paribas BNPP JLMB Joint Lead Managers-Books 0 1 2021-07-27 Bookrunner Credit Agricole CIB CACIB JLMB Joint Lead Managers-Books 0 1 2021-07-27 Bookrunner Credit Mutuel-CIC CM-CIC JLMB Joint Lead Managers-Books 0 1 2021-07-27 Bookrunner Mizuho International PLC MIZUHO JLMB Joint Lead Managers-Books 0 1 2021-07-27 Bookrunner Natixis NATIX JLMB Joint Lead Managers-Books 0 1 2021-07-27 Bookrunner Societe Generale SG JLMB Joint Lead Managers-Books 0 1 2021-07-27 NonBookrunner BNP Paribas BNPP GLCO Global Coordinator(s) 0 1 2021-07-27 NonBookrunner Credit Agricole CIB CACIB GLCO Global Coordinator(s) 0 1 2021-07-27 Trustee Clifford Chance LLP CHANCE LAM Legal Adviser(s) to the Manage 0 16 2021-07-27 ESG Assurance Provider ISS-oekom ISSOEK SNPC 2nd Party Consultant 0 30 2021-07-27</t>
  </si>
  <si>
    <t>ista International GmbH</t>
  </si>
  <si>
    <t>BR0363092</t>
  </si>
  <si>
    <t>BBG01252KSY3</t>
  </si>
  <si>
    <t>ISTAGR</t>
  </si>
  <si>
    <t>2021-09-23</t>
  </si>
  <si>
    <t>2026-09-23</t>
  </si>
  <si>
    <t>ESG-LINKED SCHULDSCHEIN:+/- UP TO 5BPS DEPENDING ON KPIS ACHIEVED OUT OF 5. ADDITIONAL ISSUER: TRIONISTA TOPCO, TRIONISTA HOLDCO &amp; ISTA DEUTSCHLAND.</t>
  </si>
  <si>
    <t>Bookrunner Landesbank Baden-Wuerttemberg LBBW JLMB Joint Lead Managers-Books 0 1 2021-09-23 Bookrunner Raiffeisen Bank International RAIINT JLMB Joint Lead Managers-Books 0 1 2021-09-23 Bookrunner UniCredit Bank AG UNICRD JLMB Joint Lead Managers-Books 0 1 2021-09-23</t>
  </si>
  <si>
    <t>BR0363373</t>
  </si>
  <si>
    <t>BBG01252LV66</t>
  </si>
  <si>
    <t>2024-09-23</t>
  </si>
  <si>
    <t>Holcim US Finance Sarl &amp; Cie SCS</t>
  </si>
  <si>
    <t>BR1756716</t>
  </si>
  <si>
    <t>BBG0129MLJ01</t>
  </si>
  <si>
    <t>2021-09-02</t>
  </si>
  <si>
    <t>2031-10-15</t>
  </si>
  <si>
    <t>STEP-UP MARGIN: 1.50%, STEP-UP EVENT: DEC 2030 CO2 EMISSIONS</t>
  </si>
  <si>
    <t>Bookrunner Morgan Stanley MS JLMB Joint Lead Managers-Books 0 1 2021-08-25 Bookrunner NatWest Markets NWM JLMB Joint Lead Managers-Books 0 1 2021-08-25 Trustee Citibank NA/London CITI PAAG Paying Agent(s) 0 7 2021-08-25 Trustee Citibank NA/London CITI FISC Fiscal Agent(s) 0 7 2021-08-25 Trustee Citibank NA/London CITI TRNS Transfer Agent(s) 0 7 2021-08-25 Trustee Citibank Europe PLC CITIFS RGST Registrar(s) 0 7 2021-08-25 Trustee Homburger AG HOMBRE LAI Legal Adviser to the Issuer(s) 0 16 2021-08-25 Trustee Linklaters LLP L&amp;A LAI Legal Adviser to the Issuer(s) 0 16 2021-08-25 Trustee Linklaters LLP/Luxembourg LINKLS LAI Legal Adviser to the Issuer(s) 0 16 2021-08-25 Trustee Linklaters L&amp;A LAI Legal Adviser to the Issuer(s) 0 16 2021-08-25 Trustee Clifford Chance LLP CHANCE LAM Legal Adviser(s) to the Manage 0 16 2021-08-25 ESG Assurance Provider ISS-oekom ISSOEK SNPC 2nd Party Consultant 0 30 2021-08-25</t>
  </si>
  <si>
    <t>Holding d'Infrastructures des Metiers de l'Environnement</t>
  </si>
  <si>
    <t>BR3184446</t>
  </si>
  <si>
    <t>BBG012F0DHN0</t>
  </si>
  <si>
    <t>SAUR</t>
  </si>
  <si>
    <t>2021-09-16</t>
  </si>
  <si>
    <t>2025-09-16</t>
  </si>
  <si>
    <t>Other Utility</t>
  </si>
  <si>
    <t>STEP-UP MARGIN: 12.5 BP PER KPI, STEP-UP EVENT: WATER WITHDRAWALS, CARBON INTENSITY 3-YR ROLLING AVERAGE</t>
  </si>
  <si>
    <t>Bookrunner BNP Paribas/London BNPPAR JLMB Joint Lead Managers-Books 0 1 2021-09-09 Bookrunner HSBC HSBC JLMB Joint Lead Managers-Books 0 1 2021-09-09 Bookrunner Morgan Stanley &amp; Co Internatio MS JLMB Joint Lead Managers-Books 0 1 2021-09-09 Bookrunner Natixis/London NATIX JLMB Joint Lead Managers-Books 0 1 2021-09-09 Trustee Clifford Chance LLP CHANCE LAM Legal Adviser(s) to the Manage 0 16 2021-09-09</t>
  </si>
  <si>
    <t>BR3193496</t>
  </si>
  <si>
    <t>BBG012F0KZS7</t>
  </si>
  <si>
    <t>2028-09-16</t>
  </si>
  <si>
    <t>Bookrunner BNP Paribas BNPP JLMB Joint Lead Managers-Books 0 1 2021-09-09 Bookrunner BofA Securities Europe SA BOFAS JLMB Joint Lead Managers-Books 0 1 2021-09-09 Bookrunner CaixaBank CAIXA JLMB Joint Lead Managers-Books 0 1 2021-09-09 Bookrunner Credit Agricole CIB CACIB JLMB Joint Lead Managers-Books 0 1 2021-09-09 Bookrunner HSBC HSBC JLMB Joint Lead Managers-Books 0 1 2021-09-09 Bookrunner Morgan Stanley &amp; Co Internatio MS JLMB Joint Lead Managers-Books 0 1 2021-09-09 Bookrunner Natixis NATIX JLMB Joint Lead Managers-Books 0 1 2021-09-09 Bookrunner Societe Generale SG JLMB Joint Lead Managers-Books 0 1 2021-09-09 NonBookrunner BNP Paribas BNPP GLCO Global Coordinator(s) 0 1 2021-09-09 NonBookrunner HSBC HSBC GLCO Global Coordinator(s) 0 1 2021-09-09 NonBookrunner Morgan Stanley &amp; Co Internatio MS GLCO Global Coordinator(s) 0 1 2021-09-09 NonBookrunner Natixis NATIX GLCO Global Coordinator(s) 0 1 2021-09-09 Trustee Clifford Chance LLP CHANCE LAM Legal Adviser(s) to the Manage 0 16 2021-09-09</t>
  </si>
  <si>
    <t>BR3636874</t>
  </si>
  <si>
    <t>BBG012FD1XF9</t>
  </si>
  <si>
    <t>2021-09-13</t>
  </si>
  <si>
    <t>2028-09-15</t>
  </si>
  <si>
    <t>STEP-UP MARGIN: 25BP, STEP-UP EVENT: GREENHOUSE GAS EMISSIONS</t>
  </si>
  <si>
    <t>Bookrunner BNP Paribas/New York BNPPAR JLMB Joint Lead Managers-Books 54054 1 2021-09-08 Bookrunner BofA Securities BofA JLMB Joint Lead Managers-Books 54054 1 2021-09-08 Bookrunner Bradesco BBI SA BRADSC JLMB Joint Lead Managers-Books 13514 1 2021-09-08 Bookrunner Credit Agricole Securities USA CASECS JLMB Joint Lead Managers-Books 54054 1 2021-09-08 Bookrunner JP Morgan JPM JLMB Joint Lead Managers-Books 54054 1 2021-09-08 Bookrunner Mizuho Securities USA Inc MIZ JLMB Joint Lead Managers-Books 54054 1 2021-09-08 Bookrunner MUFG Securities Americas Inc MUFG JLMB Joint Lead Managers-Books 54054 1 2021-09-08 Bookrunner Rabo Securities USA Inc RABO JLMB Joint Lead Managers-Books 54054 1 2021-09-08 Bookrunner Scotia Capital USA Inc SCOTIA JLMB Joint Lead Managers-Books 54054 1 2021-09-08 Bookrunner SMBC Nikko Securities America SMBC JLMB Joint Lead Managers-Books 54054 1 2021-09-08 NonBookrunner BNP Paribas/New York BNPPAR GLCO Global Coordinator(s) 0 1 2021-09-08 NonBookrunner BofA Securities BofA GLCO Global Coordinator(s) 0 1 2021-09-08 NonBookrunner JP Morgan JPM GLCO Global Coordinator(s) 0 1 2021-09-08 NonBookrunner Mizuho Securities USA Inc MIZ GLCO Global Coordinator(s) 0 1 2021-09-08 NonBookrunner Rabo Securities USA Inc RABO GLCO Global Coordinator(s) 0 1 2021-09-08 NonBookrunner Scotia Capital USA Inc SCOTIA GLCO Global Coordinator(s) 0 1 2021-09-08 Trustee Deutsche Bank Trust Company Am DB PAAG Paying Agent(s) 0 7 2021-09-08 Trustee Deutsche Bank Trust Company Am DB TRST Trustee(s) 0 7 2021-09-08 Trustee Deutsche Bank Trust Company Am DB TRNS Transfer Agent(s) 0 7 2021-09-08 Trustee Deutsche Bank Trust Company Am DB RGST Registrar(s) 0 7 2021-09-08 Trustee Cleary Gottlieb Steen &amp; Hamilt CGS&amp;H LAI Legal Adviser to the Issuer(s) 0 16 2021-09-08 Trustee Internal Adviser IA LAI Legal Adviser to the Issuer(s) 0 16 2021-09-08 Trustee Weber Rechtsanwalte GmbH WEBERR LAI Legal Adviser to the Issuer(s) 0 16 2021-09-08 Trustee Allen &amp; Overy LLP ALLOVR LAM Legal Adviser(s) to the Manage 0 16 2021-09-08 Trustee Pinheiro &amp; Guimaraes Ltda PIGULT LAM Legal Adviser(s) to the Manage 0 16 2021-09-08 ESG Assurance Provider ISS-oekom ISSOEK SNPC 2nd Party Consultant 0 30 2021-09-08</t>
  </si>
  <si>
    <t>Verde Bidco SpA</t>
  </si>
  <si>
    <t>BR4160098</t>
  </si>
  <si>
    <t>BBG012HPF995</t>
  </si>
  <si>
    <t>ITLYUM</t>
  </si>
  <si>
    <t>2021-10-01</t>
  </si>
  <si>
    <t>2026-10-01</t>
  </si>
  <si>
    <t>Waste &amp; Environment Services &amp; Equipment</t>
  </si>
  <si>
    <t>Environmental</t>
  </si>
  <si>
    <t>Bookrunner BofA Securities Europe SA BOFAS SOLE Sole Manager 0 4 2021-11-26 Bookrunner Bank of America BA JLMB Joint Lead Managers-Books 0 4 2021-10-29 Bookrunner Credit Suisse CS JLMB Joint Lead Managers-Books 0 4 2021-10-29 #N/A N/A Latham &amp; Watkins LLP LATHAM LAM Legal Adviser(s) to the Manage 0 17 2021-10-29 Bookrunner Banca IMI B.IMI JLMB Joint Lead Managers-Books 0 1 2021-09-15 Bookrunner Bank of America Securities Ltd BASL JLMB Joint Lead Managers-Books 0 1 2021-09-15 Bookrunner Credit Suisse CS JLMB Joint Lead Managers-Books 0 1 2021-09-15 Bookrunner UniCredit UNICRD JLMB Joint Lead Managers-Books 0 1 2021-09-15 NonBookrunner Bank of America Securities Ltd BASL GLCO Global Coordinator(s) 0 1 2021-09-15 NonBookrunner Credit Suisse CS GLCO Global Coordinator(s) 0 1 2021-09-15 Trustee Bank of New York Mellon/London BNY PAAG Paying Agent(s) 0 7 2021-09-15 Trustee Law Debenture Trust Corp PLC LAWDEB TRST Trustee(s) 0 7 2021-09-15 Trustee Bank of New York Mellon/London BNY TRNS Transfer Agent(s) 0 7 2021-09-15 Trustee Bank of New York Mellon SA-NV/ BNYM RGST Registrar(s) 0 7 2021-09-15 Trustee Gattai Minoli Agostinelli &amp; Pa GATTAI LAI Legal Adviser to the Issuer(s) 0 16 2021-09-15 Trustee Weil Gotshal &amp; Manges LLP WG&amp;M LAI Legal Adviser to the Issuer(s) 0 16 2021-09-15 Trustee White &amp; Case LLP WC1 LAT Legal Adviser(s) to the Truste 0 16 2021-09-15 Trustee Latham &amp; Watkins LLP LATHAM LAM Legal Adviser(s) to the Manage 0 16 2021-09-15 Trustee Latham &amp; Watkins LLP LATHAM LAM Legal Adviser(s) to the Manage 0 16 2021-09-15</t>
  </si>
  <si>
    <t>BR4193255</t>
  </si>
  <si>
    <t>BBG012HQDNP6</t>
  </si>
  <si>
    <t>STEP-UP PREMIUM: REDEMPTION 0.3% (A) + 0.3% (B) OF PRINCIPAL AMOUNT OF THE NOTES UNLESS ACHIEVED (A) CO2 AVOIDED EMISSIONS TARGET AND (B) QUANT. OF WASTE TARGET</t>
  </si>
  <si>
    <t>Bookrunner BofA Securities Europe SA BOFAS SOLE Sole Manager 0 4 2021-11-26 Bookrunner Bank of America BA JLMB Joint Lead Managers-Books 0 4 2021-10-29 Bookrunner Credit Suisse CS JLMB Joint Lead Managers-Books 0 4 2021-10-29 #N/A N/A Latham &amp; Watkins LLP LATHAM LAM Legal Adviser(s) to the Manage 0 17 2021-10-29 Bookrunner Banca IMI B.IMI JLMB Joint Lead Managers-Books 0 1 2021-09-15 Bookrunner Bank of America Securities Ltd BASL JLMB Joint Lead Managers-Books 0 1 2021-09-15 Bookrunner Credit Suisse CS JLMB Joint Lead Managers-Books 0 1 2021-09-15 Bookrunner UniCredit UNICRD JLMB Joint Lead Managers-Books 0 1 2021-09-15 NonBookrunner Bank of America Securities Ltd BASL GLCO Global Coordinator(s) 0 1 2021-09-15 NonBookrunner Credit Suisse CS GLCO Global Coordinator(s) 0 1 2021-09-15 Trustee Bank of New York Mellon/London BNY PAAG Paying Agent(s) 0 7 2021-09-15 Trustee Law Debenture Trust Corp PLC LAWDEB TRST Trustee(s) 0 7 2021-09-15 Trustee Bank of New York Mellon/London BNY TRNS Transfer Agent(s) 0 7 2021-09-15 Trustee Bank of New York Mellon SA-NV/ BNYM RGST Registrar(s) 0 7 2021-09-15 Trustee Gattai Minoli Agostinelli &amp; Pa GATTAI LAI Legal Adviser to the Issuer(s) 0 16 2021-09-15 Trustee Weil Gotshal &amp; Manges LLP WG&amp;M LAI Legal Adviser to the Issuer(s) 0 16 2021-09-15 Trustee White &amp; Case LLP WC1 LAT Legal Adviser(s) to the Truste 0 16 2021-09-15 Trustee Latham &amp; Watkins LLP LATHAM LAM Legal Adviser(s) to the Manage 0 16 2021-09-15 Trustee Latham &amp; Watkins LLP LATHAM LAM Legal Adviser(s) to the Manage 0 16 2021-09-15 ESG Assurance Provider ISS-oekom ISSOEK SNPC 2nd Party Consultant 0 30 2021-09-15</t>
  </si>
  <si>
    <t>Johnson Controls International plc / Tyco Fire &amp; Security Finance SCA</t>
  </si>
  <si>
    <t>BR4231683</t>
  </si>
  <si>
    <t>BBG012HR2FX4</t>
  </si>
  <si>
    <t>JCI</t>
  </si>
  <si>
    <t>2031-09-16</t>
  </si>
  <si>
    <t>STEP UP MARGIN: 12.5BPS IF THE ISSUER DOES NOT SATISFY SCOPE 1 AND SCOPE 2 SPTS, ADDITIONAL 12.5BPS STEP-UP IF ISSUER DOES NOT SATISFY SCOPE 3 SPT</t>
  </si>
  <si>
    <t>Bookrunner Barclays Capital BCLY JLMB Joint Lead Managers-Books 116666 1 2021-09-13 Bookrunner Citigroup Global Markets Inc CITI JLMB Joint Lead Managers-Books 116666 1 2021-09-13 Bookrunner Credit Agricole Securities USA CASECS JLMB Joint Lead Managers-Books 116666 1 2021-09-13 Bookrunner Deutsche Bank Securities Inc DB JLMB Joint Lead Managers-Books 33334 1 2021-09-13 Bookrunner Morgan Stanley &amp; Co LLC MS JLMB Joint Lead Managers-Books 33334 1 2021-09-13 Bookrunner UniCredit Capital Markets Inc UNICRE JLMB Joint Lead Managers-Books 33334 1 2021-09-13 NonBookrunner BofA Securities BofA CM Co-Manager(s) 9091 1 2021-09-13 NonBookrunner CastleOak Securities CASOAK CM Co-Manager(s) 4545 1 2021-09-13 NonBookrunner Danske Markets DANSKE CM Co-Manager(s) 9091 1 2021-09-13 NonBookrunner JP Morgan Securities LLC JPM CM Co-Manager(s) 9091 1 2021-09-13 NonBookrunner Standard Chartered Bank (US) SCB CM Co-Manager(s) 9091 1 2021-09-13 NonBookrunner Westpac Banking Corporation WSTPAC CM Co-Manager(s) 9091 1 2021-09-13 Trustee US Bank National Association/U USBA PAAG Paying Agent(s) 0 7 2021-09-13 Trustee US Bank National Association/U USBA TRST Trustee(s) 0 7 2021-09-13 Trustee US Bank National Association/U USBA TRNS Transfer Agent(s) 0 7 2021-09-13 Trustee US Bank National Association/U USBA RGST Registrar(s) 0 7 2021-09-13 Trustee Allen &amp; Overy/Luxembourg ALLOVR LAI Legal Adviser to the Issuer(s) 0 16 2021-09-13 Trustee Arthur Cox ARTHUR LAI Legal Adviser to the Issuer(s) 0 16 2021-09-13 Trustee Simpson Thacher &amp; Bartlett ST&amp;B LAI Legal Adviser to the Issuer(s) 0 16 2021-09-13 Trustee Latham &amp; Watkins LLP LATHAM LAM Legal Adviser(s) to the Manage 0 16 2021-09-13 ESG Assurance Provider Sustainalytics BV SUSANA SNPC 2nd Party Consultant 0 30 2021-09-13</t>
  </si>
  <si>
    <t>Rumo Luxembourg Sarl</t>
  </si>
  <si>
    <t>BR4709829</t>
  </si>
  <si>
    <t>BBG012JJ8R40</t>
  </si>
  <si>
    <t>RAILBZ</t>
  </si>
  <si>
    <t>2021-09-22</t>
  </si>
  <si>
    <t>2032-01-18</t>
  </si>
  <si>
    <t>BB</t>
  </si>
  <si>
    <t>Railroad</t>
  </si>
  <si>
    <t>Railroads</t>
  </si>
  <si>
    <t>STEP-UP MARGIN: 25BP, STEP-UP EVENTS: DECEMBER 2026 17.6% REDUCTION OF GHG EMISSIONS.</t>
  </si>
  <si>
    <t>Bookrunner Banco Bradesco BBI SA BBBBI JLMB Joint Lead Managers-Books 50000 1 2021-09-15 Bookrunner Banco BTG Pactual SA/Cayman Is BTG JLMB Joint Lead Managers-Books 50000 1 2021-09-15 Bookrunner Citigroup Global Markets Inc CITI JLMB Joint Lead Managers-Books 50000 1 2021-09-15 Bookrunner Goldman Sachs International GSI JLMB Joint Lead Managers-Books 50000 1 2021-09-15 Bookrunner Itau BBA USA Securities Inc ITAU JLMB Joint Lead Managers-Books 50000 1 2021-09-15 Bookrunner JP Morgan Securities LLC JPM JLMB Joint Lead Managers-Books 50000 1 2021-09-15 Bookrunner Morgan Stanley &amp; Co LLC MS JLMB Joint Lead Managers-Books 50000 1 2021-09-15 Bookrunner Santander Investment Securitie SANTAN JLMB Joint Lead Managers-Books 50000 1 2021-09-15 Bookrunner UBS Securities LLC UBS JLMB Joint Lead Managers-Books 50000 1 2021-09-15 Bookrunner XP Investimentos CCTVM SA XPINVE JLMB Joint Lead Managers-Books 50000 1 2021-09-15 NonBookrunner Banco Itau BBA ITABBA GLCO Global Coordinator(s) 0 1 2021-09-15 NonBookrunner Banco Santander (US) SANTAN GLCO Global Coordinator(s) 0 1 2021-09-15 NonBookrunner Morgan Stanley MS GLCO Global Coordinator(s) 0 1 2021-09-15 Trustee UMB Bank NA UMB PAAG Paying Agent(s) 0 7 2021-09-15 Trustee UMB Bank NA UMB TRST Trustee(s) 0 7 2021-09-15 Trustee UMB Bank NA UMB TRNS Transfer Agent(s) 0 7 2021-09-15 Trustee Banque Internationale a Luxemb BIL LIST Listing Agent(s) 0 7 2021-09-15 Trustee UMB Bank NA UMB RGST Registrar(s) 0 7 2021-09-15 Trustee Davis Polk &amp; Wardwell LLP/Braz DAVPOL LAI Legal Adviser to the Issuer(s) 0 16 2021-09-15 Trustee Lefosse Advogados LEFOSS LAI Legal Adviser to the Issuer(s) 0 16 2021-09-15 Trustee Loyens &amp; Loeff NV/Luxembourg L&amp;L LAI Legal Adviser to the Issuer(s) 0 16 2021-09-15 Trustee Pinheiro Guimaraes Advogados PINGUI LAM Legal Adviser(s) to the Manage 0 16 2021-09-15 Trustee White &amp; Case/Sao Paulo WTCASE LAM Legal Adviser(s) to the Manage 0 16 2021-09-15 ESG Assurance Provider Sustainalytics BV SUSANA SNPC 2nd Party Consultant 0 30 2021-09-15</t>
  </si>
  <si>
    <t>BR4709845</t>
  </si>
  <si>
    <t>BBG012JJ8RD0</t>
  </si>
  <si>
    <t>STEP-UP MARGIN: 25BP, STEP-UP EVENTS: DECEMBER 2026 REDUCTION OF GHG EMISSIONS.</t>
  </si>
  <si>
    <t>Bookrunner Banco Bradesco BBI SA BBBBI JLMB Joint Lead Managers-Books 50000 1 2021-09-15 Bookrunner Banco BTG Pactual SA/Cayman Is BTG JLMB Joint Lead Managers-Books 50000 1 2021-09-15 Bookrunner Citigroup Global Markets Inc CITI JLMB Joint Lead Managers-Books 50000 1 2021-09-15 Bookrunner Goldman Sachs International GSI JLMB Joint Lead Managers-Books 50000 1 2021-09-15 Bookrunner Itau BBA USA Securities Inc ITAU JLMB Joint Lead Managers-Books 50000 1 2021-09-15 Bookrunner JP Morgan Securities LLC JPM JLMB Joint Lead Managers-Books 50000 1 2021-09-15 Bookrunner Morgan Stanley &amp; Co LLC MS JLMB Joint Lead Managers-Books 50000 1 2021-09-15 Bookrunner Santander Investment Securitie SANTAN JLMB Joint Lead Managers-Books 50000 1 2021-09-15 Bookrunner UBS Securities LLC UBS JLMB Joint Lead Managers-Books 50000 1 2021-09-15 Bookrunner XP Investimentos CCTVM SA XPINVE JLMB Joint Lead Managers-Books 50000 1 2021-09-15 NonBookrunner Banco Itau BBA ITABBA GLCO Global Coordinator(s) 0 1 2021-09-15 NonBookrunner Banco Santander (US) SANTAN GLCO Global Coordinator(s) 0 1 2021-09-15 NonBookrunner Morgan Stanley MS GLCO Global Coordinator(s) 0 1 2021-09-15 Trustee UMB Bank NA UMB PAAG Paying Agent(s) 0 7 2021-09-15 Trustee UMB Bank NA UMB TRST Trustee(s) 0 7 2021-09-15 Trustee UMB Bank NA UMB TRNS Transfer Agent(s) 0 7 2021-09-15 Trustee Banque Internationale a Luxemb BIL LIST Listing Agent(s) 0 7 2021-09-15 Trustee UMB Bank NA UMB RGST Registrar(s) 0 7 2021-09-15 Trustee Davis Polk &amp; Wardwell LLP/Braz DAVPOL LAI Legal Adviser to the Issuer(s) 0 16 2021-09-15 Trustee Lefosse Advogados LEFOSS LAI Legal Adviser to the Issuer(s) 0 16 2021-09-15 Trustee Loyens &amp; Loeff NV/Luxembourg L&amp;L LAI Legal Adviser to the Issuer(s) 0 16 2021-09-15 Trustee Pinheiro Guimaraes Advogados PINGUI LAM Legal Adviser(s) to the Manage 0 16 2021-09-15 Trustee White &amp; Case/Sao Paulo WTCASE LAM Legal Adviser(s) to the Manage 0 16 2021-09-15</t>
  </si>
  <si>
    <t>Granges AB</t>
  </si>
  <si>
    <t>BR5281596</t>
  </si>
  <si>
    <t>BBG012MYMBX0</t>
  </si>
  <si>
    <t>GRNGSS</t>
  </si>
  <si>
    <t>2021-09-29</t>
  </si>
  <si>
    <t>2026-09-29</t>
  </si>
  <si>
    <t>BOND REDEEMED AT 101.20% IF SPTs NOT MET (40 BPS PER SPT). SPTs 1,2 = CARBON EMISSIONS INTENSITY, SPT 3 = SHARE OF RECYCLED ALUMINIUM</t>
  </si>
  <si>
    <t>Bookrunner Danske Bank DANSKE JLMB Joint Lead Managers-Books 0 1 2021-09-22 Bookrunner Nordea NORDEA JLMB Joint Lead Managers-Books 0 1 2021-09-22</t>
  </si>
  <si>
    <t>BR5522767</t>
  </si>
  <si>
    <t>BBG012NHN0K3</t>
  </si>
  <si>
    <t>2021-09-28</t>
  </si>
  <si>
    <t>2026-05-28</t>
  </si>
  <si>
    <t>Bookrunner Banco Bilbao Vizcaya Argentari BBVA JLMB Joint Lead Managers-Books 0 1 2021-09-21 Bookrunner Banco Santander SANT JLMB Joint Lead Managers-Books 0 1 2021-09-21 Bookrunner BNP Paribas BNPP JLMB Joint Lead Managers-Books 0 1 2021-09-21 Bookrunner Credit Agricole CIB CACIB JLMB Joint Lead Managers-Books 0 1 2021-09-21 Bookrunner Credit Suisse CS JLMB Joint Lead Managers-Books 0 1 2021-09-21 Bookrunner Deutsche Bank DB JLMB Joint Lead Managers-Books 0 1 2021-09-21 Bookrunner Goldman Sachs Bank Europe SE GS JLMB Joint Lead Managers-Books 0 1 2021-09-21 Bookrunner IMI - Intesa Sanpaolo IMI JLMB Joint Lead Managers-Books 0 1 2021-09-21 Bookrunner JP Morgan Securities PLC JPM JLMB Joint Lead Managers-Books 0 1 2021-09-21 Bookrunner Mediobanca MEDBCA JLMB Joint Lead Managers-Books 0 1 2021-09-21 Bookrunner MUFG Securities EMEA PLC MUFG JLMB Joint Lead Managers-Books 0 1 2021-09-21 Bookrunner Natixis NATIX JLMB Joint Lead Managers-Books 0 1 2021-09-21 Bookrunner Societe Generale SG JLMB Joint Lead Managers-Books 0 1 2021-09-21 Bookrunner UniCredit UNICRD JLMB Joint Lead Managers-Books 0 1 2021-09-21 Trustee Allen &amp; Overy LLP ALLOVR LAI Legal Adviser to the Issuer(s) 0 16 2021-09-21 ESG Assurance Provider Vigeo SASV VIGEO SNPC 2nd Party Consultant 0 30 2021-09-21</t>
  </si>
  <si>
    <t>BR5522783</t>
  </si>
  <si>
    <t>BBG012NHN0Q7</t>
  </si>
  <si>
    <t>2029-05-28</t>
  </si>
  <si>
    <t>eMtN</t>
  </si>
  <si>
    <t>Bookrunner Banca IMI B.IMI JLMB Joint Lead Managers-Books 0 1 2021-09-21 Bookrunner Banco Bilbao Vizcaya Argentari BBVA JLMB Joint Lead Managers-Books 0 1 2021-09-21 Bookrunner Banco Santander SANT JLMB Joint Lead Managers-Books 0 1 2021-09-21 Bookrunner Banco Santander SA/London SANTAN JLMB Joint Lead Managers-Books 0 1 2021-09-21 Bookrunner BNP Paribas BNPP JLMB Joint Lead Managers-Books 0 1 2021-09-21 Bookrunner Credit Agricole CIB CACIB JLMB Joint Lead Managers-Books 0 1 2021-09-21 Bookrunner Credit Suisse CS JLMB Joint Lead Managers-Books 0 1 2021-09-21 Bookrunner Deutsche Bank DB JLMB Joint Lead Managers-Books 0 1 2021-09-21 Bookrunner Goldman Sachs International GSI JLMB Joint Lead Managers-Books 0 1 2021-09-21 Bookrunner JP Morgan Securities PLC JPM JLMB Joint Lead Managers-Books 0 1 2021-09-21 Bookrunner Mediobanca MEDBCA JLMB Joint Lead Managers-Books 0 1 2021-09-21 Bookrunner MUFG Securities EMEA PLC MUFG JLMB Joint Lead Managers-Books 0 1 2021-09-21 Bookrunner Natixis NATIX JLMB Joint Lead Managers-Books 0 1 2021-09-21 Bookrunner Societe Generale SG JLMB Joint Lead Managers-Books 0 1 2021-09-21 Bookrunner UniCredit UNICRD JLMB Joint Lead Managers-Books 0 1 2021-09-21 Trustee Allen &amp; Overy LLP ALLOVR LAI Legal Adviser to the Issuer(s) 0 16 2021-09-21 ESG Assurance Provider Vigeo SASV VIGEO SNPC 2nd Party Consultant 0 30 2021-09-21</t>
  </si>
  <si>
    <t>BR5522809</t>
  </si>
  <si>
    <t>BBG012NHN0W0</t>
  </si>
  <si>
    <t>2034-09-28</t>
  </si>
  <si>
    <t>STEP-UP MARGIN: 25BP, STEP-UP EVENT: 12/31/30 DIRECT GHG EMISSIONS BEING ABOVE 82G/KWHEQ</t>
  </si>
  <si>
    <t>Bookrunner Banca IMI B.IMI JLMB Joint Lead Managers-Books 0 1 2021-09-21 Bookrunner Banco Bilbao Vizcaya Argentari BBVA JLMB Joint Lead Managers-Books 0 1 2021-09-21 Bookrunner Banco Santander SA/London SANTAN JLMB Joint Lead Managers-Books 0 1 2021-09-21 Bookrunner BNP Paribas BNPP JLMB Joint Lead Managers-Books 0 1 2021-09-21 Bookrunner Credit Agricole CIB CACIB JLMB Joint Lead Managers-Books 0 1 2021-09-21 Bookrunner Credit Suisse CS JLMB Joint Lead Managers-Books 0 1 2021-09-21 Bookrunner Deutsche Bank DB JLMB Joint Lead Managers-Books 0 1 2021-09-21 Bookrunner Goldman Sachs International GSI JLMB Joint Lead Managers-Books 0 1 2021-09-21 Bookrunner JP Morgan Securities PLC JPM JLMB Joint Lead Managers-Books 0 1 2021-09-21 Bookrunner Mediobanca MEDBCA JLMB Joint Lead Managers-Books 0 1 2021-09-21 Bookrunner MUFG Securities EMEA PLC MUFG JLMB Joint Lead Managers-Books 0 1 2021-09-21 Bookrunner Natixis NATIX JLMB Joint Lead Managers-Books 0 1 2021-09-21 Bookrunner Societe Generale SG JLMB Joint Lead Managers-Books 0 1 2021-09-21 Bookrunner UniCredit UNICRD JLMB Joint Lead Managers-Books 0 1 2021-09-21 Trustee Allen &amp; Overy LLP ALLOVR LAI Legal Adviser to the Issuer(s) 0 16 2021-09-21 ESG Assurance Provider Vigeo SASV VIGEO SNPC 2nd Party Consultant 0 30 2021-09-21</t>
  </si>
  <si>
    <t>Legrand SA</t>
  </si>
  <si>
    <t>BR6431919</t>
  </si>
  <si>
    <t>BBG012Q9B4H7</t>
  </si>
  <si>
    <t>LRFP</t>
  </si>
  <si>
    <t>2021-10-06</t>
  </si>
  <si>
    <t>2031-10-06</t>
  </si>
  <si>
    <t>STEP-UP MARGIN: 25BPS PER SPT; SPT1, SPT2 GHG EMISSIONS REDUCTION</t>
  </si>
  <si>
    <t>Bookrunner BNP Paribas BNPP JLMB Joint Lead Managers-Books 0 1 2021-09-29 Bookrunner CM-CIC Securities SA CMCIC JLMB Joint Lead Managers-Books 0 1 2021-09-29 Bookrunner Credit Agricole CIB CACIB JLMB Joint Lead Managers-Books 0 1 2021-09-29 Bookrunner Goldman Sachs Bank Europe SE GS JLMB Joint Lead Managers-Books 0 1 2021-09-29 Bookrunner HSBC HSBC JLMB Joint Lead Managers-Books 0 1 2021-09-29 Bookrunner JP Morgan JPM JLMB Joint Lead Managers-Books 0 1 2021-09-29 Bookrunner Natixis NATIX JLMB Joint Lead Managers-Books 0 1 2021-09-29 Bookrunner Societe Generale SG JLMB Joint Lead Managers-Books 0 1 2021-09-29 NonBookrunner BNP Paribas BNPP GLCO Global Coordinator(s) 0 1 2021-09-29 NonBookrunner Credit Agricole CIB CACIB GLCO Global Coordinator(s) 0 1 2021-09-29 NonBookrunner Societe Generale SG GLCO Global Coordinator(s) 0 1 2021-09-29 Trustee Credit Agricole CIB CACIB ESGA ESG Agent 0 7 2021-09-29 Trustee Linklaters LLP L&amp;A LAI Legal Adviser to the Issuer(s) 0 16 2021-09-29 Trustee Allen &amp; Overy LLP ALLOVR LAM Legal Adviser(s) to the Manage 0 16 2021-09-29</t>
  </si>
  <si>
    <t>Elecnor SA</t>
  </si>
  <si>
    <t>BR6478951</t>
  </si>
  <si>
    <t>BBG012QBV2N7</t>
  </si>
  <si>
    <t>ENOSM</t>
  </si>
  <si>
    <t>2021-09-30</t>
  </si>
  <si>
    <t>2035-09-30</t>
  </si>
  <si>
    <t>COUPON STEP-UP: 2.5BPS PER KPI1: GREEN HOUSE GAS EMISSION KPI2: LABOR</t>
  </si>
  <si>
    <t>Bookrunner Banco Sabadell SABADL LMGR Lead Manager(s) 0 1 2021-09-27 Trustee Banco Sabadell SABADL PLAG Placement Agent(s) 0 7 2021-09-27 Trustee Banco de Sabadell SA/Spain BANSAB CALC Calculation Agent(s) 0 7 2021-09-27 Trustee Cuatrecasas CCP TRST Trustee(s) 0 7 2021-09-27 ESG Assurance Provider G-Advisory GADVIS SNPC 2nd Party Consultant 0 30 2021-09-27</t>
  </si>
  <si>
    <t>Biesterfeld AG</t>
  </si>
  <si>
    <t>BR6744469</t>
  </si>
  <si>
    <t>BBG012QT8QL3</t>
  </si>
  <si>
    <t>BIFELD</t>
  </si>
  <si>
    <t>2021-11-10</t>
  </si>
  <si>
    <t>2031-11-10</t>
  </si>
  <si>
    <t>SUSTAINABILITY PRICING ADJUSTMENT: +/- 5BPS IF ESG SCORE &lt;=53 / &gt;=63 UP TO 2025; +/- 5BPS IF &lt;=58 / &gt;=68 FROM 2026.</t>
  </si>
  <si>
    <t>Bookrunner Landesbank Baden-Wuerttemberg LBBW SOLE Sole Manager 0 1 2021-11-10</t>
  </si>
  <si>
    <t>BR6752157</t>
  </si>
  <si>
    <t>BBG012QTFC18</t>
  </si>
  <si>
    <t>2028-11-10</t>
  </si>
  <si>
    <t>BR6756869</t>
  </si>
  <si>
    <t>BBG012QTJF26</t>
  </si>
  <si>
    <t>2026-11-10</t>
  </si>
  <si>
    <t>Nederlandse Gasunie NV</t>
  </si>
  <si>
    <t>BR7204091</t>
  </si>
  <si>
    <t>BBG012RXZWC0</t>
  </si>
  <si>
    <t>NEGANV</t>
  </si>
  <si>
    <t>2021-10-13</t>
  </si>
  <si>
    <t>2036-10-13</t>
  </si>
  <si>
    <t>STEP-UP MARGIN: 10BPS PER KPI. STEP-UP EVENTS: REDUCTION OF METHANE EMISSIONS, GREENHOUSE GAS EMISSIONS</t>
  </si>
  <si>
    <t>Bookrunner ABN Amro Bank NV ABN JLMB Joint Lead Managers-Books 0 1 2021-10-01 Bookrunner Credit Agricole CIB CACIB JLMB Joint Lead Managers-Books 0 1 2021-10-01 Bookrunner ING Groep ING JLMB Joint Lead Managers-Books 0 1 2021-10-01 NonBookrunner NatWest Markets NWM JLM Joint Lead Managers-No Books 0 1 2021-10-01 Trustee Deutsche Bank AG London DB PAAG Paying Agent(s) 0 7 2021-10-01 Trustee Deutsche Bank AG London DB ISAG Issuing Agent(s) 0 7 2021-10-01 Trustee De Brauw Blackstone Westbroek DEBRAU LAI Legal Adviser to the Issuer(s) 0 16 2021-10-01 Trustee Allen &amp; Overy LLP ALLOVR LAM Legal Adviser(s) to the Manage 0 16 2021-10-01 ESG Assurance Provider ISS-oekom ISSOEK SNPC 2nd Party Consultant 0 30 2021-10-01</t>
  </si>
  <si>
    <t>Cullinan Holdco Scsp</t>
  </si>
  <si>
    <t>BR7695454</t>
  </si>
  <si>
    <t>BBG012T90WR3</t>
  </si>
  <si>
    <t>GRAANU</t>
  </si>
  <si>
    <t>2021-10-12</t>
  </si>
  <si>
    <t>2026-10-15</t>
  </si>
  <si>
    <t>Renewable Energy</t>
  </si>
  <si>
    <t>STEP-UP MARGIN: 75BPS, STEP-UP EVENT: FAILURE TO TO REDUCE GRAMS OF CO2 EQUIVALENTS PER MEGAJOULE OF ENERGY CONTAINED IN PELLETS (GCO2-EQ/MJ) BY 5% BY DEC-2024</t>
  </si>
  <si>
    <t>Bookrunner Barclays BARCS JLMB Joint Lead Managers-Books 0 1 2021-10-07 Bookrunner Goldman Sachs International GSI JLMB Joint Lead Managers-Books 0 1 2021-10-07 Bookrunner RBC Capital Markets RBCCM JLMB Joint Lead Managers-Books 0 1 2021-10-07 NonBookrunner Luminor Bank AS/Estonia LUMINO CLM Co-Lead Manager(s) 0 1 2021-10-07 NonBookrunner Goldman Sachs International GSI GLCO Global Coordinator(s) 0 1 2021-10-07 Trustee Allen &amp; Overy LLP ALLOVR LAI Legal Adviser to the Issuer(s) 0 16 2021-10-07 Trustee Barclays BARCS STRA Structuring Agent(s) 0 7 2021-10-04 Trustee Goldman Sachs International GSI STRA Structuring Agent(s) 0 7 2021-10-04</t>
  </si>
  <si>
    <t>BR7695462</t>
  </si>
  <si>
    <t>BBG012T90X73</t>
  </si>
  <si>
    <t>Bookrunner Barclays BARCS JLMB Joint Lead Managers-Books 0 1 2021-10-07 Bookrunner Goldman Sachs International GSI JLMB Joint Lead Managers-Books 0 1 2021-10-07 Bookrunner RBC Capital Markets RBCCM JLMB Joint Lead Managers-Books 0 1 2021-10-07 NonBookrunner Luminor Bank AS/Estonia LUMINO CLM Co-Lead Manager(s) 0 1 2021-10-07 NonBookrunner Goldman Sachs International GSI GLCO Global Coordinator(s) 0 1 2021-10-07 Trustee Barclays BARCS STRA Structuring Agent(s) 0 7 2021-10-07 Trustee Goldman Sachs International GSI STRA Structuring Agent(s) 0 7 2021-10-07 Trustee Allen &amp; Overy LLP ALLOVR LAI Legal Adviser to the Issuer(s) 0 16 2021-10-07</t>
  </si>
  <si>
    <t>BR7695512</t>
  </si>
  <si>
    <t>BBG012T91029</t>
  </si>
  <si>
    <t>BR7695538</t>
  </si>
  <si>
    <t>BBG012T910Q3</t>
  </si>
  <si>
    <t>Louis Dreyfus Co BV</t>
  </si>
  <si>
    <t>BR8722620</t>
  </si>
  <si>
    <t>BBG012WWV5T1</t>
  </si>
  <si>
    <t>LOUDRE</t>
  </si>
  <si>
    <t>2026-10-13</t>
  </si>
  <si>
    <t>JPY</t>
  </si>
  <si>
    <t>Retail - Consumer Staples</t>
  </si>
  <si>
    <t>STEP-UP/STEP-DOWN MARGIN: 1BP PER KPI; KPIs: GHG EMISSIONS, ELECTRICITY CONSUMPTION, WATER CONSUMPTION, SOLID WASTE REDUCTION</t>
  </si>
  <si>
    <t>Bookrunner DBS Bank Ltd/London DBS LMGR Lead Manager(s) 0 1 2021-10-08 Trustee BNP Paribas Securities Service BNPPAR PAAG Paying Agent(s) 0 7 2021-10-08 Trustee BNP Paribas Securities Service BNPPAR FISC Fiscal Agent(s) 0 7 2021-10-08</t>
  </si>
  <si>
    <t>Hera SpA</t>
  </si>
  <si>
    <t>BR8975129</t>
  </si>
  <si>
    <t>BBG012XGD551</t>
  </si>
  <si>
    <t>HERIM</t>
  </si>
  <si>
    <t>2021-10-25</t>
  </si>
  <si>
    <t>2034-04-25</t>
  </si>
  <si>
    <t>Government Sponsored</t>
  </si>
  <si>
    <t>STEP-UP MARGIN: 20, 15BPS. STEP-UP DEVENTS: REDUCTION GREENHOUSE GAS EMISSIONS, INCREASE IN PLASTIC RECYCLING</t>
  </si>
  <si>
    <t>Bookrunner Banco Santander SANT JLMB Joint Lead Managers-Books 0 1 2021-10-13 Bookrunner BNP Paribas/London BNPPAR JLMB Joint Lead Managers-Books 0 1 2021-10-13 Bookrunner Credit Agricole CIB CACIB JLMB Joint Lead Managers-Books 0 1 2021-10-13 Bookrunner IMI - Intesa Sanpaolo IMI JLMB Joint Lead Managers-Books 0 1 2021-10-13 Bookrunner Mediobanca MEDBCA JLMB Joint Lead Managers-Books 0 1 2021-10-13 Bookrunner UniCredit UNICRD JLMB Joint Lead Managers-Books 0 1 2021-10-13 Trustee Bank of New York Mellon/London BNY FISC Fiscal Agent(s) 0 7 2021-10-13 Trustee Walkers Listing Services Ltd WALLIS LIST Listing Agent(s) 0 7 2021-10-13 Trustee Legance Avvocati Associati LSLA LAI Legal Adviser to the Issuer(s) 0 16 2021-10-13 Trustee Linklaters LLP L&amp;A LAM Legal Adviser(s) to the Manage 0 16 2021-10-13 Trustee Studio Legale Associato assoc LINKLA LAM Legal Adviser(s) to the Manage 0 16 2021-10-13 ESG Assurance Provider Sustainable Resources Developm SUSRES SNPC 2nd Party Consultant 0 30 2021-10-13</t>
  </si>
  <si>
    <t>OVS SpA</t>
  </si>
  <si>
    <t>BS0195161</t>
  </si>
  <si>
    <t>BBG0132T5YC3</t>
  </si>
  <si>
    <t>GCNIM</t>
  </si>
  <si>
    <t>2027-11-10</t>
  </si>
  <si>
    <t>SUSTAINABILITY PRICING ADJUSTMENT: MARGIN STEP-UP UP TO 25BPS IF KPI ARE NOT MET.  SCOPE 1, 2 AND 3 GHG EMISSIONS.</t>
  </si>
  <si>
    <t>Bookrunner Not Available N/A LMGR Lead Manager(s) 0 1 2021-10-25 Trustee Equita SIM SpA EQUSIM PLAG Placement Agent(s) 0 7 2021-10-25 Trustee Bank of New York Mellon/London BNY PAAG Paying Agent(s) 0 7 2021-10-25 Trustee Bank of New York Mellon BNYM FISC Fiscal Agent(s) 0 7 2021-10-25 Trustee Arthur Cox Listing Services ARTHUR LIST Listing Agent(s) 0 7 2021-10-25 Trustee Latham &amp; Watkins LLP/Singapore LATHAM LAI Legal Adviser to the Issuer(s) 0 16 2021-10-25 Trustee Visentin &amp; Partners VISENT LATX Legal Adviser(s) to Tax 0 16 2021-10-25 ESG Assurance Provider Sustainalytics BV SUSANA SNPC 2nd Party Consultant 0 30 2021-10-25</t>
  </si>
  <si>
    <t>Renolit SE</t>
  </si>
  <si>
    <t>BS0343308</t>
  </si>
  <si>
    <t>BBG013347KZ0</t>
  </si>
  <si>
    <t>RENODE</t>
  </si>
  <si>
    <t>2021-12-13</t>
  </si>
  <si>
    <t>2028-12-13</t>
  </si>
  <si>
    <t>ESG-LINKED SCHULDSCHEIN. SUSTAINABILITY PRICING ADJUSTMENT: +/- 2BPS PER KPI. KPIS: ENERGY EFFICIENCY; RECYCLING; DIVERSITY.</t>
  </si>
  <si>
    <t>Bookrunner BNP Paribas/Frankfurt BNP JLMB Joint Lead Managers-Books 0 1 2021-12-13 Bookrunner Landesbank Hessen-Thuringen Gi HELABA JLMB Joint Lead Managers-Books 0 1 2021-12-13 Bookrunner Landesbank Baden-Wuerttemberg LBBW JLMB Joint Lead Managers-Books 0 1 2021-12-13</t>
  </si>
  <si>
    <t>BS0344702</t>
  </si>
  <si>
    <t>BBG01334G0G5</t>
  </si>
  <si>
    <t>2024-12-13</t>
  </si>
  <si>
    <t>Bookrunner BNP Paribas BNPP JLMB Joint Lead Managers-Books 0 1 2021-12-13 Bookrunner Landesbank Hessen-Thuringen Gi HELABA JLMB Joint Lead Managers-Books 0 1 2021-12-13 Bookrunner Landesbank Baden-Wuerttemberg LBBW JLMB Joint Lead Managers-Books 0 1 2021-12-13</t>
  </si>
  <si>
    <t>BS0345642</t>
  </si>
  <si>
    <t>BBG01334KXV1</t>
  </si>
  <si>
    <t>2026-12-13</t>
  </si>
  <si>
    <t>Seche Environnement SA</t>
  </si>
  <si>
    <t>BS1023271</t>
  </si>
  <si>
    <t>BBG0135GHFL6</t>
  </si>
  <si>
    <t>SCHPFP</t>
  </si>
  <si>
    <t>2021-11-04</t>
  </si>
  <si>
    <t>2028-11-15</t>
  </si>
  <si>
    <t>SUSTBLTY PRFM TGTS: REDUCE GHG EMIS BY 10% BY 2025 WITH 2020 BASE YEAR; GHG EMISSIONS BY 40% BY 2025. ZERO SPT MET: +25 BPS / ONE SPT MET: +12.5 BPS</t>
  </si>
  <si>
    <t>Bookrunner BNP Paribas BNPP JLMB Joint Lead Managers-Books 0 1 2021-10-28 NonBookrunner Credit Agricole CIB CACIB JLM Joint Lead Managers-No Books 0 1 2021-10-28 NonBookrunner Natixis NATIX JLM Joint Lead Managers-No Books 0 1 2021-10-28 Bookrunner BNP Paribas BNPP LEFT Left Lead 0 1 2021-10-28 Trustee White &amp; Case LLP W&amp;C LAI Legal Adviser to the Issuer(s) 0 16 2021-10-28 Trustee Latham &amp; Watkins LLP LATHAM LAM Legal Adviser(s) to the Manage 0 16 2021-10-28 ESG Assurance Provider S&amp;P Global Inc SPGI SNPC 2nd Party Consultant 0 30 2021-10-28</t>
  </si>
  <si>
    <t>Greenfood AB</t>
  </si>
  <si>
    <t>BS1439477</t>
  </si>
  <si>
    <t>BBG013686HY7</t>
  </si>
  <si>
    <t>GREFOD</t>
  </si>
  <si>
    <t>2025-11-04</t>
  </si>
  <si>
    <t>Bookrunner Pareto Securities PARETO JLMB Joint Lead Managers-Books 0 1 2021-10-28 Bookrunner Swedbank SWED JLMB Joint Lead Managers-Books 0 1 2021-10-28 Trustee Nordic Trustee AB NRDTRS TRST Trustee(s) 0 7 2021-10-28 Trustee White &amp; Case LLP W&amp;C LAI Legal Adviser to the Issuer(s) 0 16 2021-10-28</t>
  </si>
  <si>
    <t>RHI Magnesita GmbH</t>
  </si>
  <si>
    <t>BS1742383</t>
  </si>
  <si>
    <t>BBG0136SDTT5</t>
  </si>
  <si>
    <t>RHIMLN</t>
  </si>
  <si>
    <t>2021-12-07</t>
  </si>
  <si>
    <t>2031-12-07</t>
  </si>
  <si>
    <t>SUSTAINABILITY PRICING ADJUSTMENT:-3BPS IF ESG SCORE +4 POINTS; +3BPS IF ESG SCORE -6 POINTS.</t>
  </si>
  <si>
    <t>Bookrunner Landesbank Hessen-Thuringen Gi HELABA JLMB Joint Lead Managers-Books 0 1 2021-12-07 Bookrunner Raiffeisen Bank International RAIINT JLMB Joint Lead Managers-Books 0 1 2021-12-07 Trustee Clifford Chance LLP CHANCE LAI Legal Adviser to the Issuer(s) 0 16 2021-12-07</t>
  </si>
  <si>
    <t>BS1742524</t>
  </si>
  <si>
    <t>BBG0136SGRY0</t>
  </si>
  <si>
    <t>2029-12-07</t>
  </si>
  <si>
    <t>8Y</t>
  </si>
  <si>
    <t>BS1742532</t>
  </si>
  <si>
    <t>BBG0136SGSG8</t>
  </si>
  <si>
    <t>BS1742540</t>
  </si>
  <si>
    <t>BBG0136SGTV9</t>
  </si>
  <si>
    <t>2026-06-07</t>
  </si>
  <si>
    <t>5.5Y</t>
  </si>
  <si>
    <t>Teva Pharmaceutical Finance Netherlands II BV</t>
  </si>
  <si>
    <t>BS1759346</t>
  </si>
  <si>
    <t>BBG0136TNNQ8</t>
  </si>
  <si>
    <t>TEVA</t>
  </si>
  <si>
    <t>IL</t>
  </si>
  <si>
    <t>2021-11-09</t>
  </si>
  <si>
    <t>2027-05-09</t>
  </si>
  <si>
    <t>Health Care</t>
  </si>
  <si>
    <t>Pharmaceuticals</t>
  </si>
  <si>
    <t>CPN STEP-UP 0.125% IF SUSTAINABILITY PERF TARGET NOT ACHIEVED BY 12/31/2025</t>
  </si>
  <si>
    <t>Bookrunner BNP Paribas/New York BNPPAR JLMB Joint Lead Managers-Books 154000 1 2021-11-02 Bookrunner BofA Securities BofA JLMB Joint Lead Managers-Books 154000 1 2021-11-02 Bookrunner Citigroup Global Markets Europ CITI JLMB Joint Lead Managers-Books 154000 1 2021-11-02 Bookrunner Goldman Sachs Bank Europe SE GS JLMB Joint Lead Managers-Books 154000 1 2021-11-02 Bookrunner HSBC Securities HSBC JLMB Joint Lead Managers-Books 112750 1 2021-11-02 Bookrunner JP Morgan AG JPM JLMB Joint Lead Managers-Books 112750 1 2021-11-02 Bookrunner Mizuho Securities Europe GmbH MIZUHO JLMB Joint Lead Managers-Books 112750 1 2021-11-02 Bookrunner MUFG Securities Europe NV MUFG JLMB Joint Lead Managers-Books 112750 1 2021-11-02 NonBookrunner Intesa Sanpaolo/NY INTESA CM Co-Manager(s) 16500 1 2021-11-02 NonBookrunner PNC Capital Markets LLC PNC CM Co-Manager(s) 16500 1 2021-11-02 Trustee Bank of New York Mellon BNYM PAAG Paying Agent(s) 0 7 2021-11-02 Trustee Bank of New York Mellon BNYM TRST Trustee(s) 0 7 2021-11-02 Trustee Kirkland &amp; Ellis K&amp;E LAI Legal Adviser to the Issuer(s) 0 16 2021-11-02 Trustee Tulchinsky Marciano Cohen Levi TUMACO LAI Legal Adviser to the Issuer(s) 0 16 2021-11-02 Trustee Van Doorne NV VANDOO LAI Legal Adviser to the Issuer(s) 0 16 2021-11-02 Trustee Baker McKenzie/London BKLNDN LAM Legal Adviser(s) to the Manage 0 16 2021-11-02 Trustee Herzog Fox &amp; Neeman HERZOG LAM Legal Adviser(s) to the Manage 0 16 2021-11-02 ESG Assurance Provider ISS-oekom ISSOEK SNPC 2nd Party Consultant 0 30 2021-11-02</t>
  </si>
  <si>
    <t>BS1759429</t>
  </si>
  <si>
    <t>BBG0136TNQ18</t>
  </si>
  <si>
    <t>2030-05-09</t>
  </si>
  <si>
    <t>STEP-UP MARGIN: 15 BPS. STEP-UP DEVENTS: REGULATORY SUBMISSIONS TARGET, PRODUCT VOLUME TARGET, REDUCTION GREENHOUSE GAS EMISSIONS</t>
  </si>
  <si>
    <t>Bookrunner BNP Paribas/New York BNPPAR JLMB Joint Lead Managers-Books 210000 1 2021-11-02 Bookrunner BofA Securities BofA JLMB Joint Lead Managers-Books 210000 1 2021-11-02 Bookrunner Citigroup Global Markets Inc CITI JLMB Joint Lead Managers-Books 210000 1 2021-11-02 Bookrunner Goldman Sachs Bank Europe SE GS JLMB Joint Lead Managers-Books 210000 1 2021-11-02 Bookrunner HSBC Securities HSBC JLMB Joint Lead Managers-Books 153750 1 2021-11-02 Bookrunner JP Morgan JPM JLMB Joint Lead Managers-Books 153750 1 2021-11-02 Bookrunner Mizuho Securities Europe GmbH MIZUHO JLMB Joint Lead Managers-Books 153750 1 2021-11-02 Bookrunner MUFG Securities Europe NV MUFG JLMB Joint Lead Managers-Books 153750 1 2021-11-02 NonBookrunner IMI - Intesa Sanpaolo IMI CM Co-Manager(s) 22500 1 2021-11-02 NonBookrunner PNC Capital Markets LLC PNC CM Co-Manager(s) 22500 1 2021-11-02 Trustee Bank of New York Mellon BNYM PAAG Paying Agent(s) 0 7 2021-11-02 Trustee Bank of New York Mellon BNYM TRST Trustee(s) 0 7 2021-11-02 Trustee Kirkland &amp; Ellis K&amp;E LAI Legal Adviser to the Issuer(s) 0 16 2021-11-02 Trustee Tulchinsky Marciano Cohen Levi TUMACO LAI Legal Adviser to the Issuer(s) 0 16 2021-11-02 Trustee Van Doorne NV VANDOO LAI Legal Adviser to the Issuer(s) 0 16 2021-11-02 Trustee Baker McKenzie/London BKLNDN LAM Legal Adviser(s) to the Manage 0 16 2021-11-02 Trustee Herzog Fox &amp; Neeman HERZOG LAM Legal Adviser(s) to the Manage 0 16 2021-11-02 ESG Assurance Provider ISS-oekom ISSOEK SNPC 2nd Party Consultant 0 30 2021-11-02</t>
  </si>
  <si>
    <t>Teva Pharmaceutical Finance Netherlands III BV</t>
  </si>
  <si>
    <t>BS1759452</t>
  </si>
  <si>
    <t>BBG0136TNRY0</t>
  </si>
  <si>
    <t>2029-05-09</t>
  </si>
  <si>
    <t>SUSTAINABILITY-LINKED-STEP-UP 12.5 bps IF 2025 REGULATORY SUBMISSIONS TARGET NOT MET AND ANOTHER 12.5 BPS IF PRODUCT VOLUME TARGET AS OF TESTING DATE NOT MET.</t>
  </si>
  <si>
    <t>Bookrunner BNP Paribas/New York BNPPAR JLMB Joint Lead Managers-Books 140000 1 2021-11-02 Bookrunner BofA Securities BofA JLMB Joint Lead Managers-Books 140000 1 2021-11-02 Bookrunner Citigroup Global Markets Inc CITI JLMB Joint Lead Managers-Books 140000 1 2021-11-02 Bookrunner Goldman Sachs Bank Europe SE GS JLMB Joint Lead Managers-Books 140000 1 2021-11-02 Bookrunner HSBC Securities HSBC JLMB Joint Lead Managers-Books 102500 1 2021-11-02 Bookrunner JP Morgan JPM JLMB Joint Lead Managers-Books 102500 1 2021-11-02 Bookrunner Mizuho Securities USA Inc MIZ JLMB Joint Lead Managers-Books 102500 1 2021-11-02 Bookrunner MUFG Securities Americas Inc MUFG JLMB Joint Lead Managers-Books 102500 1 2021-11-02 NonBookrunner IMI - Intesa Sanpaolo IMI CM Co-Manager(s) 15000 1 2021-11-02 NonBookrunner PNC Capital Markets LLC PNC CM Co-Manager(s) 15000 1 2021-11-02 Trustee Bank of New York Mellon BNYM PAAG Paying Agent(s) 0 7 2021-11-02 Trustee Bank of New York Mellon BNYM TRST Trustee(s) 0 7 2021-11-02 Trustee Kirkland &amp; Ellis K&amp;E LAI Legal Adviser to the Issuer(s) 0 16 2021-11-02 Trustee Tulchinsky Marciano Cohen Levi TUMACO LAI Legal Adviser to the Issuer(s) 0 16 2021-11-02 Trustee Van Doorne NV VANDOO LAI Legal Adviser to the Issuer(s) 0 16 2021-11-02 Trustee Baker McKenzie/London BKLNDN LAM Legal Adviser(s) to the Manage 0 16 2021-11-02 Trustee Herzog Fox &amp; Neeman HERZOG LAM Legal Adviser(s) to the Manage 0 16 2021-11-02 ESG Assurance Provider ISS-oekom ISSOEK SNPC 2nd Party Consultant 0 30 2021-11-02</t>
  </si>
  <si>
    <t>BS1775391</t>
  </si>
  <si>
    <t>BBG0136VL8H8</t>
  </si>
  <si>
    <t>Atos SE</t>
  </si>
  <si>
    <t>BS1954855</t>
  </si>
  <si>
    <t>BBG0137X2DH3</t>
  </si>
  <si>
    <t>ATOFP</t>
  </si>
  <si>
    <t>2021-11-12</t>
  </si>
  <si>
    <t>2029-11-12</t>
  </si>
  <si>
    <t>Software &amp; Services</t>
  </si>
  <si>
    <t>STEP-UP MARGIN: 0.175%. STEP UP DEPEND ON THE ACHIEVEMENT BY ATOS SE OF THE SUSTAINABILITY PERFORMANCE TARGET (SPT) BASED ON THE ATOS SE KPI ON 12/31/25.</t>
  </si>
  <si>
    <t>Bookrunner Banco Bilbao Vizcaya Argentari BBVA JLMB Joint Lead Managers-Books 0 1 2021-11-04 Bookrunner Banco Santander SANT JLMB Joint Lead Managers-Books 0 1 2021-11-04 Bookrunner Bank of America BA JLMB Joint Lead Managers-Books 0 1 2021-11-04 Bookrunner BNP Paribas BNPP JLMB Joint Lead Managers-Books 0 1 2021-11-04 Bookrunner CM-CIC Securities SA CMCIC JLMB Joint Lead Managers-Books 0 1 2021-11-04 Bookrunner Commerzbank COBA JLMB Joint Lead Managers-Books 0 1 2021-11-04 Bookrunner Credit Agricole CIB CACIB JLMB Joint Lead Managers-Books 0 1 2021-11-04 Bookrunner Deutsche Bank DB JLMB Joint Lead Managers-Books 0 1 2021-11-04 Bookrunner HSBC HSBC JLMB Joint Lead Managers-Books 0 1 2021-11-04 Bookrunner ING Groep ING JLMB Joint Lead Managers-Books 0 1 2021-11-04 Bookrunner JP Morgan Securities PLC JPM JLMB Joint Lead Managers-Books 0 1 2021-11-04 Bookrunner Morgan Stanley &amp; Co Internatio MS JLMB Joint Lead Managers-Books 0 1 2021-11-04 Bookrunner Natixis NATIX JLMB Joint Lead Managers-Books 0 1 2021-11-04 Bookrunner SMBC Nikko Capital Markets Ltd SMBNIK JLMB Joint Lead Managers-Books 0 1 2021-11-04 Bookrunner Societe Generale SG JLMB Joint Lead Managers-Books 0 1 2021-11-04 Bookrunner UniCredit UNICRD JLMB Joint Lead Managers-Books 0 1 2021-11-04 Bookrunner Wells Fargo WFC JLMB Joint Lead Managers-Books 0 1 2021-11-04 NonBookrunner BNP Paribas BNPP GLCO Global Coordinator(s) 0 1 2021-11-04 NonBookrunner Deutsche Bank DB GLCO Global Coordinator(s) 0 1 2021-11-04 NonBookrunner JP Morgan Securities PLC JPM GLCO Global Coordinator(s) 0 1 2021-11-04 Trustee White &amp; Case LLP W&amp;C LAI Legal Adviser to the Issuer(s) 0 16 2021-11-04 Trustee Linklaters LLP L&amp;A LAM Legal Adviser(s) to the Manage 0 16 2021-11-04 ESG Assurance Provider Sustainalytics BV SUSANA SNPC 2nd Party Consultant 0 30 2021-10-28</t>
  </si>
  <si>
    <t>Faurecia SE</t>
  </si>
  <si>
    <t>BS2203120</t>
  </si>
  <si>
    <t>BBG0138Z47N1</t>
  </si>
  <si>
    <t>EOFP</t>
  </si>
  <si>
    <t>2021-12-22</t>
  </si>
  <si>
    <t>2024-07-12</t>
  </si>
  <si>
    <t>2.5Y</t>
  </si>
  <si>
    <t>MULTICURRENCY DEAL EQUIV TO EUR 700MM. SETTLE DATES: 12/22/21 AND 1/12/22. ADJ +10BPS. GHG EMISSIONS INTENSITY -20% IN 2023 ABSOLUTE GHG EMISSION 80% IN 2025.</t>
  </si>
  <si>
    <t>Bookrunner Commerzbank COBA JLMB Joint Lead Managers-Books 0 4 2022-01-12 Bookrunner Landesbank Hessen-Thuringen Gi HELABA JLMB Joint Lead Managers-Books 0 4 2022-01-12 NonBookrunner Australia &amp; New Zealand Bankin ANZ COAR Co-Arranger(s) 0 4 2022-01-12 NonBookrunner Bankinter BKINT COAR Co-Arranger(s) 0 4 2022-01-12 NonBookrunner Intesa Sanpaolo INTES COAR Co-Arranger(s) 0 4 2022-01-12 NonBookrunner Raiffeisen Bank International RAIINT COAR Co-Arranger(s) 0 4 2022-01-12 Bookrunner Commerzbank COBA JLMB Joint Lead Managers-Books 0 1 2021-12-22 Bookrunner Landesbank Hessen-Thuringen Gi HELABA JLMB Joint Lead Managers-Books 0 1 2021-12-22 NonBookrunner Australia &amp; New Zealand Bankin ANZ COAR Co-Arranger(s) 0 1 2021-12-22 NonBookrunner Bankinter BKINT COAR Co-Arranger(s) 0 1 2021-12-22 NonBookrunner Intesa Sanpaolo INTES COAR Co-Arranger(s) 0 1 2021-12-22 NonBookrunner Raiffeisen Bank International RAIINT COAR Co-Arranger(s) 0 1 2021-12-22 ESG Assurance Provider ISS-oekom ISSOEK SNPC 2nd Party Consultant 0 30 2021-12-22</t>
  </si>
  <si>
    <t>BS2205612</t>
  </si>
  <si>
    <t>BBG0138ZCGC4</t>
  </si>
  <si>
    <t>2026-01-12</t>
  </si>
  <si>
    <t>4YFL</t>
  </si>
  <si>
    <t>BS2206420</t>
  </si>
  <si>
    <t>BBG0138ZHWX1</t>
  </si>
  <si>
    <t>2027-01-12</t>
  </si>
  <si>
    <t>MULTICURRENCY DEAL EQUIV TO EUR 700MM. USD SPLIT: $33.5MM. ADJ +10BPS. GHG EMISSIONS INTENSITY -20% IN 2023 ABSOLUTE GHG EMISSION 80% IN 2025.</t>
  </si>
  <si>
    <t>Bookrunner Commerzbank COBA JLMB Joint Lead Managers-Books 0 1 2021-12-22 Bookrunner Landesbank Hessen-Thuringen Gi HELABA JLMB Joint Lead Managers-Books 0 1 2021-12-22 NonBookrunner Australia &amp; New Zealand Bankin ANZ COAR Co-Arranger(s) 0 1 2021-12-22 NonBookrunner Bankinter BKINT COAR Co-Arranger(s) 0 1 2021-12-22 NonBookrunner Intesa Sanpaolo INTES COAR Co-Arranger(s) 0 1 2021-12-22 NonBookrunner Raiffeisen Bank International RAIINT COAR Co-Arranger(s) 0 1 2021-12-22 ESG Assurance Provider ISS-oekom ISSOEK SNPC 2nd Party Consultant 0 30 2021-12-22</t>
  </si>
  <si>
    <t>BS2209622</t>
  </si>
  <si>
    <t>BBG0138ZPQG4</t>
  </si>
  <si>
    <t>2028-01-12</t>
  </si>
  <si>
    <t>6YFL</t>
  </si>
  <si>
    <t>Bookrunner Commerzbank COBA JLMB Joint Lead Managers-Books 0 4 2022-01-12 Bookrunner Landesbank Hessen-Thuringen Gi HELABA JLMB Joint Lead Managers-Books 0 4 2022-01-12 NonBookrunner Australia &amp; New Zealand Bankin ANZ COAR Co-Arranger(s) 0 4 2022-01-12 NonBookrunner Bankinter BKINT COAR Co-Arranger(s) 0 4 2022-01-12 NonBookrunner Intesa Sanpaolo INTES COAR Co-Arranger(s) 0 4 2022-01-12 NonBookrunner Raiffeisen Bank International RAIINT COAR Co-Arranger(s) 0 4 2022-01-12 Bookrunner Commerzbank COBA JLMB Joint Lead Managers-Books 0 1 2021-12-22 Bookrunner Landesbank Hessen-Thuringen Gi HELABA JLMB Joint Lead Managers-Books 0 1 2021-12-22 NonBookrunner Australia &amp; New Zealand Bankin ANZ COAR Co-Arranger(s) 0 1 2021-12-22 NonBookrunner Bankinter BKINT COAR Co-Arranger(s) 0 1 2021-12-22 NonBookrunner Intesa Sanpaolo INTES COAR Co-Arranger(s) 0 1 2021-12-22 NonBookrunner Raiffeisen Bank International RAIINT COAR Co-Arranger(s) 0 1 2021-12-22 Trustee Landesbank Hessen-Thuringen Gi HELABA PAAG Paying Agent(s) 0 7 2021-12-22 ESG Assurance Provider ISS-oekom ISSOEK SNPC 2nd Party Consultant 0 30 2021-12-22</t>
  </si>
  <si>
    <t>Lune Holdings Sarl</t>
  </si>
  <si>
    <t>BS2397401</t>
  </si>
  <si>
    <t>BBG0139H02R1</t>
  </si>
  <si>
    <t>KEMONE</t>
  </si>
  <si>
    <t>2021-11-18</t>
  </si>
  <si>
    <t>STEP-UP MARGIN: 25 BPS; STEP-UP EVENT: FAILING TO MEET CO2 EMISSIONS TARGET</t>
  </si>
  <si>
    <t>Bookrunner Barclays BARCS JLMB Joint Lead Managers-Books 0 1 2021-11-04 Bookrunner HSBC HSBC JLMB Joint Lead Managers-Books 0 1 2021-11-04 Bookrunner JP Morgan JPM JLMB Joint Lead Managers-Books 0 1 2021-11-04 Bookrunner RBC Capital Markets RBCCM JLMB Joint Lead Managers-Books 0 1 2021-11-04 Trustee Cahill Gordon &amp; Reindel CG&amp;R LAM Legal Adviser(s) to the Manage 0 16 2021-11-04</t>
  </si>
  <si>
    <t>BS2397476</t>
  </si>
  <si>
    <t>BBG0139H03V4</t>
  </si>
  <si>
    <t>Bookrunner Barclays BARCS JLMB Joint Lead Managers-Books 0 1 2021-11-04 Bookrunner HSBC HSBC JLMB Joint Lead Managers-Books 0 1 2021-11-04 Bookrunner JP Morgan JPM JLMB Joint Lead Managers-Books 0 1 2021-11-04 Bookrunner RBC Capital Markets RBCCM JLMB Joint Lead Managers-Books 0 1 2021-11-04 NonBookrunner JP Morgan JPM GLCO Global Coordinator(s) 0 1 2021-11-04 Trustee Paul Weiss Rifkind Wharton &amp; G PWEISS LAI Legal Adviser to the Issuer(s) 0 16 2021-11-04 Trustee Cahill Gordon &amp; Reindel CG&amp;R LAM Legal Adviser(s) to the Manage 0 16 2021-11-04</t>
  </si>
  <si>
    <t>BS2667019</t>
  </si>
  <si>
    <t>BBG0139YKRB4</t>
  </si>
  <si>
    <t>2028-12-15</t>
  </si>
  <si>
    <t>Bookrunner Banco Bilbao Vizcaya Argentari BBVA JLMB Joint Lead Managers-Books 0 1 2021-11-03 Bookrunner Bayerische Landesbank (US) BAYER JLMB Joint Lead Managers-Books 0 1 2021-11-03 Bookrunner BNP Paribas BNPP JLMB Joint Lead Managers-Books 0 1 2021-11-03 Bookrunner Commerzbank COBA JLMB Joint Lead Managers-Books 0 1 2021-11-03 Bookrunner Credit Industriel et Commercia CREDIT JLMB Joint Lead Managers-Books 0 1 2021-11-03 Bookrunner ING Bank NV/United States ING JLMB Joint Lead Managers-Books 0 1 2021-11-03 Bookrunner Natixis NATIX JLMB Joint Lead Managers-Books 0 1 2021-11-03 NonBookrunner Danske Bank DANSKE CM Co-Manager(s) 0 1 2021-11-03 NonBookrunner Standard Chartered Bank STAN CM Co-Manager(s) 0 1 2021-11-03 NonBookrunner BNP Paribas BNPP GLCO Global Coordinator(s) 0 1 2021-11-03 NonBookrunner Credit Mutuel-CIC CM-CIC GLCO Global Coordinator(s) 0 1 2021-11-03 NonBookrunner ING Groep ING GLCO Global Coordinator(s) 0 1 2021-11-03 Trustee Bank of New York Mellon/London BNY PAAG Paying Agent(s) 0 7 2021-11-03 Trustee Bank of New York Mellon Luxemb BNYM PAAG Paying Agent(s) 0 7 2021-11-03 Trustee Bank of New York Mellon/London BNY TRST Trustee(s) 0 7 2021-11-03 Trustee Bank of New York Mellon Luxemb BNYM TRNS Transfer Agent(s) 0 7 2021-11-03 Trustee Bank of New York Mellon Luxemb BNYM LIST Listing Agent(s) 0 7 2021-11-03 Trustee Bank of New York Mellon Luxemb BNYM RGST Registrar(s) 0 7 2021-11-03 Trustee Debevoise &amp; Plimpton/Paris DEBPLI LAI Legal Adviser to the Issuer(s) 0 16 2021-11-03 Trustee Debevoise &amp; Plimpton/London D&amp;PL LAI Legal Adviser to the Issuer(s) 0 16 2021-11-03 Trustee Hogan Lovells International LL LOVELL LAM Legal Adviser(s) to the Manage 0 16 2021-11-03 ESG Assurance Provider Vigeo SASV VIGEO SNPC 2nd Party Consultant 0 30 2021-11-03</t>
  </si>
  <si>
    <t>BS2687603</t>
  </si>
  <si>
    <t>BBG0139ZT3Q9</t>
  </si>
  <si>
    <t>2027-02-15</t>
  </si>
  <si>
    <t>+25BPS IF SBT NOT MET TO REDUCE SCOPE 1 AND 2 GHG EMISSIONS INTENSITY BY 20% BY 2023 &amp; REDUCE ABSOLUTE SCOPE 1 AND 2 GHG EMISSIONS BY 80% BY 2025</t>
  </si>
  <si>
    <t>Bookrunner Banca IMI B.IMI JLMB Joint Lead Managers-Books 0 1 2021-11-03 Bookrunner Commerzbank COBA JLMB Joint Lead Managers-Books 0 1 2021-11-03 Bookrunner Credit Agricole CIB CACIB JLMB Joint Lead Managers-Books 0 1 2021-11-03 Bookrunner Deutsche Bank DB JLMB Joint Lead Managers-Books 0 1 2021-11-03 Bookrunner SMBC Nikko Capital Markets Ltd SMBNIK JLMB Joint Lead Managers-Books 0 1 2021-11-03 Bookrunner Societe Generale SG JLMB Joint Lead Managers-Books 0 1 2021-11-03 Bookrunner UniCredit UNICRD JLMB Joint Lead Managers-Books 0 1 2021-11-03 NonBookrunner Banco Sabadell SABADL CM Co-Manager(s) 0 1 2021-11-03 NonBookrunner Credit Industriel et Commercia CIC CM Co-Manager(s) 0 1 2021-11-03 NonBookrunner MUFG Securities EMEA PLC MUFG CM Co-Manager(s) 0 1 2021-11-03 NonBookrunner Commerzbank COBA GLCO Global Coordinator(s) 0 1 2021-11-03 NonBookrunner Credit Agricole CIB CACIB GLCO Global Coordinator(s) 0 1 2021-11-03 NonBookrunner Societe Generale SG GLCO Global Coordinator(s) 0 1 2021-11-03 Trustee White &amp; Case LLP W&amp;C LAI Legal Adviser to the Issuer(s) 0 16 2021-11-03 Trustee Latham &amp; Watkins LLP LATHAM LAM Legal Adviser(s) to the Manage 0 16 2021-11-03 ESG Assurance Provider ISS-oekom ISSOEK SNPC 2nd Party Consultant 0 30 2021-11-03</t>
  </si>
  <si>
    <t>BS2913736</t>
  </si>
  <si>
    <t>BBG013BM8ZQ7</t>
  </si>
  <si>
    <t>STEP-UP MARGIN: 25BP (ZERO SPT MET)/12.5BP (ONE SPT MET), STEP UP EVENTS: CO2 EMISSIONS (2025), EXTERNAL CULLET SHARE IS LESS THAN 59% (2025)</t>
  </si>
  <si>
    <t>Bookrunner Banco Santander SANT JLMB Joint Lead Managers-Books 0 1 2021-11-03 Bookrunner BNP Paribas BNPP JLMB Joint Lead Managers-Books 0 1 2021-11-03 Bookrunner Credit Agricole CIB CACIB JLMB Joint Lead Managers-Books 0 1 2021-11-03 Bookrunner Deutsche Bank DB JLMB Joint Lead Managers-Books 0 1 2021-11-03 Bookrunner La Banque Postale SA BANPOS JLMB Joint Lead Managers-Books 0 1 2021-11-03 Bookrunner Raiffeisen Bank International RBI JLMB Joint Lead Managers-Books 0 1 2021-11-03 Bookrunner Societe Generale SG JLMB Joint Lead Managers-Books 0 1 2021-11-03 NonBookrunner Banco Santander SANT GLCO Global Coordinator(s) 0 1 2021-11-03 NonBookrunner BNP Paribas BNPP GLCO Global Coordinator(s) 0 1 2021-11-03 NonBookrunner Societe Generale SG GLCO Global Coordinator(s) 0 1 2021-11-03 Trustee White &amp; Case LLP W&amp;C LAI Legal Adviser to the Issuer(s) 0 16 2021-11-03 Trustee Allen &amp; Overy LLP ALLOVR LAM Legal Adviser(s) to the Manage 0 16 2021-11-03</t>
  </si>
  <si>
    <t>Koninklijke KPN NV</t>
  </si>
  <si>
    <t>BS3080196</t>
  </si>
  <si>
    <t>BBG013CM0VJ1</t>
  </si>
  <si>
    <t>KPN</t>
  </si>
  <si>
    <t>2021-11-15</t>
  </si>
  <si>
    <t>2033-11-15</t>
  </si>
  <si>
    <t>GMTN</t>
  </si>
  <si>
    <t>Wireless Telecommunications Services</t>
  </si>
  <si>
    <t>Wirelines</t>
  </si>
  <si>
    <t>STEP-UP MARGIN: 37.5 BP FROM 11/15/31; SPT: REDUCE ABSOLUTE VALUE CHAIN CO2 EMISSIONS (SCOPE 3) BY 30% BY 2030 AGAINST THE 2014 BASELINE</t>
  </si>
  <si>
    <t>Bookrunner Barclays BARCS JLMB Joint Lead Managers-Books 0 1 2021-11-08 Bookrunner BNP Paribas BNPP JLMB Joint Lead Managers-Books 0 1 2021-11-08 Bookrunner Deutsche Bank DB JLMB Joint Lead Managers-Books 0 1 2021-11-08 Bookrunner ING Groep ING JLMB Joint Lead Managers-Books 0 1 2021-11-08 Bookrunner SMBC Nikko Capital Markets Ltd SMBNIK JLMB Joint Lead Managers-Books 0 1 2021-11-08 Trustee Citibank NA/London CITI PAAG Paying Agent(s) 0 7 2021-11-08 Trustee Citibank NA/London CITI TRNS Transfer Agent(s) 0 7 2021-11-08 Trustee Arthur Cox Listing Services ARTHUR LIST Listing Agent(s) 0 7 2021-11-08 Trustee Citigroup Global Markets Europ CITI RGST Registrar(s) 0 7 2021-11-08 Trustee Allen &amp; Overy LLP ALLOVR LAI Legal Adviser to the Issuer(s) 0 16 2021-11-08 Trustee Allen &amp; Overy AONETH LAI Legal Adviser to the Issuer(s) 0 16 2021-11-08 Trustee Linklaters L&amp;A LAM Legal Adviser(s) to the Manage 0 16 2021-11-08 ESG Assurance Provider Sustainalytics BV SUSANA SNPC 2nd Party Consultant 0 30 2021-11-08</t>
  </si>
  <si>
    <t>Henkel AG &amp; Co KGaA</t>
  </si>
  <si>
    <t>BS3838106</t>
  </si>
  <si>
    <t>BBG013FWQB84</t>
  </si>
  <si>
    <t>HENKEL</t>
  </si>
  <si>
    <t>2021-11-17</t>
  </si>
  <si>
    <t>2032-11-17</t>
  </si>
  <si>
    <t>STEP-UP BY 37.5BP PER KPI (MAX. 75BP CUMULATIVE) IF HENKEL FAILS TO ACHIEVE SPT 1 2030 AND SPT 2. TEST DATES SPT1 2030 / SPT2 31/12/2030.</t>
  </si>
  <si>
    <t>Bookrunner Deutsche Bank DB JLMB Joint Lead Managers-Books 0 1 2021-11-10 Bookrunner HSBC HSBC JLMB Joint Lead Managers-Books 0 1 2021-11-10 Bookrunner ING Groep ING JLMB Joint Lead Managers-Books 0 1 2021-11-10 Bookrunner Societe Generale SG JLMB Joint Lead Managers-Books 0 1 2021-11-10 Trustee Deutsche Bank AG Filiale Deuts #N/A N/A PAAG Paying Agent(s) 0 7 2021-11-10 Trustee Deutsche Bank AG Filiale Deuts #N/A N/A FISC Fiscal Agent(s) 0 7 2021-11-10 Trustee Deutsche Bank Luxembourg SA DB LIST Listing Agent(s) 0 7 2021-11-10 Trustee Hengeler Mueller HMWW LAM Legal Adviser(s) to the Manage 0 16 2021-11-10 ESG Assurance Provider ISS-oekom ISSOEK SNPC 2nd Party Consultant 0 30 2021-11-10</t>
  </si>
  <si>
    <t>BS3838114</t>
  </si>
  <si>
    <t>BBG013FWQBQ4</t>
  </si>
  <si>
    <t>2026-11-17</t>
  </si>
  <si>
    <t>PRINCIPAL PREMIUM AT MATURITY OF 25BP PER KPI (MAX. 50BP CUMULATIVE) IF HENKEL FAILS TO ACHIEVE SPT 1 2025 AND SPT 3. TEST DATES SPT1 2025 / SPT3 31/12/2025.</t>
  </si>
  <si>
    <t>Bookrunner Deutsche Bank DB JLMB Joint Lead Managers-Books 0 1 2021-11-10 Bookrunner ING Groep ING JLMB Joint Lead Managers-Books 0 1 2021-11-10 Bookrunner Societe Generale SG JLMB Joint Lead Managers-Books 0 1 2021-11-10 Trustee Deutsche Bank AG DB PAAG Paying Agent(s) 0 7 2021-11-10 Trustee Deutsche Bank AG DB FISC Fiscal Agent(s) 0 7 2021-11-10 Trustee Deutsche Bank Luxembourg SA DB LIST Listing Agent(s) 0 7 2021-11-10 Trustee Hengeler Mueller HMWW LAM Legal Adviser(s) to the Manage 0 16 2021-11-10 ESG Assurance Provider ISS-oekom ISSOEK SNPC 2nd Party Consultant 0 30 2021-11-10</t>
  </si>
  <si>
    <t>Kinnevik AB</t>
  </si>
  <si>
    <t>BS4766942</t>
  </si>
  <si>
    <t>BBG013JMFLL7</t>
  </si>
  <si>
    <t>KINVB</t>
  </si>
  <si>
    <t>2021-11-23</t>
  </si>
  <si>
    <t>2026-11-23</t>
  </si>
  <si>
    <t>Other Financial</t>
  </si>
  <si>
    <t>SLB CPN STEP-UP: 7.5BPTS/SPT ANNUALLY STARTING 2022; SPT1: GHG; SPT2: GENDER EQUALITY; SPT3: ESG SCORE</t>
  </si>
  <si>
    <t>Bookrunner Nordea NORDEA JLMB Joint Lead Managers-Books 0 1 2021-11-15 Bookrunner SEB SEB JLMB Joint Lead Managers-Books 0 1 2021-11-15</t>
  </si>
  <si>
    <t>BS4766959</t>
  </si>
  <si>
    <t>BBG013JMFMF2</t>
  </si>
  <si>
    <t>2028-11-23</t>
  </si>
  <si>
    <t>Accor SA</t>
  </si>
  <si>
    <t>BS4767460</t>
  </si>
  <si>
    <t>BBG013JMPMT6</t>
  </si>
  <si>
    <t>ACFP</t>
  </si>
  <si>
    <t>2021-11-29</t>
  </si>
  <si>
    <t>2028-11-29</t>
  </si>
  <si>
    <t>Lodging</t>
  </si>
  <si>
    <t>STEP-UP MARGIN: 12.5BPS PER KPI; KPI1: SCOPE 1,2 GHG EMISSIONS REDUCTION BY 25.2% BY 2025, KPI2: SCOPE 3 GHG EMISSIONS REDUCTION BY 15% BY 2025</t>
  </si>
  <si>
    <t>Bookrunner Banco Santander SANT JLMB Joint Lead Managers-Books 0 1 2021-11-18 Bookrunner Commerzbank COBA JLMB Joint Lead Managers-Books 0 1 2021-11-18 Bookrunner Credit Agricole CIB CACIB JLMB Joint Lead Managers-Books 0 1 2021-11-18 Bookrunner HSBC HSBC JLMB Joint Lead Managers-Books 0 1 2021-11-18 Bookrunner MUFG Securities EMEA PLC MUFG JLMB Joint Lead Managers-Books 0 1 2021-11-18 Bookrunner Societe Generale SG JLMB Joint Lead Managers-Books 0 1 2021-11-18 Bookrunner UniCredit UNICRD JLMB Joint Lead Managers-Books 0 1 2021-11-18 NonBookrunner Credit Agricole CIB CACIB GLCO Global Coordinator(s) 0 1 2021-11-18 NonBookrunner HSBC HSBC GLCO Global Coordinator(s) 0 1 2021-11-18 Trustee Allen &amp; Overy LLP ALLOVR LAM Legal Adviser(s) to the Manage 0 16 2021-11-18 ESG Assurance Provider Sustainalytics BV SUSANA SNPC 2nd Party Consultant 0 30 2021-11-18</t>
  </si>
  <si>
    <t>ASTM SpA</t>
  </si>
  <si>
    <t>BS4792864</t>
  </si>
  <si>
    <t>BBG013JP2L70</t>
  </si>
  <si>
    <t>ATIM</t>
  </si>
  <si>
    <t>2021-11-25</t>
  </si>
  <si>
    <t>2026-11-25</t>
  </si>
  <si>
    <t>SLB STP-UP: 50BPTS/ANNUM; STP DATE: 07/2025; KPI1: GHG (20BPTS)</t>
  </si>
  <si>
    <t>Bookrunner Banca Akros SpA AKROS JLMB Joint Lead Managers-Books 0 1 2021-11-18 Bookrunner Banco Santander SANT JLMB Joint Lead Managers-Books 0 1 2021-11-18 Bookrunner BNP Paribas BNPP JLMB Joint Lead Managers-Books 0 1 2021-11-18 Bookrunner CaixaBank CAIXA JLMB Joint Lead Managers-Books 0 1 2021-11-18 Bookrunner Credit Agricole CIB CACIB JLMB Joint Lead Managers-Books 0 1 2021-11-18 Bookrunner Credit Suisse CS JLMB Joint Lead Managers-Books 0 1 2021-11-18 Bookrunner IMI - Intesa Sanpaolo IMI JLMB Joint Lead Managers-Books 0 1 2021-11-18 Bookrunner JP Morgan Securities PLC JPM JLMB Joint Lead Managers-Books 0 1 2021-11-18 Bookrunner Mediobanca MEDBCA JLMB Joint Lead Managers-Books 0 1 2021-11-18 Bookrunner Societe Generale SG JLMB Joint Lead Managers-Books 0 1 2021-11-18 Bookrunner UniCredit UNICRD JLMB Joint Lead Managers-Books 0 1 2021-11-18 Trustee IMI - Intesa Sanpaolo IMI ESGA ESG Agent 0 7 2021-11-18 Trustee Mediobanca MEDBCA ESGA ESG Agent 0 7 2021-11-18 Trustee UniCredit UNICRD ESGA ESG Agent 0 7 2021-11-18 Trustee Legance Avvocati Associati LSLA LAI Legal Adviser to the Issuer(s) 0 16 2021-11-18 Trustee White &amp; Case/Milan W&amp;C LAM Legal Adviser(s) to the Manage 0 16 2021-11-18</t>
  </si>
  <si>
    <t>BS4792872</t>
  </si>
  <si>
    <t>BBG013JP2M23</t>
  </si>
  <si>
    <t>2030-01-25</t>
  </si>
  <si>
    <t>SLB STP-UP: 50BPTS/ANNUM; STP DATE: 07/2028; KPI1: GHG (28BPTS) ; KPI2: GHG (42BPTS)</t>
  </si>
  <si>
    <t>BS4792906</t>
  </si>
  <si>
    <t>BBG013JP2PY1</t>
  </si>
  <si>
    <t>2033-11-25</t>
  </si>
  <si>
    <t>SLB STP-UP: 50BPTS/ANNUM; STP DATE: 07/2031; KPI1: GHG (20BPTS) ; KPI2: GHG (30BPTS)</t>
  </si>
  <si>
    <t>Bookrunner Banca Akros SpA AKROS JLMB Joint Lead Managers-Books 0 1 2021-11-18 Bookrunner Banco Santander SANT JLMB Joint Lead Managers-Books 0 1 2021-11-18 Bookrunner BNP Paribas BNPP JLMB Joint Lead Managers-Books 0 1 2021-11-18 Bookrunner CaixaBank CAIXA JLMB Joint Lead Managers-Books 0 1 2021-11-18 Bookrunner Credit Agricole CIB CACIB JLMB Joint Lead Managers-Books 0 1 2021-11-18 Bookrunner Credit Suisse CS JLMB Joint Lead Managers-Books 0 1 2021-11-18 Bookrunner IMI - Intesa Sanpaolo IMI JLMB Joint Lead Managers-Books 0 1 2021-11-18 Bookrunner JP Morgan JPM JLMB Joint Lead Managers-Books 0 1 2021-11-18 Bookrunner Mediobanca MEDBCA JLMB Joint Lead Managers-Books 0 1 2021-11-18 Bookrunner Societe Generale SG JLMB Joint Lead Managers-Books 0 1 2021-11-18 Bookrunner UniCredit UNICRD JLMB Joint Lead Managers-Books 0 1 2021-11-18 Trustee Deutsche Bank AG London DB PAAG Paying Agent(s) 0 7 2021-11-18 Trustee Deutsche Trustee Co Ltd DBTRUS TRST Trustee(s) 0 7 2021-11-18 Trustee Walkers Listing Services Ltd WALLIS LIST Listing Agent(s) 0 7 2021-11-18 Trustee IMI - Intesa Sanpaolo IMI ESGA ESG Agent 0 7 2021-11-18 Trustee Mediobanca MEDBCA ESGA ESG Agent 0 7 2021-11-18 Trustee UniCredit UNICRD ESGA ESG Agent 0 7 2021-11-18 Trustee Legance Avvocati Associati LSLA LAI Legal Adviser to the Issuer(s) 0 16 2021-11-18 Trustee White &amp; Case/Milan W&amp;C LAM Legal Adviser(s) to the Manage 0 16 2021-11-18</t>
  </si>
  <si>
    <t>M FINANCE SASU</t>
  </si>
  <si>
    <t>BS4845456</t>
  </si>
  <si>
    <t>BBG013JRK0H1</t>
  </si>
  <si>
    <t>MONNOY</t>
  </si>
  <si>
    <t>2021-10-04</t>
  </si>
  <si>
    <t>2029-10-04</t>
  </si>
  <si>
    <t>SLB STEP-UP/DOWN: 50bpts MAX; SPT DATE: 2023, 2025, 2027; KPI1: GREEN HOUSE GASES; KPI2: GENDER EQUALITY</t>
  </si>
  <si>
    <t>Bookrunner Credit Agricole Corporate &amp; In CACIB JLMB Joint Lead Managers-Books 0 1 2021-09-27 Bookrunner Natixis NATIX JLMB Joint Lead Managers-Books 0 1 2021-09-27 Trustee BNP Paribas Securities Service BNPPAR PAAG Paying Agent(s) 0 7 2021-09-27 Trustee BNP Paribas Securities Service BNPPAR FISC Fiscal Agent(s) 0 7 2021-09-27</t>
  </si>
  <si>
    <t>BS4847320</t>
  </si>
  <si>
    <t>BBG013JRMJP9</t>
  </si>
  <si>
    <t>2028-10-04</t>
  </si>
  <si>
    <t>Bookrunner Credit Agricole CIB CACIB JLMB Joint Lead Managers-Books 0 1 2021-09-27 Bookrunner Natixis NATIX JLMB Joint Lead Managers-Books 0 1 2021-09-27 Trustee BNP Paribas Securities Service BNPPAR PAAG Paying Agent(s) 0 7 2021-09-27 Trustee BNP Paribas Securities Service BNPPAR FISC Fiscal Agent(s) 0 7 2021-09-27</t>
  </si>
  <si>
    <t>BS4848583</t>
  </si>
  <si>
    <t>BBG013JRSQR5</t>
  </si>
  <si>
    <t>2031-10-04</t>
  </si>
  <si>
    <t>Mota-Engil SGPS SA</t>
  </si>
  <si>
    <t>BS5188310</t>
  </si>
  <si>
    <t>BBG013KN1016</t>
  </si>
  <si>
    <t>EGLPL</t>
  </si>
  <si>
    <t>PT</t>
  </si>
  <si>
    <t>2021-12-02</t>
  </si>
  <si>
    <t>2026-12-02</t>
  </si>
  <si>
    <t>SINKABLE</t>
  </si>
  <si>
    <t>ISSD IN EXCH FOR PTMENWOM0007,PTMENUOM0009. STEP-UP MARGIN: EUR 1.25 REDEMP INC PER BOND. STEP-UP EVENT: LTIFR (SEE SPO) &gt; 3.3 BY 12/31/2025.</t>
  </si>
  <si>
    <t>Bookrunner Banco Finantia BANFIN JLMB Joint Lead Managers-Books 0 4 2021-12-15 Bookrunner Caixa Banco de Investimento SA CXBI JLMB Joint Lead Managers-Books 0 4 2021-12-15 Bookrunner Haitong Bank SA HAITIB JLMB Joint Lead Managers-Books 0 4 2021-12-15 Bookrunner Banco Finantia BANFIN JLMB Joint Lead Managers-Books 0 1 2021-11-17 Bookrunner Caixa Banco de Investimento SA CXBI JLMB Joint Lead Managers-Books 0 1 2021-11-17 Bookrunner Haitong Bank SA HAITIB JLMB Joint Lead Managers-Books 0 1 2021-11-17 Bookrunner Novo Banco SA NOVBNC JLMB Joint Lead Managers-Books 0 1 2021-11-17 NonBookrunner Banco Finantia BANFIN GLCO Global Coordinator(s) 0 1 2021-11-17 NonBookrunner Caixa Banco de Investimento SA CXBI GLCO Global Coordinator(s) 0 1 2021-11-17 NonBookrunner Haitong Bank SA HAITIB GLCO Global Coordinator(s) 0 1 2021-11-17 NonBookrunner Novo Banco SA NOVBNC GLCO Global Coordinator(s) 0 1 2021-11-17 ESG Assurance Provider S&amp;P Global Inc SPGI SNPC 2nd Party Consultant 0 30 2021-11-17</t>
  </si>
  <si>
    <t>Loomis AB</t>
  </si>
  <si>
    <t>BS5495509</t>
  </si>
  <si>
    <t>BBG013MYTH22</t>
  </si>
  <si>
    <t>LOOMBS</t>
  </si>
  <si>
    <t>2021-11-30</t>
  </si>
  <si>
    <t>2026-11-30</t>
  </si>
  <si>
    <t>REDEMPTION PRICE TO INCREASE TO 101% IF THE ISSUER DOES NOT REDUCE CO2 EMISSIONS BY 20% BY END OF 2025 VS 2019 BASELINE</t>
  </si>
  <si>
    <t>Bookrunner Danske Bank DANSKE JLMB Joint Lead Managers-Books 0 4 2022-04-11 Bookrunner Nordea NORDEA JLMB Joint Lead Managers-Books 0 4 2022-04-11 Bookrunner Danske Bank DANSKE JLMB Joint Lead Managers-Books 0 1 2021-11-23 Bookrunner Nordea NORDEA JLMB Joint Lead Managers-Books 0 1 2021-11-23</t>
  </si>
  <si>
    <t>LANXESS AG</t>
  </si>
  <si>
    <t>BS5948655</t>
  </si>
  <si>
    <t>BBG013PNCKN1</t>
  </si>
  <si>
    <t>LXSGR</t>
  </si>
  <si>
    <t>2021-12-01</t>
  </si>
  <si>
    <t>2029-12-01</t>
  </si>
  <si>
    <t>STEP-UP MARGIN BY 0.25% IF SPT NOT ACHIEVED ON 12/31/25. REDUCTION OF GHG EMISSIONS (SCOPE 1+2) BY 600KT TO 2,600KT (81.250% OF THE 2018 BASELINE) BY 2025.</t>
  </si>
  <si>
    <t>Bookrunner Banco Bilbao Vizcaya London Br BBV JLMB Joint Lead Managers-Books 0 1 2021-11-23 Bookrunner Citigroup Global Markets Ltd CITI JLMB Joint Lead Managers-Books 0 1 2021-11-23 Bookrunner Deutsche Bank DB JLMB Joint Lead Managers-Books 0 1 2021-11-23 Bookrunner DZ Bank DZBK JLMB Joint Lead Managers-Books 0 1 2021-11-23 Bookrunner JP Morgan AG JPM JLMB Joint Lead Managers-Books 0 1 2021-11-23 Bookrunner Mizuho Securities Europe GmbH MIZUHO JLMB Joint Lead Managers-Books 0 1 2021-11-23 Trustee Deutsche Bank AG DB PAAG Paying Agent(s) 0 7 2021-11-23 Trustee Deutsche Bank AG DB FISC Fiscal Agent(s) 0 7 2021-11-23 Trustee Deutsche Bank Luxembourg SA DB LIST Listing Agent(s) 0 7 2021-11-23 Trustee Internal Adviser IA LAI Legal Adviser to the Issuer(s) 0 16 2021-11-23 Trustee Hengeler Mueller HMWW LAM Legal Adviser(s) to the Manage 0 16 2021-11-23 ESG Assurance Provider ISS-oekom ISSOEK SNPC 2nd Party Consultant 0 30 2021-11-23</t>
  </si>
  <si>
    <t>Kerry Group Financial Services Unltd Co</t>
  </si>
  <si>
    <t>BS5958647</t>
  </si>
  <si>
    <t>BBG013PPDGW4</t>
  </si>
  <si>
    <t>KYGID</t>
  </si>
  <si>
    <t>2031-12-01</t>
  </si>
  <si>
    <t>SLB COUPON STEP-UP: 50BPTs/KPI; SPT DATE: 2030; KPI1: GHG; KPI2: FOOD WASTE</t>
  </si>
  <si>
    <t>Bookrunner Allied Irish Banks AIB JLMB Joint Lead Managers-Books 0 1 2021-11-24 Bookrunner Bank of Ireland BKIREL JLMB Joint Lead Managers-Books 0 1 2021-11-24 Bookrunner Barclays BARCS JLMB Joint Lead Managers-Books 0 1 2021-11-24 Bookrunner BNP Paribas/London BNPPAR JLMB Joint Lead Managers-Books 0 1 2021-11-24 Bookrunner BofA Securities BofA JLMB Joint Lead Managers-Books 0 1 2021-11-24 Bookrunner Citi CITI JLMB Joint Lead Managers-Books 0 1 2021-11-24 Bookrunner Cooperatieve Rabobank UA RABONL JLMB Joint Lead Managers-Books 0 1 2021-11-24 Bookrunner Danske Bank DANBNK JLMB Joint Lead Managers-Books 0 1 2021-11-24 Bookrunner Deutsche Bank AG London DB JLMB Joint Lead Managers-Books 0 1 2021-11-24 Bookrunner Goldman Sachs International GSI JLMB Joint Lead Managers-Books 0 1 2021-11-24 Bookrunner HSBC HSBC JLMB Joint Lead Managers-Books 0 1 2021-11-24 Bookrunner JP Morgan Securities PLC JPM JLMB Joint Lead Managers-Books 0 1 2021-11-24 Bookrunner NatWest Markets NWM JLMB Joint Lead Managers-Books 0 1 2021-11-24 Bookrunner Standard Chartered Bank STAN JLMB Joint Lead Managers-Books 0 1 2021-11-24 Trustee Clifford Chance LLP CHANCE LAI Legal Adviser to the Issuer(s) 0 16 2021-11-24 Trustee Freshfields Bruckhaus Deringer FSHFLD LAM Legal Adviser(s) to the Manage 0 16 2021-11-24 ESG Assurance Provider ISS-oekom ISSOEK SNPC 2nd Party Consultant 0 30 2021-11-24</t>
  </si>
  <si>
    <t>Kahrs BondCo AB</t>
  </si>
  <si>
    <t>BS6174186</t>
  </si>
  <si>
    <t>BBG013Q9QBL8</t>
  </si>
  <si>
    <t>KAHRSB</t>
  </si>
  <si>
    <t>2026-12-07</t>
  </si>
  <si>
    <t>Home Improvement</t>
  </si>
  <si>
    <t>STEP-UP MARGIN: 50BPS ADDED TO NOTIONAL AMOUNT UPON MATURITY OR CALL OPTION PRICE; STEP-UP EVENT: MISSING ALL SPTs</t>
  </si>
  <si>
    <t>Bookrunner DNB Markets DNB JLMB Joint Lead Managers-Books 483333.33 1 2021-11-23 Bookrunner Nordea Bank Abp NDASS JLMB Joint Lead Managers-Books 483333.33 1 2021-11-23 Bookrunner Pareto Securities PARETO JLMB Joint Lead Managers-Books 483333.33 1 2021-11-23</t>
  </si>
  <si>
    <t>Rimini Bidco SpA</t>
  </si>
  <si>
    <t>BS6180258</t>
  </si>
  <si>
    <t>BBG013QBJTC2</t>
  </si>
  <si>
    <t>SAFFA</t>
  </si>
  <si>
    <t>2021-12-14</t>
  </si>
  <si>
    <t>STEP-UP MARGIN: 25BP PER SPT; SPTs: REDUCTION OF GHG BY 15%, WATER SENT TO RECOVERY TO 81.5%, WATER DISCHARGE PER TON BY 10% BY 12/31/25, ALL VS 2020 BASELINE</t>
  </si>
  <si>
    <t>Bookrunner Banca di Intermediazione Mobil INTMOB JLMB Joint Lead Managers-Books 0 1 2021-11-30 Bookrunner Barclays BARCS JLMB Joint Lead Managers-Books 0 1 2021-11-30 Bookrunner BNP Paribas BNPP JLMB Joint Lead Managers-Books 0 1 2021-11-30 Bookrunner Credit Suisse CS JLMB Joint Lead Managers-Books 0 1 2021-11-30 Bookrunner UniCredit UNICRD JLMB Joint Lead Managers-Books 0 1 2021-11-30 NonBookrunner Barclays BARCS GLCO Global Coordinator(s) 0 1 2021-11-30 NonBookrunner BNP Paribas BNPP GLCO Global Coordinator(s) 0 1 2021-11-30 Bookrunner Barclays BARCS LEFT Left Lead 0 1 2021-11-30 Trustee Deutsche Bank AG London DB PAAG Paying Agent(s) 0 7 2021-11-30 Trustee Deutsche Bank AG London DB CALC Calculation Agent(s) 0 7 2021-11-30 Trustee Law Debenture Trust Corp PLC LAWDEB TRST Trustee(s) 0 7 2021-11-30 Trustee Deutsche Bank AG London DB TRNS Transfer Agent(s) 0 7 2021-11-30 Trustee Deutsche Bank Luxembourg SA DB LIST Listing Agent(s) 0 7 2021-11-30 Trustee Deutsche Bank Luxembourg SA DB RGST Registrar(s) 0 7 2021-11-30 Trustee Allen &amp; Overy/Rome ALOVIT LAI Legal Adviser to the Issuer(s) 0 16 2021-11-30 Trustee Paul Weiss Rifkind Wharton &amp; G PWEISS LAI Legal Adviser to the Issuer(s) 0 16 2021-11-30 Trustee McDermott Will &amp; Emery UK LLP MCDWIL LAT Legal Adviser(s) to the Truste 0 16 2021-11-30 Trustee Latham &amp; Watkins LATHAM LAM Legal Adviser(s) to the Manage 0 16 2021-11-30 Trustee Latham &amp; Watkins LLP LATHAM LAM Legal Adviser(s) to the Manage 0 16 2021-11-30</t>
  </si>
  <si>
    <t>BS6180290</t>
  </si>
  <si>
    <t>BBG013QBJTQ7</t>
  </si>
  <si>
    <t>Bookrunner Barclays BARCS JLMB Joint Lead Managers-Books 0 1 2021-11-30 Bookrunner BNP Paribas BNPP JLMB Joint Lead Managers-Books 0 1 2021-11-30 Bookrunner Credit Suisse CS JLMB Joint Lead Managers-Books 0 1 2021-11-30 Bookrunner Intesa Sanpaolo INTES JLMB Joint Lead Managers-Books 0 1 2021-11-30 Bookrunner UniCredit UNICRD JLMB Joint Lead Managers-Books 0 1 2021-11-30 NonBookrunner Barclays BARCS GLCO Global Coordinator(s) 0 1 2021-11-30 NonBookrunner BNP Paribas BNPP GLCO Global Coordinator(s) 0 1 2021-11-30 Bookrunner Barclays BARCS LEFT Left Lead 0 1 2021-11-30 Trustee Deutsche Bank AG London DB PAAG Paying Agent(s) 0 7 2021-11-30 Trustee Deutsche Bank AG London DB CALC Calculation Agent(s) 0 7 2021-11-30 Trustee Law Debenture Trust Corp PLC LAWDEB TRST Trustee(s) 0 7 2021-11-30 Trustee Deutsche Bank AG London DB TRNS Transfer Agent(s) 0 7 2021-11-30 Trustee Deutsche Bank Luxembourg SA DB LIST Listing Agent(s) 0 7 2021-11-30 Trustee Deutsche Bank Luxembourg SA DB RGST Registrar(s) 0 7 2021-11-30 Trustee Allen &amp; Overy/Rome ALOVIT LAI Legal Adviser to the Issuer(s) 0 16 2021-11-30 Trustee Paul Weiss Rifkind Wharton &amp; G PWEISS LAI Legal Adviser to the Issuer(s) 0 16 2021-11-30 Trustee McDermott Will &amp; Emery UK LLP MCDWIL LAT Legal Adviser(s) to the Truste 0 16 2021-11-30 Trustee Latham &amp; Watkins LATHAM LAM Legal Adviser(s) to the Manage 0 16 2021-11-30 Trustee Latham &amp; Watkins LLP LATHAM LAM Legal Adviser(s) to the Manage 0 16 2021-11-30 ESG Assurance Provider Sustainalytics BV SUSANA SNPC 2nd Party Consultant 0 30 2021-11-30</t>
  </si>
  <si>
    <t>Elekta AB</t>
  </si>
  <si>
    <t>BS8106574</t>
  </si>
  <si>
    <t>BBG013WMFZX8</t>
  </si>
  <si>
    <t>EKTAB</t>
  </si>
  <si>
    <t>Medical Equipment &amp; Devices Manufacturing</t>
  </si>
  <si>
    <t>Healthcare</t>
  </si>
  <si>
    <t>STEP-UP REDEMPTION: 101%, SPT: 825 UNIT INCREASE OF LINAC INSTALLED BASE BY 04/30/2025 VS 04/30/2020 (BASELINE)</t>
  </si>
  <si>
    <t>Bookrunner Danske Bank DANBNK JLMB Joint Lead Managers-Books 575000 1 2021-12-02 Bookrunner Skandinaviska Enskilda Banken SEB JLMB Joint Lead Managers-Books 575000 1 2021-12-02</t>
  </si>
  <si>
    <t>BS8106590</t>
  </si>
  <si>
    <t>BBG013WMG064</t>
  </si>
  <si>
    <t>STEP-UP CPN: 35BPS, SPT: 825 UNIT INCREASE OF LINAC INSTALLED BASE BY 04/30/2025 VS 04/30/2020 (BASELINE)</t>
  </si>
  <si>
    <t>Bookrunner Danske Bank DANSKE JLMB Joint Lead Managers-Books 0 1 2021-12-02 Bookrunner SEB SEB JLMB Joint Lead Managers-Books 0 1 2021-12-02</t>
  </si>
  <si>
    <t>GEK Terna Holding Real Estate Construction SA</t>
  </si>
  <si>
    <t>BS8796234</t>
  </si>
  <si>
    <t>BBG013XYWMK5</t>
  </si>
  <si>
    <t>GEKTER</t>
  </si>
  <si>
    <t>SLB CPN STEP-UP: 20BPTS/ANNUM; SPT DATE: ANNUALLY ON 06/30; KPI: GHG</t>
  </si>
  <si>
    <t>Bookrunner Alpha Bank AE ALPHA JLMB Joint Lead Managers-Books 0 1 2021-12-07 Bookrunner Eurobank SA EUROB JLMB Joint Lead Managers-Books 0 1 2021-12-07 Bookrunner Euroxx Securities SA EUROXX JLMB Joint Lead Managers-Books 0 1 2021-12-07 Bookrunner National Bank of Greece NBG JLMB Joint Lead Managers-Books 0 1 2021-12-07 Bookrunner Optima Bank &amp; Trust Co OPTIMA JLMB Joint Lead Managers-Books 0 1 2021-12-07 Bookrunner Piraeus Bank PIRAEU JLMB Joint Lead Managers-Books 0 1 2021-12-07</t>
  </si>
  <si>
    <t>BS8814508</t>
  </si>
  <si>
    <t>BBG013Y0QG55</t>
  </si>
  <si>
    <t>10YF</t>
  </si>
  <si>
    <t>Bookrunner Landesbank Hessen-Thuringen Gi HELABA JLMB Joint Lead Managers-Books 0 1 2021-12-07 Bookrunner Raiffeisen Bank International RAIINT JLMB Joint Lead Managers-Books 0 1 2021-12-07 Trustee Clifford Chance LLP CHANCE LAI Legal Adviser to the Issuer(s) 0 16 2021-11-26</t>
  </si>
  <si>
    <t>BS8816255</t>
  </si>
  <si>
    <t>BBG013Y0W6J5</t>
  </si>
  <si>
    <t>5.5</t>
  </si>
  <si>
    <t>BS8816669</t>
  </si>
  <si>
    <t>BBG013Y0WJV3</t>
  </si>
  <si>
    <t>YA Holding AB</t>
  </si>
  <si>
    <t>BS9540193</t>
  </si>
  <si>
    <t>BBG01404GG62</t>
  </si>
  <si>
    <t>YDHDG</t>
  </si>
  <si>
    <t>2021-12-17</t>
  </si>
  <si>
    <t>2024-12-17</t>
  </si>
  <si>
    <t>Educational Services</t>
  </si>
  <si>
    <t>BOND REDEEMED AT 100.75 IF THE ISSUER FAILS TO ACHIEVE SPT</t>
  </si>
  <si>
    <t>Bookrunner Carnegie CARNEG SOLE Sole Manager 0 1 2021-12-09 Trustee Nordic Trustee AB NRDTRS AGNT Agent(s) 0 7 2021-12-09 Trustee Carnegie Investment Bank AB CARNGI ISAG Issuing Agent(s) 0 7 2021-12-09</t>
  </si>
  <si>
    <t>BS9926319</t>
  </si>
  <si>
    <t>BBG01412D5S8</t>
  </si>
  <si>
    <t>2027-12-13</t>
  </si>
  <si>
    <t>BS9926327</t>
  </si>
  <si>
    <t>BBG01412D5V4</t>
  </si>
  <si>
    <t>2025-12-13</t>
  </si>
  <si>
    <t>BayWa AG</t>
  </si>
  <si>
    <t>BT2413768</t>
  </si>
  <si>
    <t>BBG0149BVYS7</t>
  </si>
  <si>
    <t>BYWGR</t>
  </si>
  <si>
    <t>2021-12-21</t>
  </si>
  <si>
    <t>2031-12-22</t>
  </si>
  <si>
    <t>SUSTAINABILITY-LINKED SCHULDSCHEIN TIED TO ESG RATING BY MSCI.</t>
  </si>
  <si>
    <t>Bookrunner Commerzbank COBA JLMB Joint Lead Managers-Books 0 1 2021-12-21 Bookrunner DZ Bank DZBK JLMB Joint Lead Managers-Books 0 1 2021-12-21 Bookrunner Landesbank Baden-Wuerttemberg LBBW JLMB Joint Lead Managers-Books 0 1 2021-12-21 Trustee Landesbank Baden-Wuerttemberg LBBW PAAG Paying Agent(s) 0 7 2021-12-21</t>
  </si>
  <si>
    <t>BT2413925</t>
  </si>
  <si>
    <t>BBG0149BW6B5</t>
  </si>
  <si>
    <t>2028-12-21</t>
  </si>
  <si>
    <t>BT2413933</t>
  </si>
  <si>
    <t>BBG0149BW6F1</t>
  </si>
  <si>
    <t>BT2413941</t>
  </si>
  <si>
    <t>BBG0149BW6J7</t>
  </si>
  <si>
    <t>2026-12-21</t>
  </si>
  <si>
    <t>BT2413966</t>
  </si>
  <si>
    <t>BBG0149BW6P0</t>
  </si>
  <si>
    <t>BT2751928</t>
  </si>
  <si>
    <t>BBG014BFCLJ4</t>
  </si>
  <si>
    <t>6YFX</t>
  </si>
  <si>
    <t>Bookrunner Commerzbank COBA JLMB Joint Lead Managers-Books 0 1 2021-12-22 Bookrunner Landesbank Hessen-Thuringen Gi HELABA JLMB Joint Lead Managers-Books 0 1 2021-12-22 NonBookrunner Australia &amp; New Zealand Bankin ANZ COAR Co-Arranger(s) 0 1 2021-12-22 NonBookrunner Bankinter BKINT COAR Co-Arranger(s) 0 1 2021-12-22 NonBookrunner Intesa Sanpaolo INTES COAR Co-Arranger(s) 0 1 2021-12-22 NonBookrunner Raiffeisen Bank International RAIINT COAR Co-Arranger(s) 0 1 2021-12-22 Trustee Landesbank Hessen-Thuringen Gi HELABA PAAG Paying Agent(s) 0 7 2021-12-22 ESG Assurance Provider ISS-oekom ISSOEK SNPC 2nd Party Consultant 0 30 2021-12-22</t>
  </si>
  <si>
    <t>BT2751951</t>
  </si>
  <si>
    <t>BBG014BFCLP7</t>
  </si>
  <si>
    <t>4YFX</t>
  </si>
  <si>
    <t>VZ Secured Financing BV</t>
  </si>
  <si>
    <t>BT3367682</t>
  </si>
  <si>
    <t>BBG014D43343</t>
  </si>
  <si>
    <t>ZIGGO</t>
  </si>
  <si>
    <t>2022-01-20</t>
  </si>
  <si>
    <t>Cable &amp; Satellite</t>
  </si>
  <si>
    <t>Cable Satellite</t>
  </si>
  <si>
    <t>STEP MARGIN: 12.5BPS, STEP EVENT: CPN INC IF SPT A OR B MISS BY 12/31/2025, REDEMP INC/DEC IF SPT A &amp; B MISS/ACHIEVED, NO LESS THAN 100%</t>
  </si>
  <si>
    <t>Bookrunner BNP Paribas BNPP JLMB Joint Lead Managers-Books 0 1 2022-01-06 Bookrunner BofA Securities BofA JLMB Joint Lead Managers-Books 0 1 2022-01-06 Bookrunner Credit Suisse CS JLMB Joint Lead Managers-Books 0 1 2022-01-06 Bookrunner Deutsche Bank DB JLMB Joint Lead Managers-Books 0 1 2022-01-06 Bookrunner Goldman Sachs GS JLMB Joint Lead Managers-Books 0 1 2022-01-06 Bookrunner ING Groep ING JLMB Joint Lead Managers-Books 0 1 2022-01-06 Bookrunner JP Morgan JPM JLMB Joint Lead Managers-Books 0 1 2022-01-06 Bookrunner Morgan Stanley MS JLMB Joint Lead Managers-Books 0 1 2022-01-06 Bookrunner Rabobank RABO JLMB Joint Lead Managers-Books 0 1 2022-01-06 Bookrunner RBC Capital Markets RBCCM JLMB Joint Lead Managers-Books 0 1 2022-01-06 Bookrunner Scotiabank SCOTIA JLMB Joint Lead Managers-Books 0 1 2022-01-06 Bookrunner Societe Generale SG JLMB Joint Lead Managers-Books 0 1 2022-01-06 Trustee Deutsche Bank AG London DB PAAG Paying Agent(s) 0 7 2022-01-06 Trustee Deutsche Trustee Co Ltd DBTRUS TRST Trustee(s) 0 7 2022-01-06 Trustee Deutsche Bank AG London DB TRNS Transfer Agent(s) 0 7 2022-01-06 Trustee Ogier OGIER LIST Listing Agent(s) 0 7 2022-01-06 Trustee Deutsche Bank Luxembourg SA DB RGST Registrar(s) 0 7 2022-01-06 Trustee Allen &amp; Overy AONETH LAI Legal Adviser to the Issuer(s) 0 16 2022-01-06 Trustee Ropes &amp; Gray Ltd R&amp;G LAI Legal Adviser to the Issuer(s) 0 16 2022-01-06 Trustee Baker McKenzie/London BKLNDN LAT Legal Adviser(s) to the Truste 0 16 2022-01-06 Trustee Clifford Chance/Amsterdam CHANCE LAM Legal Adviser(s) to the Manage 0 16 2022-01-06 Trustee Latham &amp; Watkins LATHAM LAM Legal Adviser(s) to the Manage 0 16 2022-01-06 ESG Assurance Provider Sustainalytics BV SUSANA SNPC 2nd Party Consultant 0 30 2022-01-06</t>
  </si>
  <si>
    <t>BT3367799</t>
  </si>
  <si>
    <t>BBG014D438Q8</t>
  </si>
  <si>
    <t>BT3408114</t>
  </si>
  <si>
    <t>BBG014D6F318</t>
  </si>
  <si>
    <t>RegS</t>
  </si>
  <si>
    <t>Bookrunner BNP Paribas BNPP JLMB Joint Lead Managers-Books 0 1 2022-01-06 Bookrunner BofA Securities BofA JLMB Joint Lead Managers-Books 0 1 2022-01-06 Bookrunner Credit Suisse CS JLMB Joint Lead Managers-Books 0 1 2022-01-06 Bookrunner Deutsche Bank DB JLMB Joint Lead Managers-Books 0 1 2022-01-06 Bookrunner Goldman Sachs GS JLMB Joint Lead Managers-Books 0 1 2022-01-06 Bookrunner ING Groep ING JLMB Joint Lead Managers-Books 0 1 2022-01-06 Bookrunner JP Morgan JPM JLMB Joint Lead Managers-Books 0 1 2022-01-06 Bookrunner Morgan Stanley MS JLMB Joint Lead Managers-Books 0 1 2022-01-06 Bookrunner Rabobank RABO JLMB Joint Lead Managers-Books 0 1 2022-01-06 Bookrunner RBC Capital Markets RBCCM JLMB Joint Lead Managers-Books 0 1 2022-01-06 Bookrunner Scotiabank SCOTIA JLMB Joint Lead Managers-Books 0 1 2022-01-06 Bookrunner Societe Generale SG JLMB Joint Lead Managers-Books 0 1 2022-01-06 Trustee Deutsche Bank AG London DB PAAG Paying Agent(s) 0 7 2022-01-06 Trustee Deutsche Trustee Co Ltd DBTRUS TRST Trustee(s) 0 7 2022-01-06 Trustee Deutsche Bank AG London DB TRNS Transfer Agent(s) 0 7 2022-01-06 Trustee Deutsche Bank Trust Co America DB TRNS Transfer Agent(s) 0 7 2022-01-06 Trustee Deutsche Bank Luxembourg SA DB RGST Registrar(s) 0 7 2022-01-06 Trustee Deutsche Bank Trust Co America DB RGST Registrar(s) 0 7 2022-01-06 Trustee Allen &amp; Overy LLP ALLOVR LAI Legal Adviser to the Issuer(s) 0 16 2022-01-06 Trustee Ropes &amp; Gray International LLP RPGRYI LAI Legal Adviser to the Issuer(s) 0 16 2022-01-06 Trustee Clifford Chance/Amsterdam CHANCE LAM Legal Adviser(s) to the Manage 0 16 2022-01-06 Trustee Latham &amp; Watkins LATHAM LAM Legal Adviser(s) to the Manage 0 16 2022-01-06 ESG Assurance Provider Sustainalytics BV SUSANA SNPC 2nd Party Consultant 0 30 2022-01-06</t>
  </si>
  <si>
    <t>BT3408833</t>
  </si>
  <si>
    <t>BBG014D6JTZ0</t>
  </si>
  <si>
    <t>144a</t>
  </si>
  <si>
    <t>Bookrunner BNP Paribas BNPP JLMB Joint Lead Managers-Books 0 1 2022-01-06 Bookrunner BofA Securities BofA JLMB Joint Lead Managers-Books 0 1 2022-01-06 Bookrunner Credit Suisse CS JLMB Joint Lead Managers-Books 0 1 2022-01-06 Bookrunner Deutsche Bank DB JLMB Joint Lead Managers-Books 0 1 2022-01-06 Bookrunner Goldman Sachs GS JLMB Joint Lead Managers-Books 0 1 2022-01-06 Bookrunner ING Groep ING JLMB Joint Lead Managers-Books 0 1 2022-01-06 Bookrunner JP Morgan JPM JLMB Joint Lead Managers-Books 0 1 2022-01-06 Bookrunner Morgan Stanley MS JLMB Joint Lead Managers-Books 0 1 2022-01-06 Bookrunner Rabobank RABO JLMB Joint Lead Managers-Books 0 1 2022-01-06 Bookrunner RBC Capital Markets RBCCM JLMB Joint Lead Managers-Books 0 1 2022-01-06 Bookrunner Scotiabank SCOTIA JLMB Joint Lead Managers-Books 0 1 2022-01-06 Bookrunner Societe Generale SG JLMB Joint Lead Managers-Books 0 1 2022-01-06 Trustee Deutsche Bank AG London DB PAAG Paying Agent(s) 0 7 2022-01-06 Trustee Deutsche Bank Trust Co America DB PAAG Paying Agent(s) 0 7 2022-01-06 Trustee Deutsche Trustee Co Ltd DBTRUS TRST Trustee(s) 0 7 2022-01-06 Trustee Deutsche Bank AG London DB TRNS Transfer Agent(s) 0 7 2022-01-06 Trustee Deutsche Bank Trust Co America DB TRNS Transfer Agent(s) 0 7 2022-01-06 Trustee Deutsche Bank Luxembourg SA DB RGST Registrar(s) 0 7 2022-01-06 Trustee Deutsche Bank Trust Co America DB RGST Registrar(s) 0 7 2022-01-06 Trustee Allen &amp; Overy LLP ALLOVR LAI Legal Adviser to the Issuer(s) 0 16 2022-01-06 Trustee Ropes &amp; Gray International LLP RPGRYI LAI Legal Adviser to the Issuer(s) 0 16 2022-01-06 Trustee Clifford Chance/Amsterdam CHANCE LAM Legal Adviser(s) to the Manage 0 16 2022-01-06 Trustee Latham &amp; Watkins LATHAM LAM Legal Adviser(s) to the Manage 0 16 2022-01-06 ESG Assurance Provider Sustainalytics BV SUSANA SNPC 2nd Party Consultant 0 30 2022-01-06</t>
  </si>
  <si>
    <t>CPI Property Group SA</t>
  </si>
  <si>
    <t>BT3966533</t>
  </si>
  <si>
    <t>BBG014G3F2J5</t>
  </si>
  <si>
    <t>CPIPGR</t>
  </si>
  <si>
    <t>CZ</t>
  </si>
  <si>
    <t>2022-01-14</t>
  </si>
  <si>
    <t>2030-01-14</t>
  </si>
  <si>
    <t>STEP-UP MARGIN: 25BPS, STEP-UP EVENT: GHG EMISSION INTENSITY &gt; 0.095T CO2EQ/M2 OF CPIPG PROPERTY PORTFOLIO FOR FY 2027.</t>
  </si>
  <si>
    <t>Bookrunner Bank of China International (U BCHINA JLMB Joint Lead Managers-Books 0 1 2022-01-10 Bookrunner Barclays BARCS JLMB Joint Lead Managers-Books 0 1 2022-01-10 Bookrunner Goldman Sachs International GSI JLMB Joint Lead Managers-Books 0 1 2022-01-10 Bookrunner HSBC HSBC JLMB Joint Lead Managers-Books 0 1 2022-01-10 Bookrunner Societe Generale SG JLMB Joint Lead Managers-Books 0 1 2022-01-10 Bookrunner UniCredit UNICRD JLMB Joint Lead Managers-Books 0 1 2022-01-10 NonBookrunner Goldman Sachs International GSI GLCO Global Coordinator(s) 0 1 2022-01-10 NonBookrunner HSBC HSBC GLCO Global Coordinator(s) 0 1 2022-01-10 NonBookrunner Societe Generale SG GLCO Global Coordinator(s) 0 1 2022-01-10 NonBookrunner UniCredit UNICRD GLCO Global Coordinator(s) 0 1 2022-01-10 Trustee Linklaters LLP L&amp;A LAM Legal Adviser(s) to the Manage 0 16 2022-01-10 ESG Assurance Provider Sustainalytics BV SUSANA SNPC 2nd Party Consultant 0 30 2022-01-10</t>
  </si>
  <si>
    <t>BT4292533</t>
  </si>
  <si>
    <t>BBG014GTTYY6</t>
  </si>
  <si>
    <t>2022-01-17</t>
  </si>
  <si>
    <t>2025-11-17</t>
  </si>
  <si>
    <t>Bookrunner Banca Akros SpA AKROS JLMB Joint Lead Managers-Books 0 1 2022-01-10 Bookrunner Banco Bilbao Vizcaya Argentari BBVA JLMB Joint Lead Managers-Books 0 1 2022-01-10 Bookrunner Banco Santander SANT JLMB Joint Lead Managers-Books 0 1 2022-01-10 Bookrunner Barclays BARCS JLMB Joint Lead Managers-Books 0 1 2022-01-10 Bookrunner BNP Paribas BNPP JLMB Joint Lead Managers-Books 0 1 2022-01-10 Bookrunner CaixaBank CAIXA JLMB Joint Lead Managers-Books 0 1 2022-01-10 Bookrunner Citi CITI JLMB Joint Lead Managers-Books 0 1 2022-01-10 Bookrunner Goldman Sachs Bank Europe SE GS JLMB Joint Lead Managers-Books 0 1 2022-01-10 Bookrunner HSBC HSBC JLMB Joint Lead Managers-Books 0 1 2022-01-10 Bookrunner IMI - Intesa Sanpaolo IMI JLMB Joint Lead Managers-Books 0 1 2022-01-10 Bookrunner ING Groep NV ING JLMB Joint Lead Managers-Books 0 1 2022-01-10 Bookrunner JP Morgan JPM JLMB Joint Lead Managers-Books 0 1 2022-01-10 Bookrunner Mediobanca MEDBCA JLMB Joint Lead Managers-Books 0 1 2022-01-10 Bookrunner Natixis NATIX JLMB Joint Lead Managers-Books 0 1 2022-01-10 Bookrunner UniCredit UNICRD JLMB Joint Lead Managers-Books 0 1 2022-01-10 ESG Assurance Provider Vigeo SASV VIGEO SNPC 2nd Party Consultant 0 30 2022-01-10</t>
  </si>
  <si>
    <t>BT4292558</t>
  </si>
  <si>
    <t>BBG014GTV031</t>
  </si>
  <si>
    <t>2031-01-17</t>
  </si>
  <si>
    <t>emtn</t>
  </si>
  <si>
    <t>STEP-UP MARGIN: 25BP, STEP-UP EVENT: 12/31/24 DIRECT GHG EMISSIONS BEING ABOVE 140G/KWHEQ</t>
  </si>
  <si>
    <t>Bookrunner Banca Akros SpA AKROS JLMB Joint Lead Managers-Books 0 1 2022-01-10 Bookrunner Banco Bilbao Vizcaya Argentari BBVA JLMB Joint Lead Managers-Books 0 1 2022-01-10 Bookrunner Banco Santander SANT JLMB Joint Lead Managers-Books 0 1 2022-01-10 Bookrunner Barclays BARCS JLMB Joint Lead Managers-Books 0 1 2022-01-10 Bookrunner BNP Paribas BNPP JLMB Joint Lead Managers-Books 0 1 2022-01-10 Bookrunner CaixaBank CAIXA JLMB Joint Lead Managers-Books 0 1 2022-01-10 Bookrunner Citigroup Global Markets Ltd CITI JLMB Joint Lead Managers-Books 0 1 2022-01-10 Bookrunner Goldman Sachs Bank Europe SE GS JLMB Joint Lead Managers-Books 0 1 2022-01-10 Bookrunner HSBC HSBC JLMB Joint Lead Managers-Books 0 1 2022-01-10 Bookrunner IMI - Intesa Sanpaolo IMI JLMB Joint Lead Managers-Books 0 1 2022-01-10 Bookrunner ING Groep NV ING JLMB Joint Lead Managers-Books 0 1 2022-01-10 Bookrunner JP Morgan Securities PLC JPM JLMB Joint Lead Managers-Books 0 1 2022-01-10 Bookrunner Mediobanca MEDBCA JLMB Joint Lead Managers-Books 0 1 2022-01-10 Bookrunner Natixis NATIX JLMB Joint Lead Managers-Books 0 1 2022-01-10 Bookrunner UniCredit UNICRD JLMB Joint Lead Managers-Books 0 1 2022-01-10 ESG Assurance Provider Vigeo SASV VIGEO SNPC 2nd Party Consultant 0 30 2022-01-10</t>
  </si>
  <si>
    <t>BT4292566</t>
  </si>
  <si>
    <t>BBG014GTV0J4</t>
  </si>
  <si>
    <t>2035-01-17</t>
  </si>
  <si>
    <t>Bookrunner Banca Akros SpA AKROS JLMB Joint Lead Managers-Books 50000 1 2022-01-10 Bookrunner Banco Bilbao Vizcaya Argentari BBVA JLMB Joint Lead Managers-Books 50000 1 2022-01-10 Bookrunner Banco Santander SANT JLMB Joint Lead Managers-Books 50000 1 2022-01-10 Bookrunner Barclays BARCS JLMB Joint Lead Managers-Books 50000 1 2022-01-10 Bookrunner BNP Paribas BNPP JLMB Joint Lead Managers-Books 50000 1 2022-01-10 Bookrunner CaixaBank CAIXA JLMB Joint Lead Managers-Books 50000 1 2022-01-10 Bookrunner Citi CITI JLMB Joint Lead Managers-Books 50000 1 2022-01-10 Bookrunner Goldman Sachs Bank Europe SE GS JLMB Joint Lead Managers-Books 50000 1 2022-01-10 Bookrunner HSBC HSBC JLMB Joint Lead Managers-Books 50000 1 2022-01-10 Bookrunner IMI - Intesa Sanpaolo IMI JLMB Joint Lead Managers-Books 50000 1 2022-01-10 Bookrunner ING Groep ING JLMB Joint Lead Managers-Books 50000 1 2022-01-10 Bookrunner JP Morgan JPM JLMB Joint Lead Managers-Books 50000 1 2022-01-10 Bookrunner Mediobanca MEDBCA JLMB Joint Lead Managers-Books 50000 1 2022-01-10 Bookrunner Natixis NATIX JLMB Joint Lead Managers-Books 50000 1 2022-01-10 Bookrunner UniCredit UNICRD JLMB Joint Lead Managers-Books 50000 1 2022-01-10 ESG Assurance Provider Vigeo SASV VIGEO SNPC 2nd Party Consultant 0 30 2022-01-10</t>
  </si>
  <si>
    <t>Snam SpA</t>
  </si>
  <si>
    <t>BT4343112</t>
  </si>
  <si>
    <t>BBG014GXZ207</t>
  </si>
  <si>
    <t>SRGIM</t>
  </si>
  <si>
    <t>2029-06-20</t>
  </si>
  <si>
    <t>Natural Gas</t>
  </si>
  <si>
    <t>STEP-UP MARGIN: 25bpts, STEP-UP EVENT: FAIL TO REDUCE SCOPE 1/2 GHG EMISSIONS BY 50% BY DEC 2030.</t>
  </si>
  <si>
    <t>Bookrunner Barclays BARCS JLMB Joint Lead Managers-Books 0 1 2022-01-12 Bookrunner BNP Paribas BNPP JLMB Joint Lead Managers-Books 0 1 2022-01-12 Bookrunner Goldman Sachs International GSI JLMB Joint Lead Managers-Books 0 1 2022-01-12 Bookrunner IMI - Intesa Sanpaolo IMI JLMB Joint Lead Managers-Books 0 1 2022-01-12 Bookrunner Mediobanca MEDBCA JLMB Joint Lead Managers-Books 0 1 2022-01-12 Bookrunner Morgan Stanley &amp; Co Internatio MS JLMB Joint Lead Managers-Books 0 1 2022-01-12 Bookrunner Societe Generale SG JLMB Joint Lead Managers-Books 0 1 2022-01-12 Bookrunner UniCredit UNICRD JLMB Joint Lead Managers-Books 0 1 2022-01-12 NonBookrunner Barclays BARCS GLCO Global Coordinator(s) 0 1 2022-01-12 NonBookrunner BNP Paribas BNPP GLCO Global Coordinator(s) 0 1 2022-01-12 NonBookrunner Goldman Sachs International GSI GLCO Global Coordinator(s) 0 1 2022-01-12 Trustee BNP Paribas Securities Service BNPSEC PAAG Paying Agent(s) 0 7 2022-01-12 Trustee BNP Paribas Securities Service BNPSEC LIST Listing Agent(s) 0 7 2022-01-12 Trustee BNP Paribas Securities Service BNPSEC ISAG Issuing Agent(s) 0 7 2022-01-12 Trustee Orrick Herrington &amp; Sutcliffe ORRICK LAI Legal Adviser to the Issuer(s) 0 16 2022-01-12 Trustee Linklaters LLP L&amp;A LAM Legal Adviser(s) to the Manage 0 16 2022-01-12 Trustee Studio Legale Associato assoc LINKLA LAM Legal Adviser(s) to the Manage 0 16 2022-01-12 ESG Assurance Provider ISS-oekom ISSOEK SNPC 2nd Party Consultant 0 30 2022-01-12</t>
  </si>
  <si>
    <t>BT4343138</t>
  </si>
  <si>
    <t>BBG014GXZ4M9</t>
  </si>
  <si>
    <t>2034-06-20</t>
  </si>
  <si>
    <t>CLEAN-UP CALL 80%. STEP-UP MARGIN: 25bpts, STEP-UP EVENT: FAIL TO REDUCE NATURAL GAS/SCOPE 1/2 GHG EMISSIONS BY 55%/40% BY DEC 2025/2027.</t>
  </si>
  <si>
    <t>Bookrunner Barclays Bank Ireland PLC BARCBK JLMB Joint Lead Managers-Books 0 1 2022-01-12 Bookrunner BNP Paribas BNPP JLMB Joint Lead Managers-Books 0 1 2022-01-12 Bookrunner BofA Securities Europe SA BOFAS JLMB Joint Lead Managers-Books 0 1 2022-01-12 Bookrunner Goldman Sachs International GSI JLMB Joint Lead Managers-Books 0 1 2022-01-12 Bookrunner Mizuho Securities Europe GmbH MIZUHO JLMB Joint Lead Managers-Books 0 1 2022-01-12 Bookrunner Morgan Stanley &amp; Co Internatio MS JLMB Joint Lead Managers-Books 0 1 2022-01-12 Bookrunner Societe Generale SG JLMB Joint Lead Managers-Books 0 1 2022-01-12 Bookrunner UniCredit UNICRD JLMB Joint Lead Managers-Books 0 1 2022-01-12 NonBookrunner Barclays BARCS GLCO Global Coordinator(s) 0 1 2022-01-12 NonBookrunner BNP Paribas BNPP GLCO Global Coordinator(s) 0 1 2022-01-12 NonBookrunner Goldman Sachs International GSI GLCO Global Coordinator(s) 0 1 2022-01-12 Trustee BNP Paribas Securities Service BNPSEC PAAG Paying Agent(s) 0 7 2022-01-12 Trustee BNP Paribas Securities Service BNPSEC LIST Listing Agent(s) 0 7 2022-01-12 Trustee BNP Paribas Securities Service BNPSEC ISAG Issuing Agent(s) 0 7 2022-01-12 Trustee Orrick Herrington &amp; Sutcliffe ORRICK LAI Legal Adviser to the Issuer(s) 0 16 2022-01-12 Trustee Linklaters LLP L&amp;A LAM Legal Adviser(s) to the Manage 0 16 2022-01-12 Trustee Studio Legale Associato assoc LINKLA LAM Legal Adviser(s) to the Manage 0 16 2022-01-12 ESG Assurance Provider ISS-oekom ISSOEK SNPC 2nd Party Consultant 0 30 2022-01-12</t>
  </si>
  <si>
    <t>degewo AG</t>
  </si>
  <si>
    <t>BT5670141</t>
  </si>
  <si>
    <t>BBG014LKY8R8</t>
  </si>
  <si>
    <t>DEGEWO</t>
  </si>
  <si>
    <t>2022-02-24</t>
  </si>
  <si>
    <t>2062-02-24</t>
  </si>
  <si>
    <t>40Y</t>
  </si>
  <si>
    <t>PRICING ADJ: +1.5BPS IF KPIS NOT ACHIEVED. KPIS: NEW RENTALS TO HOUSEHOLDS UNDER RESIDENTIAL ENTITLEMENT CERTIFICATE PROGRAM; CO2 EMISSIONS FOR ENTIRE PORTFOLIO</t>
  </si>
  <si>
    <t>Bookrunner BayernLB BAYLB JLMB Joint Lead Managers-Books 0 1 2022-02-24 Bookrunner UniCredit Bank AG UNICRD JLMB Joint Lead Managers-Books 0 1 2022-02-24</t>
  </si>
  <si>
    <t>BT5673616</t>
  </si>
  <si>
    <t>BBG014LL3NG9</t>
  </si>
  <si>
    <t>2057-02-24</t>
  </si>
  <si>
    <t>35Y</t>
  </si>
  <si>
    <t>BT5673632</t>
  </si>
  <si>
    <t>BBG014LL3NX0</t>
  </si>
  <si>
    <t>2052-02-24</t>
  </si>
  <si>
    <t>30Y</t>
  </si>
  <si>
    <t>BT5673640</t>
  </si>
  <si>
    <t>BBG014LL3PM7</t>
  </si>
  <si>
    <t>2047-02-24</t>
  </si>
  <si>
    <t>25Y</t>
  </si>
  <si>
    <t>BT5673665</t>
  </si>
  <si>
    <t>BBG014LL3Q36</t>
  </si>
  <si>
    <t>2042-02-24</t>
  </si>
  <si>
    <t>20Y</t>
  </si>
  <si>
    <t>BT5673673</t>
  </si>
  <si>
    <t>BBG014LL3QG2</t>
  </si>
  <si>
    <t>2037-02-24</t>
  </si>
  <si>
    <t>15Y</t>
  </si>
  <si>
    <t>BT5673681</t>
  </si>
  <si>
    <t>BBG014LL3QX3</t>
  </si>
  <si>
    <t>2032-02-24</t>
  </si>
  <si>
    <t>BT5673699</t>
  </si>
  <si>
    <t>BBG014LL3R52</t>
  </si>
  <si>
    <t>2029-02-24</t>
  </si>
  <si>
    <t>BT5673707</t>
  </si>
  <si>
    <t>BBG014LL3RM3</t>
  </si>
  <si>
    <t>2027-02-24</t>
  </si>
  <si>
    <t>BT5673772</t>
  </si>
  <si>
    <t>BBG014LL45K2</t>
  </si>
  <si>
    <t>2025-02-24</t>
  </si>
  <si>
    <t>Webuild SpA</t>
  </si>
  <si>
    <t>BT5681023</t>
  </si>
  <si>
    <t>BBG014LLWV97</t>
  </si>
  <si>
    <t>IPGIM</t>
  </si>
  <si>
    <t>2022-01-28</t>
  </si>
  <si>
    <t>2026-07-28</t>
  </si>
  <si>
    <t>STEP-UP MARGIN: 75BPS AT REDEMPTION, STEP-UP EVENT: FAILURE TO REDUCE SUM OF SCOPE 1 &amp; 2 GHG EMISSIONS BY 50% BY 12/31/2025 OR AT REDEMPTION.</t>
  </si>
  <si>
    <t>Bookrunner BofA Securities BofA JLMB Joint Lead Managers-Books 0 1 2022-01-19 Bookrunner Goldman Sachs International GSI JLMB Joint Lead Managers-Books 0 1 2022-01-19 Bookrunner IMI - Intesa Sanpaolo IMI JLMB Joint Lead Managers-Books 0 1 2022-01-19 Bookrunner Natixis NATIX JLMB Joint Lead Managers-Books 0 1 2022-01-19 Bookrunner UniCredit UNICRD JLMB Joint Lead Managers-Books 0 1 2022-01-19 NonBookrunner Banca Akros SpA AKROS CLM Co-Lead Manager(s) 0 1 2022-01-19 NonBookrunner Banco Bilbao Vizcaya Argentari BBVA CLM Co-Lead Manager(s) 0 1 2022-01-19 NonBookrunner BNP Paribas BNPP CLM Co-Lead Manager(s) 0 1 2022-01-19 Trustee Bank of New York Mellon/London BNY PAAG Paying Agent(s) 0 7 2022-01-19 Trustee BNY Mellon Corporate Trustee S BNYMEL TRST Trustee(s) 0 7 2022-01-19 Trustee Walkers Listing Services Ltd WALLIS LIST Listing Agent(s) 0 7 2022-01-19 Trustee Bonelli Erede Lombardi P BONELL LAI Legal Adviser to the Issuer(s) 0 16 2022-01-19 Trustee Linklaters LLP L&amp;A LAT Legal Adviser(s) to the Truste 0 16 2022-01-19 Trustee Linklaters LLP L&amp;A LAM Legal Adviser(s) to the Manage 0 16 2022-01-19 Trustee Studio Legale Associato assoc LINKLA LAM Legal Adviser(s) to the Manage 0 16 2022-01-19 ESG Assurance Provider Vigeo SASV VIGEO SNPC 2nd Party Consultant 0 30 2022-01-19</t>
  </si>
  <si>
    <t>FIS Fabbrica Italiana Sintetici SpA</t>
  </si>
  <si>
    <t>BT9871315</t>
  </si>
  <si>
    <t>BBG014ZYYJ44</t>
  </si>
  <si>
    <t>FISITA</t>
  </si>
  <si>
    <t>2022-02-10</t>
  </si>
  <si>
    <t>2027-08-01</t>
  </si>
  <si>
    <t>STEP-UP MARGIN: 0.2% REDEMPTION PRICE PER SPT. STEP-UP EVENT: FAILURE TO MEET YEARLY SPT 1/2/3 BY YEAR-END 2021-2026.</t>
  </si>
  <si>
    <t>Bookrunner Banca Akros SpA AKROS JLMB Joint Lead Managers-Books 0 1 2022-02-03 Bookrunner BNP Paribas BNPP JLMB Joint Lead Managers-Books 0 1 2022-02-03 Bookrunner Credit Suisse CS JLMB Joint Lead Managers-Books 0 1 2022-02-03 Bookrunner IMI - Intesa Sanpaolo IMI JLMB Joint Lead Managers-Books 0 1 2022-02-03 Bookrunner Unicredito Italiano UNICI JLMB Joint Lead Managers-Books 0 1 2022-02-03 NonBookrunner BNP Paribas BNPP GLCO Global Coordinator(s) 0 1 2022-02-03 NonBookrunner Credit Suisse CS GLCO Global Coordinator(s) 0 1 2022-02-03 Trustee Elavon Financial Services Ltd/ EFSLTD PAAG Paying Agent(s) 0 7 2022-02-03 Trustee US Bank Trustees Ltd USB TRST Trustee(s) 0 7 2022-02-03 Trustee Elavon Financial Services Ltd/ EFSLTD TRNS Transfer Agent(s) 0 7 2022-02-03 Trustee Elavon Financial Services Ltd/ EFSLTD RGST Registrar(s) 0 7 2022-02-03 Trustee Latham &amp; Watkins LATHAM LAI Legal Adviser to the Issuer(s) 0 16 2022-02-03 Trustee Latham &amp; Watkins LLP LATHAM LAI Legal Adviser to the Issuer(s) 0 16 2022-02-03 Trustee Reed Smith LLP/GB REED LAT Legal Adviser(s) to the Truste 0 16 2022-02-03 Trustee White &amp; Case LLP WC1 LAM Legal Adviser(s) to the Manage 0 16 2022-02-03 Trustee White &amp; Case/Milan W&amp;C LAM Legal Adviser(s) to the Manage 0 16 2022-02-03 Trustee Pirola Pennuto Zei &amp; Associati PIROLA LATX Legal Adviser(s) to Tax 0 16 2022-02-03 Trustee Tremonti Vitali Romagnoli Picc TRMNTI LATX Legal Adviser(s) to Tax 0 16 2022-02-03 ESG Assurance Provider Sustainalytics BV SUSANA SNPC 2nd Party Consultant 0 30 2022-02-03</t>
  </si>
  <si>
    <t>BT9871331</t>
  </si>
  <si>
    <t>BBG014ZYYKB3</t>
  </si>
  <si>
    <t>Atrium Ljungberg AB</t>
  </si>
  <si>
    <t>BU3126846</t>
  </si>
  <si>
    <t>BBG01561W2S8</t>
  </si>
  <si>
    <t>ATRLJB</t>
  </si>
  <si>
    <t>2022-02-22</t>
  </si>
  <si>
    <t>2027-02-22</t>
  </si>
  <si>
    <t>SUSTAIN. LINKD. KPI 1-4 &amp; SPT 1-4 AS PER SUSTAIN. FRAMEWRK. REDMPT PX INCREASE BY 0.25% PER SPT IF NOT FULFLLD BY 12/31/25. MAX REDMPT 101</t>
  </si>
  <si>
    <t>Bookrunner Handelsbanken Capital Markets HCM SOLE Sole Manager 1000000 1 2022-02-15 Trustee Handelsbanken Capital Markets HCM PAAG Paying Agent(s) 0 7 2022-02-15</t>
  </si>
  <si>
    <t>Vestas Wind Systems Finance BV</t>
  </si>
  <si>
    <t>BU6749503</t>
  </si>
  <si>
    <t>BBG015JQWQ42</t>
  </si>
  <si>
    <t>VWSDC</t>
  </si>
  <si>
    <t>2022-03-15</t>
  </si>
  <si>
    <t>2029-06-15</t>
  </si>
  <si>
    <t>STEP-UP MARGIN: UP TO 25BP; STEP-UP EVENT: SCOPE 1, 2 AND 3 CO2 EMISSIONS</t>
  </si>
  <si>
    <t>Bookrunner Citi CITI JLMB Joint Lead Managers-Books 100000 1 2022-03-08 Bookrunner DNB Markets DNB JLMB Joint Lead Managers-Books 100000 1 2022-03-08 Bookrunner SEB SEB JLMB Joint Lead Managers-Books 100000 1 2022-03-08 Bookrunner Societe Generale SG JLMB Joint Lead Managers-Books 100000 1 2022-03-08 Bookrunner UniCredit UNICRD JLMB Joint Lead Managers-Books 100000 1 2022-03-08 NonBookrunner SEB SEB GLCO Global Coordinator(s) 0 1 2022-03-08 NonBookrunner UniCredit UNICRD GLCO Global Coordinator(s) 0 1 2022-03-08 ESG Assurance Provider DNV GL Group AS DNVGI SNPC 2nd Party Consultant 0 30 2022-03-08</t>
  </si>
  <si>
    <t>BU6749586</t>
  </si>
  <si>
    <t>BBG015JQWRH6</t>
  </si>
  <si>
    <t>2034-06-15</t>
  </si>
  <si>
    <t>Varta AG</t>
  </si>
  <si>
    <t>BU9302615</t>
  </si>
  <si>
    <t>BBG015R5V118</t>
  </si>
  <si>
    <t>VARGR</t>
  </si>
  <si>
    <t>2022-03-30</t>
  </si>
  <si>
    <t>2029-03-30</t>
  </si>
  <si>
    <t>ESG LINKED +/-2.5 BPS BASED ON SUSTAINALYTICS ESG RATING.</t>
  </si>
  <si>
    <t>Bookrunner BayernLB BAYLB JLMB Joint Lead Managers-Books 0 1 2022-03-30 Bookrunner HSBC HSBC JLMB Joint Lead Managers-Books 0 1 2022-03-30 Bookrunner UniCredit UNICRD JLMB Joint Lead Managers-Books 0 1 2022-03-30</t>
  </si>
  <si>
    <t>BU9303993</t>
  </si>
  <si>
    <t>BBG015R60762</t>
  </si>
  <si>
    <t>2027-03-30</t>
  </si>
  <si>
    <t>BV1138858</t>
  </si>
  <si>
    <t>BBG015XJG305</t>
  </si>
  <si>
    <t>2022-03-16</t>
  </si>
  <si>
    <t>2028-03-16</t>
  </si>
  <si>
    <t>RENEWABLE ENERGY SLB. SPT: INSTALLATION &lt; 3,000MW on 12/31/2024. STEP-UP: 25bpts</t>
  </si>
  <si>
    <t>Bookrunner Banco Bilbao Vizcaya Argentari BBVA JLMB Joint Lead Managers-Books 0 1 2022-03-09 Bookrunner Banco Santander SA/London SANTAN JLMB Joint Lead Managers-Books 0 1 2022-03-09 Bookrunner BNP Paribas BNPP JLMB Joint Lead Managers-Books 0 1 2022-03-09 Bookrunner Citigroup Global Markets Ltd CITI JLMB Joint Lead Managers-Books 0 1 2022-03-09 Bookrunner Credit Agricole CIB CACIB JLMB Joint Lead Managers-Books 0 1 2022-03-09 Bookrunner Intesa Sanpaolo SpA/London INTESA JLMB Joint Lead Managers-Books 0 1 2022-03-09 Bookrunner JP Morgan JPM JLMB Joint Lead Managers-Books 0 1 2022-03-09 Bookrunner Mediobanca-Banca di Credito Fi MEDIF JLMB Joint Lead Managers-Books 0 1 2022-03-09 Bookrunner Societe Generale SG JLMB Joint Lead Managers-Books 0 1 2022-03-09 Bookrunner UniCredit Bank AG/London UNICRD JLMB Joint Lead Managers-Books 0 1 2022-03-09 NonBookrunner Citigroup Global Markets Ltd CITI GLCO Global Coordinator(s) 0 1 2022-03-09 NonBookrunner Mediobanca-Banca di Credito Fi MEDIF GLCO Global Coordinator(s) 0 1 2022-03-09 Trustee Bank of New York Mellon/London BNY AGNT Agent(s) 0 7 2022-03-09 Trustee Bank of New York Mellon Luxemb BNYM LIST Listing Agent(s) 0 7 2022-03-09 Trustee Orrick Herrington &amp; Sutcliffe ORRICK LAI Legal Adviser to the Issuer(s) 0 16 2022-03-09 Trustee Allen &amp; Overy/Rome ALOVIT LAM Legal Adviser(s) to the Manage 0 16 2022-03-09 Trustee Allen &amp; Overy/Milan IT LAM Legal Adviser(s) to the Manage 0 16 2022-03-09</t>
  </si>
  <si>
    <t>BV2249076</t>
  </si>
  <si>
    <t>BBG0160XMH28</t>
  </si>
  <si>
    <t>2022-03-22</t>
  </si>
  <si>
    <t>2028-03-22</t>
  </si>
  <si>
    <t>STEP-UP MARGIN: 25BPS, STEP-UP EVENT: REDUCTION OF GHG EMISSIONS (SCOPE 1+2) BY 600KT TO 2,600KT (81.25% OF THE 2018 BASELINE) BY 2025</t>
  </si>
  <si>
    <t>Bookrunner Bank of America Securities Ltd BASL JLMB Joint Lead Managers-Books 0 1 2022-03-14 Bookrunner Barclays BARCS JLMB Joint Lead Managers-Books 0 1 2022-03-14 Bookrunner Commerzbank COBA JLMB Joint Lead Managers-Books 0 1 2022-03-14 Bookrunner JP Morgan Securities PLC JPM JLMB Joint Lead Managers-Books 0 1 2022-03-14 Bookrunner Standard Chartered PLC SCB JLMB Joint Lead Managers-Books 0 1 2022-03-14 Trustee Deutsche Bank AG DB PAAG Paying Agent(s) 0 7 2022-03-14 Trustee Deutsche Bank AG DB FISC Fiscal Agent(s) 0 7 2022-03-14 Trustee Deutsche Bank Luxembourg SA DB LIST Listing Agent(s) 0 7 2022-03-14 Trustee Internal Adviser IA LAI Legal Adviser to the Issuer(s) 0 16 2022-03-14 Trustee Hengeler Mueller HMWW LAM Legal Adviser(s) to the Manage 0 16 2022-03-14</t>
  </si>
  <si>
    <t>L'Oreal SA</t>
  </si>
  <si>
    <t>BV4081634</t>
  </si>
  <si>
    <t>BBG0167XVGD1</t>
  </si>
  <si>
    <t>ORFP</t>
  </si>
  <si>
    <t>2022-03-29</t>
  </si>
  <si>
    <t>2026-06-29</t>
  </si>
  <si>
    <t>STEP-UP MARGIN: 12.5BP PER SPT (2025); SPT1: 0 ABSOLUTE SCOPES 1,2 GHG, SPT2: 14% REDUCTION OF SCOPES 1,2,3; SPT3: USE 50% OF RECYCLED PLASTICS IN PACKAGING</t>
  </si>
  <si>
    <t>Bookrunner Banco Santander SANTAN JLMB Joint Lead Managers-Books 0 1 2022-03-22 Bookrunner BNP Paribas BNPP JLMB Joint Lead Managers-Books 0 1 2022-03-22 Bookrunner BofA Securities Europe SA BOFAS JLMB Joint Lead Managers-Books 0 1 2022-03-22 Bookrunner Citi CITI JLMB Joint Lead Managers-Books 0 1 2022-03-22 Bookrunner Credit Agricole CIB CACIB JLMB Joint Lead Managers-Books 0 1 2022-03-22 Bookrunner Deutsche Bank DB JLMB Joint Lead Managers-Books 0 1 2022-03-22 Bookrunner Goldman Sachs GS JLMB Joint Lead Managers-Books 0 1 2022-03-22 Bookrunner HSBC HSBC JLMB Joint Lead Managers-Books 0 1 2022-03-22 Bookrunner JP Morgan JPM JLMB Joint Lead Managers-Books 0 1 2022-03-22 Bookrunner Natixis NATIX JLMB Joint Lead Managers-Books 0 1 2022-03-22 Bookrunner Societe Generale SG JLMB Joint Lead Managers-Books 0 1 2022-03-22 Bookrunner Standard Chartered Bank STAN JLMB Joint Lead Managers-Books 0 1 2022-03-22 NonBookrunner BNP Paribas BNPP GLCO Global Coordinator(s) 0 1 2022-03-22 NonBookrunner JP Morgan JPM GLCO Global Coordinator(s) 0 1 2022-03-22 Trustee Allen &amp; Overy LLP ALLOVR LAM Legal Adviser(s) to the Manage 0 16 2022-03-22</t>
  </si>
  <si>
    <t>BV4095907</t>
  </si>
  <si>
    <t>BBG0167Z1CR3</t>
  </si>
  <si>
    <t>2022-02-25</t>
  </si>
  <si>
    <t>2030-02-25</t>
  </si>
  <si>
    <t>Bookrunner Commerzbank COBA JLMB Joint Lead Managers-Books 0 1 2022-02-25 Bookrunner Landesbank Hessen-Thuringen Gi HELABA JLMB Joint Lead Managers-Books 0 1 2022-02-25</t>
  </si>
  <si>
    <t>Carrefour SA</t>
  </si>
  <si>
    <t>BV4439030</t>
  </si>
  <si>
    <t>BBG0168SHTJ3</t>
  </si>
  <si>
    <t>CAFP</t>
  </si>
  <si>
    <t>2026-10-30</t>
  </si>
  <si>
    <t>SLB. SPT1/SPT2: SUSTAINABLE FARMING AND FOOD. STEP-UP: 25BPTS IF BOTH SPT NOT SATISFIED ON 10/2026</t>
  </si>
  <si>
    <t>Bookrunner Banco Bilbao Vizcaya Argentari BBVA JLMB Joint Lead Managers-Books 0 1 2022-03-23 Bookrunner BNP Paribas BNPP JLMB Joint Lead Managers-Books 0 1 2022-03-23 Bookrunner BofA Securities Europe SA BOFAS JLMB Joint Lead Managers-Books 0 1 2022-03-23 Bookrunner Credit Agricole CIB CACIB JLMB Joint Lead Managers-Books 0 1 2022-03-23 Bookrunner Helaba Frankfurt HELABA JLMB Joint Lead Managers-Books 0 1 2022-03-23 Bookrunner HSBC Bank PLC HSBC JLMB Joint Lead Managers-Books 0 1 2022-03-23 Bookrunner Societe Generale SG JLMB Joint Lead Managers-Books 0 1 2022-03-23 Bookrunner UniCredit UNICRD JLMB Joint Lead Managers-Books 0 1 2022-03-23 NonBookrunner BNP Paribas BNPP GLCO Global Coordinator(s) 0 1 2022-03-23 NonBookrunner BofA Securities Europe SA BOFAS GLCO Global Coordinator(s) 0 1 2022-03-23 NonBookrunner Credit Agricole CIB CACIB GLCO Global Coordinator(s) 0 1 2022-03-23 NonBookrunner Societe Generale SG GLCO Global Coordinator(s) 0 1 2022-03-23</t>
  </si>
  <si>
    <t>BV4439048</t>
  </si>
  <si>
    <t>BBG0168SHW06</t>
  </si>
  <si>
    <t>2029-10-30</t>
  </si>
  <si>
    <t>SLB. SPT1/SPT2: SUSTAINABLE FARMING AND FOOD. STEP-UP: 25BPTS EACH YEAR IF BOTH SPT NOT SATISFIED ON 10/2026, 2027, 2028 AND 2029</t>
  </si>
  <si>
    <t>Bookrunner Banco Bilbao Vizcaya Argentari BBVA JLMB Joint Lead Managers-Books 0 1 2022-03-23 Bookrunner BNP Paribas BNPP JLMB Joint Lead Managers-Books 0 1 2022-03-23 Bookrunner BofA Securities Europe SA BOFAS JLMB Joint Lead Managers-Books 0 1 2022-03-23 Bookrunner Credit Agricole CIB CACIB JLMB Joint Lead Managers-Books 0 1 2022-03-23 Bookrunner Helaba Frankfurt HELABA JLMB Joint Lead Managers-Books 0 1 2022-03-23 Bookrunner HSBC Bank PLC HSBC JLMB Joint Lead Managers-Books 0 1 2022-03-23 Bookrunner Societe Generale SG JLMB Joint Lead Managers-Books 0 1 2022-03-23 Bookrunner UniCredit UNICRD JLMB Joint Lead Managers-Books 0 1 2022-03-23 NonBookrunner BNP Paribas BNPP GLCO Global Coordinator(s) 0 1 2022-03-23 NonBookrunner BofA Securities Europe SA BOFAS GLCO Global Coordinator(s) 0 1 2022-03-23 NonBookrunner Credit Agricole CIB CACIB GLCO Global Coordinator(s) 0 1 2022-03-23 NonBookrunner Societe Generale SG GLCO Global Coordinator(s) 0 1 2022-03-23 Trustee BNP Paribas Securities Service BNPPAR PAAG Paying Agent(s) 0 7 2022-03-23 Trustee BNP Paribas Securities Service BNPPAR CALC Calculation Agent(s) 0 7 2022-03-23 Trustee BNP Paribas Securities Service BNPPAR FISC Fiscal Agent(s) 0 7 2022-03-23 Trustee Clifford Chance Europe LLP CLIFCH LAI Legal Adviser to the Issuer(s) 0 16 2022-03-23 Trustee Allen &amp; Overy ALLOVR LAM Legal Adviser(s) to the Manage 0 16 2022-03-23</t>
  </si>
  <si>
    <t>Cabonline Group Holding AB</t>
  </si>
  <si>
    <t>BV5219233</t>
  </si>
  <si>
    <t>BBG016C519Z1</t>
  </si>
  <si>
    <t>CABONL</t>
  </si>
  <si>
    <t>2022-04-19</t>
  </si>
  <si>
    <t>2026-04-19</t>
  </si>
  <si>
    <t>STEP-UP MARGIN: 75BPS, STEP-UP EVENT: FAIL TO INC % NON-FOSSIL VEHICLES TO 50%, ALCOHOL IGNITION INTERLOCKS TO 87%, SBTi ALIGNMENT BY END 2025</t>
  </si>
  <si>
    <t>Bookrunner Pareto Securities PARETO SOLE Sole Manager 1650000 1 2022-03-24 Trustee Pareto Securities AB PARETO ISAG Issuing Agent(s) 0 7 2022-03-24</t>
  </si>
  <si>
    <t>BV5722137</t>
  </si>
  <si>
    <t>BBG016DGDJP2</t>
  </si>
  <si>
    <t>2022-04-06</t>
  </si>
  <si>
    <t>2028-04-06</t>
  </si>
  <si>
    <t>STEP-UP MARGIN: 25BPS, STEP-UP EVENT: &lt;40% BY EUR INVESTED OF EQT ELIGIBLE EQUITY PORTFOLIO COMPANIES SET SBTs APPROVED BY SBTi BY 2025</t>
  </si>
  <si>
    <t>Bookrunner BNP Paribas BNPP JLMB Joint Lead Managers-Books 0 1 2022-03-30 Bookrunner Goldman Sachs Bank Europe SE GS JLMB Joint Lead Managers-Books 0 1 2022-03-30 Bookrunner JP Morgan SE JPM JLMB Joint Lead Managers-Books 0 1 2022-03-30 Bookrunner Morgan Stanley MS JLMB Joint Lead Managers-Books 0 1 2022-03-30 Bookrunner Nordea NORDEA JLMB Joint Lead Managers-Books 0 1 2022-03-30 Bookrunner SEB SEB JLMB Joint Lead Managers-Books 0 1 2022-03-30 NonBookrunner Credit Agricole CIB CACIB CM Co-Manager(s) 0 1 2022-03-30 NonBookrunner DNB ASA DNBK CM Co-Manager(s) 0 1 2022-03-30 NonBookrunner Mizuho International PLC MIZUHO CM Co-Manager(s) 0 1 2022-03-30 NonBookrunner NatWest Markets NWM CM Co-Manager(s) 0 1 2022-03-30 NonBookrunner Swedbank SWED CM Co-Manager(s) 0 1 2022-03-30 NonBookrunner Morgan Stanley MS GLCO Global Coordinator(s) 0 1 2022-03-30 ESG Assurance Provider ISS-oekom ISSOEK SNPC 2nd Party Consultant 0 30 2022-03-30</t>
  </si>
  <si>
    <t>CEZ AS</t>
  </si>
  <si>
    <t>BV5734215</t>
  </si>
  <si>
    <t>BBG016DHPQP1</t>
  </si>
  <si>
    <t>CEZCP</t>
  </si>
  <si>
    <t>STEP-UP MARGIN: 75BPS UPON LAST COUPON DATE; SPT: GHG EMISSION INTENSITY (SCOPE 1) 0.26 tCO2e/MWh BY 12/31/2025, 30.8% REDUCTION VS 2019 BASELINE</t>
  </si>
  <si>
    <t>Bookrunner Barclays Bank Ireland PLC BARCBK JLMB Joint Lead Managers-Books 0 1 2022-03-30 Bookrunner Citigroup Global Markets Ltd CITI JLMB Joint Lead Managers-Books 0 1 2022-03-30 Bookrunner Deutsche Bank DB JLMB Joint Lead Managers-Books 0 1 2022-03-30 Bookrunner Erste Group Bank ERSTE JLMB Joint Lead Managers-Books 0 1 2022-03-30 Bookrunner SMBC Nikko Capital Markets Ltd SMBNIK JLMB Joint Lead Managers-Books 0 1 2022-03-30 NonBookrunner Raiffeisen Bank International RAIINT CLM Co-Lead Manager(s) 0 1 2022-03-30 Trustee Deutsche Bank AG London DB AGNT Agent(s) 0 7 2022-03-30 Trustee Deutsche Bank Luxembourg SA DB PAAG Paying Agent(s) 0 7 2022-03-30 Trustee Deutsche Bank Luxembourg SA DB LIST Listing Agent(s) 0 7 2022-03-30 Trustee Kinstellar Sro Advokatni Kance KINSA LAI Legal Adviser to the Issuer(s) 0 16 2022-03-30 Trustee Linklaters LLP L&amp;A LAI Legal Adviser to the Issuer(s) 0 16 2022-03-30 Trustee Dentons UKMEA LLP DENTUK LAM Legal Adviser(s) to the Manage 0 16 2022-03-30 ESG Assurance Provider ISS-oekom ISSOEK SNPC 2nd Party Consultant 0 30 2022-03-30</t>
  </si>
  <si>
    <t>Sanofi</t>
  </si>
  <si>
    <t>BV6300149</t>
  </si>
  <si>
    <t>BBG016FVB8G3</t>
  </si>
  <si>
    <t>SANFP</t>
  </si>
  <si>
    <t>2029-04-06</t>
  </si>
  <si>
    <t>STEP-UP MARGIN: 25 BPS (12/31/2026); SPT: PROVISION OF ESSENTIAL MEDICINES TO AT LEAST 1.5 MILLION PATIENTS IN LOW/LOWER-MIDDLE INCOME COUNTRIES</t>
  </si>
  <si>
    <t>Bookrunner Barclays BARCS JLMB Joint Lead Managers-Books 0 1 2022-03-30 Bookrunner Morgan Stanley MS JLMB Joint Lead Managers-Books 0 1 2022-03-30 Bookrunner MUFG Securities EMEA PLC MUFG JLMB Joint Lead Managers-Books 0 1 2022-03-30 Bookrunner Natixis NATIX JLMB Joint Lead Managers-Books 0 1 2022-03-30 Bookrunner RBC Capital Markets RBCCM JLMB Joint Lead Managers-Books 0 1 2022-03-30 ESG Assurance Provider ISS-oekom ISSOEK SNPC 2nd Party Consultant 0 30 2022-03-30</t>
  </si>
  <si>
    <t>Pernod Ricard SA</t>
  </si>
  <si>
    <t>BV6300610</t>
  </si>
  <si>
    <t>BBG016FVKCG4</t>
  </si>
  <si>
    <t>RIFP</t>
  </si>
  <si>
    <t>2022-04-07</t>
  </si>
  <si>
    <t>2029-04-07</t>
  </si>
  <si>
    <t>SLB BOND. SPT1: GHG EMISSIONS; SPT2: WATER CONSUMPTION. OBSERVATION DATE: 06/30/2025. STEP-UP: 25BPTS IF SPT1 OR SPT2 NOT ACHIEVED.</t>
  </si>
  <si>
    <t>Bookrunner Barclays BARCS JLMB Joint Lead Managers-Books 0 1 2022-03-31 Bookrunner BNP Paribas BNPP JLMB Joint Lead Managers-Books 0 1 2022-03-31 Bookrunner Deutsche Bank DB JLMB Joint Lead Managers-Books 0 1 2022-03-31 Bookrunner HSBC HSBC JLMB Joint Lead Managers-Books 0 1 2022-03-31 Bookrunner Natixis NATIX JLMB Joint Lead Managers-Books 0 1 2022-03-31 Bookrunner Societe Generale SG JLMB Joint Lead Managers-Books 0 1 2022-03-31</t>
  </si>
  <si>
    <t>BV6301808</t>
  </si>
  <si>
    <t>BBG016FVV522</t>
  </si>
  <si>
    <t>2032-04-06</t>
  </si>
  <si>
    <t>STEP-UP MARGIN: 20BPS, STEP-UP EVENT: &lt;40% BY EUR INVESTED OF EQT ELIGIBLE EQUITY PORTFOLIO COMPANIES SET SBTs APPROVED BY SBTi BY 2025</t>
  </si>
  <si>
    <t>BV6871503</t>
  </si>
  <si>
    <t>BBG016J5TZT3</t>
  </si>
  <si>
    <t>2022-04-01</t>
  </si>
  <si>
    <t>2026-05-07</t>
  </si>
  <si>
    <t>STEP-UP MARGIN: 12.5BP PER SPT (12/31/2025) 2018 BASELINE; SPT1: CARBON INTENSITY REDUCTION 9.7%; SPT2: FRESHWATER WITHDRAWAL 25%</t>
  </si>
  <si>
    <t>Bookrunner NatWest Markets NWM SOLE Sole Manager 150000 1 2022-03-23 Trustee Citibank NA/London CITI PAAG Paying Agent(s) 0 7 2022-03-23 Trustee Citibank NA/London CITI FISC Fiscal Agent(s) 0 7 2022-03-23 Trustee Citibank NA/London CITI TRNS Transfer Agent(s) 0 7 2022-03-23 Trustee Citibank Europe PLC CITIFS RGST Registrar(s) 0 7 2022-03-23 Trustee Homburger AG HOMBRE LAI Legal Adviser to the Issuer(s) 0 16 2022-03-23 Trustee Linklaters LLP L&amp;A LAI Legal Adviser to the Issuer(s) 0 16 2022-03-23 Trustee Linklaters LLP/Luxembourg LINKLS LAI Legal Adviser to the Issuer(s) 0 16 2022-03-23 Trustee Linklaters L&amp;A LAI Legal Adviser to the Issuer(s) 0 16 2022-03-23 Trustee Clifford Chance LLP CHANCE LAM Legal Adviser(s) to the Manage 0 16 2022-03-23</t>
  </si>
  <si>
    <t>BV7154339</t>
  </si>
  <si>
    <t>BBG016K63167</t>
  </si>
  <si>
    <t>2022-04-11</t>
  </si>
  <si>
    <t>2029-04-11</t>
  </si>
  <si>
    <t>GBP</t>
  </si>
  <si>
    <t>STEP-UP MARGIN: 25BPS; STEP-UP EVENT: DIRECT GHG EMISSIONS AS OF 31 DECEMBER 2024 BEING ABOVE 140G/KWHEQ, AS CONFIRMED BY EXTERNAL VERIFIER</t>
  </si>
  <si>
    <t>Bookrunner Banco Santander SANT JLMB Joint Lead Managers-Books 0 1 2022-04-04 Bookrunner BNP Paribas BNPP JLMB Joint Lead Managers-Books 0 1 2022-04-04 Bookrunner Credit Agricole CIB CACIB JLMB Joint Lead Managers-Books 0 1 2022-04-04 Bookrunner Goldman Sachs GS JLMB Joint Lead Managers-Books 0 1 2022-04-04 Bookrunner HSBC HSBC JLMB Joint Lead Managers-Books 0 1 2022-04-04 Bookrunner JP Morgan JPM JLMB Joint Lead Managers-Books 0 1 2022-04-04 Bookrunner SMBC Nikko Securities Inc NIKKO JLMB Joint Lead Managers-Books 0 1 2022-04-04 Bookrunner Societe Generale SG JLMB Joint Lead Managers-Books 0 1 2022-04-04 Bookrunner UniCredit UNICRD JLMB Joint Lead Managers-Books 0 1 2022-04-04 ESG Assurance Provider Vigeo SASV VIGEO SNPC 2nd Party Consultant 0 30 2022-04-04</t>
  </si>
  <si>
    <t>CapMan Oyj</t>
  </si>
  <si>
    <t>BV7160799</t>
  </si>
  <si>
    <t>BBG016K6QTV3</t>
  </si>
  <si>
    <t>CPMBV</t>
  </si>
  <si>
    <t>FI</t>
  </si>
  <si>
    <t>2022-04-13</t>
  </si>
  <si>
    <t>2027-04-13</t>
  </si>
  <si>
    <t>STEP-UP MARGIN: 25BPS PER SPT; SPT1: REDUCE GHG EMISSIONS BY 12/2023; SPT2: INTEGRATE SUST. OBJECTIVIES INTO MANAGEMENT'S RENUMERATION BY 12/2023</t>
  </si>
  <si>
    <t>Bookrunner OP Corporate Bank PLC OPBANK SOLE Sole Manager 0 1 2022-04-06 Trustee OP Corporate Bank PLC OPBANK PAAG Paying Agent(s) 0 7 2022-04-06 ESG Assurance Provider ISS-oekom ISSOEK SNPC 2nd Party Consultant 0 30 2022-04-06</t>
  </si>
  <si>
    <t>JAB Holdings BV</t>
  </si>
  <si>
    <t>BV7511991</t>
  </si>
  <si>
    <t>BBG016LBJ5Y8</t>
  </si>
  <si>
    <t>JABHOL</t>
  </si>
  <si>
    <t>2022-04-08</t>
  </si>
  <si>
    <t>2052-04-08</t>
  </si>
  <si>
    <t>STEP-UP MARGIN: UP TO 25 BPS; KPIs: (i,ii) 46.2% SCOPE 1,2 GHG EMISSIONS REDUCTION, (iii) GENDER EQUALITY</t>
  </si>
  <si>
    <t>Bookrunner Banco Santander (US) SANTAN JLMB Joint Lead Managers-Books 0 1 2022-04-05 Bookrunner BMO Capital Markets Corp BMO JLMB Joint Lead Managers-Books 0 1 2022-04-05 Bookrunner BNP Paribas/New York BNPPAR JLMB Joint Lead Managers-Books 0 1 2022-04-05 Bookrunner BofA Securities BofA JLMB Joint Lead Managers-Books 0 1 2022-04-05 Bookrunner Citigroup Global Markets Inc CITI JLMB Joint Lead Managers-Books 0 1 2022-04-05 Bookrunner Credit Agricole Securities USA CASECS JLMB Joint Lead Managers-Books 0 1 2022-04-05 Bookrunner HSBC Securities HSBC JLMB Joint Lead Managers-Books 0 1 2022-04-05 Bookrunner JP Morgan JPM JLMB Joint Lead Managers-Books 0 1 2022-04-05 Bookrunner MUFG Securities Americas Inc MUFG JLMB Joint Lead Managers-Books 0 1 2022-04-05 Bookrunner Rabo Securities USA Inc RABO JLMB Joint Lead Managers-Books 0 1 2022-04-05 Bookrunner Skandinaviska Enskilda Banken SEB JLMB Joint Lead Managers-Books 0 1 2022-04-05 Bookrunner SMBC Nikko Securities America SMBC JLMB Joint Lead Managers-Books 0 1 2022-04-05 Bookrunner TD Securities USA LLC TDSEC JLMB Joint Lead Managers-Books 0 1 2022-04-05 Bookrunner UniCredit Capital Markets Inc UNICRE JLMB Joint Lead Managers-Books 0 1 2022-04-05 ESG Assurance Provider Sustainalytics BV SUSANA SNPC 2nd Party Consultant 0 30 2022-04-05</t>
  </si>
  <si>
    <t>BV7512007</t>
  </si>
  <si>
    <t>BBG016LBJ8B7</t>
  </si>
  <si>
    <t>Arcos Dorados BV</t>
  </si>
  <si>
    <t>BW0558104</t>
  </si>
  <si>
    <t>BBG016Z4HQP5</t>
  </si>
  <si>
    <t>ARCO</t>
  </si>
  <si>
    <t>2022-04-27</t>
  </si>
  <si>
    <t>2029-05-27</t>
  </si>
  <si>
    <t>STEP-UP MARGIN: 12.5BPS/25BPS, STEP-UP EVENT: FAIL TO ACHIEVE EITHER SPT1 OR SPT2/FAIL TO ACHIEVE BOTH SPT1 AND SPT2 BY 12/31/2025.</t>
  </si>
  <si>
    <t>Bookrunner Banco Itau SA ITAU JLMB Joint Lead Managers-Books 0 1 2022-04-21 Bookrunner Banco Santander SANT JLMB Joint Lead Managers-Books 0 1 2022-04-21 Bookrunner Citi CITI JLMB Joint Lead Managers-Books 0 1 2022-04-21 Bookrunner JP Morgan JPM JLMB Joint Lead Managers-Books 0 1 2022-04-21 Trustee Davis Polk &amp; Wardwell DPW LAI Legal Adviser to the Issuer(s) 0 16 2022-04-21</t>
  </si>
  <si>
    <t>BW0558112</t>
  </si>
  <si>
    <t>BBG016Z4HSV4</t>
  </si>
  <si>
    <t>Aegea Finance Sarl</t>
  </si>
  <si>
    <t>BW1911534</t>
  </si>
  <si>
    <t>BBG01730QSH1</t>
  </si>
  <si>
    <t>AEGEBZ</t>
  </si>
  <si>
    <t>2022-05-06</t>
  </si>
  <si>
    <t>2029-05-20</t>
  </si>
  <si>
    <t>Bookrunner Banco BTG Pactual BTG JLMB Joint Lead Managers-Books 0 1 2022-04-27 Bookrunner Banco Itau BBA ITABBA JLMB Joint Lead Managers-Books 0 1 2022-04-27 Bookrunner Bradesco BBI SA BRADSC JLMB Joint Lead Managers-Books 0 1 2022-04-27 Bookrunner JP Morgan JPM JLMB Joint Lead Managers-Books 0 1 2022-04-27 Bookrunner Morgan Stanley MS JLMB Joint Lead Managers-Books 0 1 2022-04-27</t>
  </si>
  <si>
    <t>BW1912169</t>
  </si>
  <si>
    <t>BBG01730RH48</t>
  </si>
  <si>
    <t>Bookrunner Banco BTG Pactual BTG JLMB Joint Lead Managers-Books 0 1 2022-04-27 Bookrunner Banco Itau BBA ITABBA JLMB Joint Lead Managers-Books 0 1 2022-04-27 Bookrunner JP Morgan JPM JLMB Joint Lead Managers-Books 0 1 2022-04-27 Bookrunner Morgan Stanley MS JLMB Joint Lead Managers-Books 0 1 2022-04-27</t>
  </si>
  <si>
    <t>Arcadis NV</t>
  </si>
  <si>
    <t>ZO2068393</t>
  </si>
  <si>
    <t>BBG00X02PN86</t>
  </si>
  <si>
    <t>ARCAD</t>
  </si>
  <si>
    <t>2020-10-14</t>
  </si>
  <si>
    <t>2027-10-14</t>
  </si>
  <si>
    <t>SUSTAINABILITY-LINKED SCHULDSCHEIN. SUSTAINABILITY PRICING ADJUSTMENT: +5BPS IF DEVELOPMENT OF MANAGEMENT SCORE &lt;=53.4; -5BPS IF SCORE &gt;=65.</t>
  </si>
  <si>
    <t>Bookrunner BayernLB BAYLB JLMB Joint Lead Managers-Books 0 1 2020-10-14 Bookrunner HSBC Trinkaus &amp; Burkhardt AG H-TRNK JLMB Joint Lead Managers-Books 0 1 2020-10-14 Bookrunner ING Bank NV Niederlassung ING JLMB Joint Lead Managers-Books 0 1 2020-10-14 Trustee ING Bank NV Niederlassung ING ESGA ESG Agent 0 7 2020-10-14</t>
  </si>
  <si>
    <t>ZO2076883</t>
  </si>
  <si>
    <t>BBG00X02SWM7</t>
  </si>
  <si>
    <t>2025-10-14</t>
  </si>
  <si>
    <t>ZO2076966</t>
  </si>
  <si>
    <t>BBG00X02SWZ3</t>
  </si>
  <si>
    <t>2023-10-16</t>
  </si>
  <si>
    <t>Saria SE &amp; Co KG</t>
  </si>
  <si>
    <t>ZO4338356</t>
  </si>
  <si>
    <t>BBG00X7YRF48</t>
  </si>
  <si>
    <t>SARIAS</t>
  </si>
  <si>
    <t>2020-11-30</t>
  </si>
  <si>
    <t>2023-11-30</t>
  </si>
  <si>
    <t>PRICING STEPS UP BY 50BPS IF NET DEBT/EBITDA &gt;3.75X. MARGIN INCREASES 2BPS IF ESG SCORE IS BELOW 45. DECREASES 2BPS WITH ESG SCORE ABOVE 53.</t>
  </si>
  <si>
    <t>Bookrunner Landesbank Baden-Wuerttemberg LBBW JLMB Joint Lead Managers-Books 0 1 2020-11-30 Bookrunner UniCredit Bank AG UNICRD JLMB Joint Lead Managers-Books 0 1 2020-11-30</t>
  </si>
  <si>
    <t>ZO4339248</t>
  </si>
  <si>
    <t>BBG00X7YSFH3</t>
  </si>
  <si>
    <t>2030-11-30</t>
  </si>
  <si>
    <t>ZO4339677</t>
  </si>
  <si>
    <t>BBG00X7YT0S3</t>
  </si>
  <si>
    <t>2027-11-30</t>
  </si>
  <si>
    <t>ZO4339917</t>
  </si>
  <si>
    <t>BBG00X7YTD87</t>
  </si>
  <si>
    <t>ZO4406484</t>
  </si>
  <si>
    <t>BBG00X8QXQM3</t>
  </si>
  <si>
    <t>2020-09-14</t>
  </si>
  <si>
    <t>2031-01-15</t>
  </si>
  <si>
    <t>STEP-UP MARGIN: 25 BPS.STEP-UP EVENT: 09/16/2027. &lt;=15%. WOMEN ON BOARD&gt;=30% 12/31/2025.</t>
  </si>
  <si>
    <t>Bookrunner Banco Bradesco BBI SA BBBBI JLMB Joint Lead Managers-Books 9615 4 2020-11-16 Bookrunner Banco Safra SA SAFRA JLMB Joint Lead Managers-Books 9615 4 2020-11-16 Bookrunner BNP Paribas Securities Corp BNPPAR JLMB Joint Lead Managers-Books 38461 4 2020-11-16 Bookrunner BofA Securities BofA JLMB Joint Lead Managers-Books 38465 4 2020-11-16 Bookrunner Credit Agricole Securities USA CASECS JLMB Joint Lead Managers-Books 38461 4 2020-11-16 Bookrunner Goldman Sachs GS JLMB Joint Lead Managers-Books 38461 4 2020-11-16 Bookrunner Itau BBA USA Securities Inc ITAU JLMB Joint Lead Managers-Books 9615 4 2020-11-16 Bookrunner JP Morgan JPM JLMB Joint Lead Managers-Books 38465 4 2020-11-16 Bookrunner Mizuho Securities USA LLC MIZ JLMB Joint Lead Managers-Books 38461 4 2020-11-16 Bookrunner Morgan Stanley &amp; Co LLC MS JLMB Joint Lead Managers-Books 38461 4 2020-11-16 Bookrunner MUFG Securities Americas Inc MUFG JLMB Joint Lead Managers-Books 38461 4 2020-11-16 Bookrunner Rabo Securities USA Inc RABO JLMB Joint Lead Managers-Books 38461 4 2020-11-16 Bookrunner Santander Investment Securitie SANTAN JLMB Joint Lead Managers-Books 38461 4 2020-11-16 Bookrunner Scotia Capital USA Inc SCOTIA JLMB Joint Lead Managers-Books 38461 4 2020-11-16 Bookrunner SMBC Nikko Securities America SMBC JLMB Joint Lead Managers-Books 38461 4 2020-11-16 Bookrunner XP Investimentos CCTVM SA XPINVE JLMB Joint Lead Managers-Books 9615 4 2020-11-16 #N/A N/A Cleary Gottlieb Steen &amp; Hamilt CGS&amp;H LAI Legal Adviser to the Issuer(s) 0 17 2020-11-16 #N/A N/A Internal Adviser IA LAI Legal Adviser to the Issuer(s) 0 17 2020-11-16 #N/A N/A Weber Rechtsanwalte GmbH WEBERR LAI Legal Adviser to the Issuer(s) 0 17 2020-11-16 #N/A N/A Linklaters LLP L&amp;A LAM Legal Adviser(s) to the Manage 0 17 2020-11-16 #N/A N/A Pinheiro &amp; Guimaraes Ltda PIGULT LAM Legal Adviser(s) to the Manage 0 17 2020-11-16 Bookrunner BNP Paribas Securities Corp BNPPAR JLMB Joint Lead Managers-Books 62500 1 2020-09-10 Bookrunner BofA Securities BofA JLMB Joint Lead Managers-Books 62500 1 2020-09-10 Bookrunner Credit Agricole Securities USA CASECS JLMB Joint Lead Managers-Books 62500 1 2020-09-10 Bookrunner Goldman Sachs GS JLMB Joint Lead Managers-Books 62500 1 2020-09-10 Bookrunner JP Morgan Securities LLC JPM JLMB Joint Lead Managers-Books 62500 1 2020-09-10 Bookrunner Mizuho Securities USA LLC MIZ JLMB Joint Lead Managers-Books 62500 1 2020-09-10 Bookrunner Morgan Stanley &amp; Co LLC MS JLMB Joint Lead Managers-Books 62500 1 2020-09-10 Bookrunner MUFG Securities Americas Inc MUFG JLMB Joint Lead Managers-Books 62500 1 2020-09-10 Bookrunner Rabo Securities USA Inc RABO JLMB Joint Lead Managers-Books 62500 1 2020-09-10 Bookrunner Santander Investment Securitie SANTAN JLMB Joint Lead Managers-Books 62500 1 2020-09-10 Bookrunner Scotia Capital USA Inc SCOTIA JLMB Joint Lead Managers-Books 62500 1 2020-09-10 Bookrunner SMBC Nikko Securities America SMBC JLMB Joint Lead Managers-Books 62500 1 2020-09-10 NonBookrunner BNP Paribas/New York BNPPAR GLCO Global Coordinator(s) 0 1 2020-09-10 NonBookrunner BofA Securities BofA GLCO Global Coordinator(s) 0 1 2020-09-10 NonBookrunner Credit Agricole Securities USA CASECS GLCO Global Coordinator(s) 0 1 2020-09-10 NonBookrunner JP Morgan JPM GLCO Global Coordinator(s) 0 1 2020-09-10 NonBookrunner Mizuho Securities USA Inc MIZ GLCO Global Coordinator(s) 0 1 2020-09-10 NonBookrunner Rabo Securities USA Inc RABO GLCO Global Coordinator(s) 0 1 2020-09-10 NonBookrunner Scotia Capital Inc SCOTIA GLCO Global Coordinator(s) 0 1 2020-09-10 Trustee Deutsche Bank Trust Company Am DB PAAG Paying Agent(s) 0 7 2020-09-10 Trustee Deutsche Bank Trust Company Am DB TRST Trustee(s) 0 7 2020-09-10 Trustee Deutsche Bank Trust Company Am DB TRNS Transfer Agent(s) 0 7 2020-09-10 Trustee Deutsche Bank Trust Company Am DB RGST Registrar(s) 0 7 2020-09-10 Trustee Cleary Gottlieb Steen &amp; Hamilt CGS&amp;H LAI Legal Adviser to the Issuer(s) 0 16 2020-09-10 Trustee Internal Adviser IA LAI Legal Adviser to the Issuer(s) 0 16 2020-09-10 Trustee Weber Rechtsanwalte GmbH WEBERR LAI Legal Adviser to the Issuer(s) 0 16 2020-09-10 Trustee Linklaters LLP L&amp;A LAM Legal Adviser(s) to the Manage 0 16 2020-09-10 Trustee Pinheiro &amp; Guimaraes Ltda PIGULT LAM Legal Adviser(s) to the Manage 0 16 2020-09-10 ESG Assurance Provider ISS-oekom ISSOEK SNPC 2nd Party Consultant 0 30 2020-09-10</t>
  </si>
  <si>
    <t>Indus Holding AG</t>
  </si>
  <si>
    <t>ZO4853784</t>
  </si>
  <si>
    <t>BBG00XCC7X52</t>
  </si>
  <si>
    <t>INHGR</t>
  </si>
  <si>
    <t>2020-09-15</t>
  </si>
  <si>
    <t>2030-09-15</t>
  </si>
  <si>
    <t>Manufactured Goods</t>
  </si>
  <si>
    <t>Bookrunner Landesbank Hessen-Thuringen Gi HELABA LMGR Lead Manager(s) 0 1 2020-09-15</t>
  </si>
  <si>
    <t>ZO4854253</t>
  </si>
  <si>
    <t>BBG00XCC88Z3</t>
  </si>
  <si>
    <t>2027-09-15</t>
  </si>
  <si>
    <t>ZO4854261</t>
  </si>
  <si>
    <t>BBG00XCC8927</t>
  </si>
  <si>
    <t>2025-09-15</t>
  </si>
  <si>
    <t>Novartis Finance SA</t>
  </si>
  <si>
    <t>ZO5119995</t>
  </si>
  <si>
    <t>BBG00XDG9M27</t>
  </si>
  <si>
    <t>NOVNVX</t>
  </si>
  <si>
    <t>2020-09-23</t>
  </si>
  <si>
    <t>2028-09-23</t>
  </si>
  <si>
    <t>A+</t>
  </si>
  <si>
    <t>STEP-UP MARGIN: 25BP, STEP-UP EVENT: 2025 PATIENT ACCESS TARGETS</t>
  </si>
  <si>
    <t>Bookrunner Barclays BARCS JLMB Joint Lead Managers-Books 0 1 2020-09-16 Bookrunner HSBC HSBC JLMB Joint Lead Managers-Books 0 1 2020-09-16 Bookrunner JP Morgan Securities PLC JPM JLMB Joint Lead Managers-Books 0 1 2020-09-16 Bookrunner Societe Generale SG JLMB Joint Lead Managers-Books 0 1 2020-09-16 NonBookrunner BNP Paribas BNPP CM Co-Manager(s) 0 1 2020-09-16 NonBookrunner Credit Suisse Securities (Euro CS CM Co-Manager(s) 0 1 2020-09-16 NonBookrunner Deutsche Bank AG DB CM Co-Manager(s) 0 1 2020-09-16 NonBookrunner Mizuho Securities Europe GmbH MIZUHO CM Co-Manager(s) 0 1 2020-09-16 Trustee Linklaters LLP L&amp;A LAM Legal Adviser(s) to the Manage 0 16 2020-09-16 ESG Assurance Provider Sustainalytics BV SUSANA SNPC 2nd Party Consultant 0 30 2020-09-16</t>
  </si>
  <si>
    <t>ZO9275116</t>
  </si>
  <si>
    <t>BBG00XV18BH9</t>
  </si>
  <si>
    <t>2020-10-20</t>
  </si>
  <si>
    <t>2027-10-20</t>
  </si>
  <si>
    <t>STEP-UP MARGIN: 25BP, STEP-UP EVENT: DEC 2022 RENEWABLES INSTALLED CAPACITY</t>
  </si>
  <si>
    <t>Bookrunner Bank of America BA JLMB Joint Lead Managers-Books 0 1 2020-10-13 Bookrunner Barclays BARCS JLMB Joint Lead Managers-Books 0 1 2020-10-13 Bookrunner BNP Paribas BNPP JLMB Joint Lead Managers-Books 0 1 2020-10-13 Bookrunner Citi CITI JLMB Joint Lead Managers-Books 0 1 2020-10-13 Bookrunner Credit Agricole CIB CACIB JLMB Joint Lead Managers-Books 0 1 2020-10-13 Bookrunner Deutsche Bank DB JLMB Joint Lead Managers-Books 0 1 2020-10-13 Bookrunner Goldman Sachs International GSI JLMB Joint Lead Managers-Books 0 1 2020-10-13 Bookrunner HSBC HSBC JLMB Joint Lead Managers-Books 0 1 2020-10-13 Bookrunner JP Morgan JPM JLMB Joint Lead Managers-Books 0 1 2020-10-13 Bookrunner Morgan Stanley MS JLMB Joint Lead Managers-Books 0 1 2020-10-13 Bookrunner Natixis NATIX JLMB Joint Lead Managers-Books 0 1 2020-10-13 Bookrunner Societe Generale SG JLMB Joint Lead Managers-Books 0 1 2020-10-13 NonBookrunner JP Morgan JPM DLR Dealer(s) 0 1 2020-10-13 Trustee Linklaters LLP L&amp;A LAM Legal Adviser(s) to the Manage 0 16 2020-10-13 ESG Assurance Provider Vigeo SASV VIGEO SNPC 2nd Party Consultant 0 30 2020-10-13</t>
  </si>
  <si>
    <t>Draegerwerk AG &amp; Co KGaA</t>
  </si>
  <si>
    <t>ZO9796350</t>
  </si>
  <si>
    <t>BBG00XWYFNT9</t>
  </si>
  <si>
    <t>DRAGER</t>
  </si>
  <si>
    <t>2021-01-04</t>
  </si>
  <si>
    <t>2028-01-04</t>
  </si>
  <si>
    <t>ESG-LINKED SCHULDSCHEIN. TWO SETTLEMENT DATES: FIRST SETTLEMENT 01/04/21 FOR EUR 40MM; SECOND SETTLEMENT 03/10/21 FOR EUR 60MM.</t>
  </si>
  <si>
    <t>Bookrunner Landesbank Hessen-Thuringen Gi HELABA LMGR Lead Manager(s) 0 4 2021-03-10 Bookrunner Landesbank Hessen-Thuringen Gi HELABA LMGR Lead Manager(s) 0 1 2021-01-04</t>
  </si>
  <si>
    <t>ZO9796368</t>
  </si>
  <si>
    <t>BBG00XWYFNX4</t>
  </si>
  <si>
    <t>2026-01-04</t>
  </si>
  <si>
    <t>Faber-Castell AG</t>
  </si>
  <si>
    <t>ZP4289051</t>
  </si>
  <si>
    <t>BBG00RCG6FQ3</t>
  </si>
  <si>
    <t>FABCAS</t>
  </si>
  <si>
    <t>2020-02-19</t>
  </si>
  <si>
    <t>2027-02-19</t>
  </si>
  <si>
    <t>ESG-LINKED SCHULDSCHEIN. SUSTAINABILITY PRICING ADJUSTMENT: +2BPS IF SUSTAINABILITY SCORE &lt;=49; -2BPS IF &gt;=69.</t>
  </si>
  <si>
    <t>Bookrunner DZ Bank DZBK JLMB Joint Lead Managers-Books 0 1 2020-02-19 Bookrunner UniCredit Bank AG UNICRD JLMB Joint Lead Managers-Books 0 1 2020-02-19</t>
  </si>
  <si>
    <t>ZP4289689</t>
  </si>
  <si>
    <t>BBG00RCG77L5</t>
  </si>
  <si>
    <t>2025-02-19</t>
  </si>
  <si>
    <t>Voith GmbH &amp; Co KGaA</t>
  </si>
  <si>
    <t>ZP5663015</t>
  </si>
  <si>
    <t>BBG00RFBZ7G8</t>
  </si>
  <si>
    <t>VOITGR</t>
  </si>
  <si>
    <t>2020-02-26</t>
  </si>
  <si>
    <t>2030-02-26</t>
  </si>
  <si>
    <t>ESG-LINKED SCHULDSCHEIN. SUSTAINABILITY PRICING ADJUSTMENT: +2.5BPS IF ESG; RATING &lt;C+ BY ISS ESG; -2.5BPS IF &gt;C+.</t>
  </si>
  <si>
    <t>Bookrunner Landesbank Baden-Wuerttemberg LBBW JLMB Joint Lead Managers-Books 0 1 2020-02-26 Bookrunner UniCredit Bank AG UNICRD JLMB Joint Lead Managers-Books 0 1 2020-02-26</t>
  </si>
  <si>
    <t>ZP5670580</t>
  </si>
  <si>
    <t>BBG00RFC2D88</t>
  </si>
  <si>
    <t>2027-02-26</t>
  </si>
  <si>
    <t>ZP5670671</t>
  </si>
  <si>
    <t>BBG00RFC2F01</t>
  </si>
  <si>
    <t>2025-02-26</t>
  </si>
  <si>
    <t>ZQ0626247</t>
  </si>
  <si>
    <t>BBG00QK2SJL0</t>
  </si>
  <si>
    <t>2019-10-17</t>
  </si>
  <si>
    <t>2024-06-17</t>
  </si>
  <si>
    <t>Bookrunner Bank of America Merrill Lynch BofAML JLMB Joint Lead Managers-Books 0 1 2019-10-10 Bookrunner BNP Paribas BNPP JLMB Joint Lead Managers-Books 0 1 2019-10-10 Bookrunner Credit Agricole CIB CACIB JLMB Joint Lead Managers-Books 0 1 2019-10-10 Bookrunner Credit Suisse CS JLMB Joint Lead Managers-Books 0 1 2019-10-10 Bookrunner Deutsche Bank DB JLMB Joint Lead Managers-Books 0 1 2019-10-10 Bookrunner Goldman Sachs GS JLMB Joint Lead Managers-Books 0 1 2019-10-10 Bookrunner JP Morgan JPM JLMB Joint Lead Managers-Books 0 1 2019-10-10 Bookrunner Mediobanca MEDBCA JLMB Joint Lead Managers-Books 0 1 2019-10-10 Bookrunner Mizuho Bank Ltd MIZUHO JLMB Joint Lead Managers-Books 0 1 2019-10-10 Bookrunner MUFG Securities EMEA PLC MUFG JLMB Joint Lead Managers-Books 0 1 2019-10-10 Bookrunner SMBC Nikko Capital Markets Ltd SMBNIK JLMB Joint Lead Managers-Books 0 1 2019-10-10 ESG Assurance Provider Vigeo SASV VIGEO SNPC 2nd Party Consultant 0 30 2019-10-10</t>
  </si>
  <si>
    <t>ZQ0626254</t>
  </si>
  <si>
    <t>BBG00QK2SJQ5</t>
  </si>
  <si>
    <t>Bookrunner Banco Bilbao Vizcaya Argentari BBVA JLMB Joint Lead Managers-Books 0 1 2019-10-10 Bookrunner Banco Santander SANT JLMB Joint Lead Managers-Books 0 1 2019-10-10 Bookrunner Bank of America Merrill Lynch BofAML JLMB Joint Lead Managers-Books 0 1 2019-10-10 Bookrunner BNP Paribas BNPP JLMB Joint Lead Managers-Books 0 1 2019-10-10 Bookrunner CaixaBank CAIXA JLMB Joint Lead Managers-Books 0 1 2019-10-10 Bookrunner Credit Agricole CIB CACIB JLMB Joint Lead Managers-Books 0 1 2019-10-10 Bookrunner Credit Suisse CS JLMB Joint Lead Managers-Books 0 1 2019-10-10 Bookrunner Deutsche Bank DB JLMB Joint Lead Managers-Books 0 1 2019-10-10 Bookrunner Goldman Sachs GS JLMB Joint Lead Managers-Books 0 1 2019-10-10 Bookrunner JP Morgan JPM JLMB Joint Lead Managers-Books 0 1 2019-10-10 Bookrunner Natixis NATIX JLMB Joint Lead Managers-Books 0 1 2019-10-10 ESG Assurance Provider Vigeo SASV VIGEO SNPC 2nd Party Consultant 0 30 2019-10-10</t>
  </si>
  <si>
    <t>ZQ0626262</t>
  </si>
  <si>
    <t>BBG00QK2SJW8</t>
  </si>
  <si>
    <t>2034-10-17</t>
  </si>
  <si>
    <t>STEP-UP MARGIN: 25BP, STEP-UP EVENT: DIRECT GREEN HOUSE GAS EMISSIONS</t>
  </si>
  <si>
    <t>Bookrunner Banca IMI B.IMI JLMB Joint Lead Managers-Books 0 1 2019-10-10 Bookrunner Bank of America Merrill Lynch BofAML JLMB Joint Lead Managers-Books 0 1 2019-10-10 Bookrunner Barclays BARCS JLMB Joint Lead Managers-Books 0 1 2019-10-10 Bookrunner BNP Paribas BNPP JLMB Joint Lead Managers-Books 0 1 2019-10-10 Bookrunner Credit Agricole CIB CACIB JLMB Joint Lead Managers-Books 0 1 2019-10-10 Bookrunner Credit Suisse CS JLMB Joint Lead Managers-Books 0 1 2019-10-10 Bookrunner Deutsche Bank DB JLMB Joint Lead Managers-Books 0 1 2019-10-10 Bookrunner Goldman Sachs GS JLMB Joint Lead Managers-Books 0 1 2019-10-10 Bookrunner HSBC HSBC JLMB Joint Lead Managers-Books 0 1 2019-10-10 Bookrunner ING Groep ING JLMB Joint Lead Managers-Books 0 1 2019-10-10 Bookrunner JP Morgan JPM JLMB Joint Lead Managers-Books 0 1 2019-10-10 Bookrunner UniCredit UNICRD JLMB Joint Lead Managers-Books 0 1 2019-10-10 ESG Assurance Provider Vigeo SASV VIGEO SNPC 2nd Party Consultant 0 30 2019-10-10</t>
  </si>
  <si>
    <t>Lenzing AG</t>
  </si>
  <si>
    <t>ZQ3524308</t>
  </si>
  <si>
    <t>BBG00QQ5FGN5</t>
  </si>
  <si>
    <t>LNZAV</t>
  </si>
  <si>
    <t>2019-12-09</t>
  </si>
  <si>
    <t>2029-12-09</t>
  </si>
  <si>
    <t>MULTI-CURRENCY DEAL. TOTAL DEAL SIZE EQUIV TO EUR 500MM. CURRENCY SPLIT EUR 441MM AND USD 65MM. TWO SETTLEMENT DATES: 12/09/2019 AND 01/10/2020.</t>
  </si>
  <si>
    <t>Bookrunner BNP Paribas/Frankfurt BNP JLMB Joint Lead Managers-Books 0 4 2020-01-10 Bookrunner Landesbank Baden-Wuerttemberg LBBW JLMB Joint Lead Managers-Books 0 4 2020-01-10 Bookrunner UniCredit Bank AG UNICRD JLMB Joint Lead Managers-Books 0 4 2020-01-10 Bookrunner BNP Paribas/Frankfurt BNP JLMB Joint Lead Managers-Books 0 1 2019-12-09 Bookrunner Landesbank Baden-Wuerttemberg LBBW JLMB Joint Lead Managers-Books 0 1 2019-12-09 Bookrunner UniCredit Bank AG UNICRD JLMB Joint Lead Managers-Books 0 1 2019-12-09</t>
  </si>
  <si>
    <t>ZQ3724734</t>
  </si>
  <si>
    <t>BBG00QQ85TV3</t>
  </si>
  <si>
    <t>2026-12-09</t>
  </si>
  <si>
    <t>7YEU</t>
  </si>
  <si>
    <t>ZQ3724742</t>
  </si>
  <si>
    <t>BBG00QQ85TX1</t>
  </si>
  <si>
    <t>2024-12-09</t>
  </si>
  <si>
    <t>5YEU</t>
  </si>
  <si>
    <t>ZQ3724759</t>
  </si>
  <si>
    <t>BBG00QQ85TZ9</t>
  </si>
  <si>
    <t>7YUS</t>
  </si>
  <si>
    <t>ZQ3724767</t>
  </si>
  <si>
    <t>BBG00QQ85V02</t>
  </si>
  <si>
    <t>Maire Tecnimont SpA</t>
  </si>
  <si>
    <t>ZQ3885113</t>
  </si>
  <si>
    <t>BBG00QQFC3T9</t>
  </si>
  <si>
    <t>MTIM</t>
  </si>
  <si>
    <t>2019-12-11</t>
  </si>
  <si>
    <t>2024-12-11</t>
  </si>
  <si>
    <t>SUSTAINABILITY-LINKED SCHULDSCHEIN. STEPS UP BY 75BPS IF NET DEBT/EBITDA &gt;2.5X. SUSTAINABILITY-TIED PRICING REVISION.</t>
  </si>
  <si>
    <t>Bookrunner Banca IMI B.IMI JLMB Joint Lead Managers-Books 0 1 2019-12-11 Bookrunner UniCredit Group UNICGP JLMB Joint Lead Managers-Books 0 1 2019-12-11 NonBookrunner Societe Generale SG CLM Co-Lead Manager(s) 0 1 2019-12-11</t>
  </si>
  <si>
    <t>ZQ3885279</t>
  </si>
  <si>
    <t>BBG00QQFC8P2</t>
  </si>
  <si>
    <t>2022-12-11</t>
  </si>
  <si>
    <t>ZR4855485</t>
  </si>
  <si>
    <t>BBG00Q69ZX05</t>
  </si>
  <si>
    <t>2019-09-10</t>
  </si>
  <si>
    <t>2024-09-10</t>
  </si>
  <si>
    <t>STEP-UP MARGIN: 25 BP, STEP-UP EVENT: RENEWABLES INSTALLED CAPACITY</t>
  </si>
  <si>
    <t>Bookrunner Bank of America Merrill Lynch BofAML JLMB Joint Lead Managers-Books 0 1 2019-09-05 Bookrunner BNP Paribas/New York BNPPAR JLMB Joint Lead Managers-Books 0 1 2019-09-05 Bookrunner Citigroup Global Markets Inc CITI JLMB Joint Lead Managers-Books 0 1 2019-09-05 Bookrunner Credit Agricole Securities USA CASECS JLMB Joint Lead Managers-Books 0 1 2019-09-05 Bookrunner Goldman Sachs GS JLMB Joint Lead Managers-Books 0 1 2019-09-05 Bookrunner JP Morgan JPM JLMB Joint Lead Managers-Books 0 1 2019-09-05 Bookrunner Morgan Stanley MS JLMB Joint Lead Managers-Books 0 1 2019-09-05 Bookrunner Societe Generale SG JLMB Joint Lead Managers-Books 0 1 2019-09-05 ESG Assurance Provider Vigeo SASV VIGEO SNPC 2nd Party Consultant 0 30 2019-09-05</t>
  </si>
  <si>
    <t>ZR4855493</t>
  </si>
  <si>
    <t>BBG00Q69ZX78</t>
  </si>
  <si>
    <t>Bookrunner Bank of America Merrill Lynch BofAML JLMB Joint Lead Managers-Books 0 1 2019-09-05 Bookrunner BNP Paribas/New York BNPPAR JLMB Joint Lead Managers-Books 0 1 2019-09-05 Bookrunner Citigroup Global Markets Inc CITI JLMB Joint Lead Managers-Books 0 1 2019-09-05 Bookrunner Credit Agricole Securities USA CASECS JLMB Joint Lead Managers-Books 0 1 2019-09-05 Bookrunner Goldman Sachs GS JLMB Joint Lead Managers-Books 0 1 2019-09-05 Bookrunner JP Morgan JPM JLMB Joint Lead Managers-Books 0 1 2019-09-05 Bookrunner Morgan Stanley MS JLMB Joint Lead Managers-Books 0 1 2019-09-05 Bookrunner Societe Generale SG JLMB Joint Lead Managers-Books 0 1 2019-09-05</t>
  </si>
  <si>
    <t>ZS6974621</t>
  </si>
  <si>
    <t>BBG00P5B86Q4</t>
  </si>
  <si>
    <t>2019-07-04</t>
  </si>
  <si>
    <t>2029-07-04</t>
  </si>
  <si>
    <t>Bookrunner ING Bank NV Niederlassung ING JLMB Joint Lead Managers-Books 0 1 2019-07-04 Bookrunner Landesbank Baden-Wuerttemberg LBBW JLMB Joint Lead Managers-Books 0 1 2019-07-04</t>
  </si>
  <si>
    <t>ZS6974936</t>
  </si>
  <si>
    <t>BBG00P5B8G19</t>
  </si>
  <si>
    <t>2027-07-04</t>
  </si>
  <si>
    <t>8YFX</t>
  </si>
  <si>
    <t>ZS6974944</t>
  </si>
  <si>
    <t>BBG00P5B8G28</t>
  </si>
  <si>
    <t>2025-07-04</t>
  </si>
  <si>
    <t>ZS6974969</t>
  </si>
  <si>
    <t>BBG00P5B8G46</t>
  </si>
  <si>
    <t>2024-07-04</t>
  </si>
  <si>
    <t>ZS6974977</t>
  </si>
  <si>
    <t>BBG00P5B8G64</t>
  </si>
  <si>
    <t>ZS6974985</t>
  </si>
  <si>
    <t>BBG00P5B8G73</t>
  </si>
  <si>
    <t>Yield at Issue</t>
  </si>
  <si>
    <t>Use of Proceeds</t>
  </si>
  <si>
    <t>Code</t>
  </si>
  <si>
    <t>Yield ask, yas</t>
  </si>
  <si>
    <t>AM7980791</t>
  </si>
  <si>
    <t>XS1581375182</t>
  </si>
  <si>
    <t>BBG00G6B4TP8</t>
  </si>
  <si>
    <t>General Corporate Purposes</t>
  </si>
  <si>
    <t>AM7980791 Corp</t>
  </si>
  <si>
    <t>AP5382043</t>
  </si>
  <si>
    <t>XS1701884204</t>
  </si>
  <si>
    <t>BBG00HY6NZH0</t>
  </si>
  <si>
    <t>General Corporate Purposes Refinance</t>
  </si>
  <si>
    <t>AP5382043 Corp</t>
  </si>
  <si>
    <t>BM0609990</t>
  </si>
  <si>
    <t>XS2250376477</t>
  </si>
  <si>
    <t>BBG00XYG8H17</t>
  </si>
  <si>
    <t>BM0609990 Corp</t>
  </si>
  <si>
    <t>EJ9768973</t>
  </si>
  <si>
    <t>XS1000538022</t>
  </si>
  <si>
    <t>BBG005NVPNP9</t>
  </si>
  <si>
    <t>EJ9768973 Corp</t>
  </si>
  <si>
    <t>EK7625099</t>
  </si>
  <si>
    <t>XS1195347478</t>
  </si>
  <si>
    <t>BBG00848VL36</t>
  </si>
  <si>
    <t>EK7625099 Corp</t>
  </si>
  <si>
    <t>AM2053230</t>
  </si>
  <si>
    <t>FR0013233384</t>
  </si>
  <si>
    <t>BBG00FS01WW8</t>
  </si>
  <si>
    <t>Recapitalization General Corporate Purposes</t>
  </si>
  <si>
    <t>AM2053230 Corp</t>
  </si>
  <si>
    <t>AW8986910</t>
  </si>
  <si>
    <t>FR0013399029</t>
  </si>
  <si>
    <t>BBG00N6FNMK3</t>
  </si>
  <si>
    <t>AW8986910 Corp</t>
  </si>
  <si>
    <t>BM8244261</t>
  </si>
  <si>
    <t>FR0013521085</t>
  </si>
  <si>
    <t>BBG00YCWM505</t>
  </si>
  <si>
    <t>BM8244261 Corp</t>
  </si>
  <si>
    <t>EK3401941</t>
  </si>
  <si>
    <t>CH0245865842</t>
  </si>
  <si>
    <t>BBG006NF1SF8</t>
  </si>
  <si>
    <t>STEP CPN</t>
  </si>
  <si>
    <t>CHF</t>
  </si>
  <si>
    <t>EK3401941 Corp</t>
  </si>
  <si>
    <t>UV7713612</t>
  </si>
  <si>
    <t>FR0012949949</t>
  </si>
  <si>
    <t>BBG009YNLX33</t>
  </si>
  <si>
    <t>UV7713612 Corp</t>
  </si>
  <si>
    <t>AP4164178</t>
  </si>
  <si>
    <t>US00775CAA45</t>
  </si>
  <si>
    <t>BBG00HW3SN81</t>
  </si>
  <si>
    <t>Acquisition Financing General Corporate Purposes Refinance</t>
  </si>
  <si>
    <t>AP4164178 Corp</t>
  </si>
  <si>
    <t>AP4164525</t>
  </si>
  <si>
    <t>USP01014AA03</t>
  </si>
  <si>
    <t>BBG00HW3SXT6</t>
  </si>
  <si>
    <t>AP4164525 Corp</t>
  </si>
  <si>
    <t>AN7387276</t>
  </si>
  <si>
    <t>XS1627947440</t>
  </si>
  <si>
    <t>BBG00GSQM216</t>
  </si>
  <si>
    <t>Capital Expenditures General Corporate Purposes Investment</t>
  </si>
  <si>
    <t>AN7387276 Corp</t>
  </si>
  <si>
    <t>AQ8879746</t>
  </si>
  <si>
    <t>XS1765875718</t>
  </si>
  <si>
    <t>BBG00JVDJ1N7</t>
  </si>
  <si>
    <t>1st lien</t>
  </si>
  <si>
    <t>Intercompany Loan</t>
  </si>
  <si>
    <t>AQ8879746 Corp</t>
  </si>
  <si>
    <t>EK0521360</t>
  </si>
  <si>
    <t>XS1032529205</t>
  </si>
  <si>
    <t>BBG005Y2R6C0</t>
  </si>
  <si>
    <t>EK0521360 Corp</t>
  </si>
  <si>
    <t>AV2317510</t>
  </si>
  <si>
    <t>FR0013378452</t>
  </si>
  <si>
    <t>BBG00MCJXPP7</t>
  </si>
  <si>
    <t>Refinance</t>
  </si>
  <si>
    <t>AV2317510 Corp</t>
  </si>
  <si>
    <t>AV3879138</t>
  </si>
  <si>
    <t>FR0013378445</t>
  </si>
  <si>
    <t>BBG00MFJBHQ5</t>
  </si>
  <si>
    <t>AV3879138 Corp</t>
  </si>
  <si>
    <t>AV3879146</t>
  </si>
  <si>
    <t>FR0013378460</t>
  </si>
  <si>
    <t>BBG00MFJBHR4</t>
  </si>
  <si>
    <t>AV3879146 Corp</t>
  </si>
  <si>
    <t>QZ7441434</t>
  </si>
  <si>
    <t>FR0013209715</t>
  </si>
  <si>
    <t>BBG00DY3BGD5</t>
  </si>
  <si>
    <t>QZ7441434 Corp</t>
  </si>
  <si>
    <t>ZQ3726978</t>
  </si>
  <si>
    <t>FR0013457942</t>
  </si>
  <si>
    <t>BBG00QQ88506</t>
  </si>
  <si>
    <t>ZQ3726978 Corp</t>
  </si>
  <si>
    <t>ZS1342303</t>
  </si>
  <si>
    <t>FR0125601643</t>
  </si>
  <si>
    <t>BBG00NV9MT70</t>
  </si>
  <si>
    <t>ZS1342303 Corp</t>
  </si>
  <si>
    <t>AV3578581</t>
  </si>
  <si>
    <t>NO0010835523</t>
  </si>
  <si>
    <t>BBG00MF95036</t>
  </si>
  <si>
    <t>AV3578581 Corp</t>
  </si>
  <si>
    <t>AX3336820</t>
  </si>
  <si>
    <t>NO0010843790</t>
  </si>
  <si>
    <t>BBG00NDXVZD6</t>
  </si>
  <si>
    <t>AX3336820 Corp</t>
  </si>
  <si>
    <t>BG0453822</t>
  </si>
  <si>
    <t>NO0010875289</t>
  </si>
  <si>
    <t>BBG00RQ2HBZ6</t>
  </si>
  <si>
    <t>BG0453822 Corp</t>
  </si>
  <si>
    <t>BO6605337</t>
  </si>
  <si>
    <t>SE0013882925</t>
  </si>
  <si>
    <t>BBG00ZQSL106</t>
  </si>
  <si>
    <t>BO6605337 Corp</t>
  </si>
  <si>
    <t>ZS6344064</t>
  </si>
  <si>
    <t>SE0011643295</t>
  </si>
  <si>
    <t>BBG00P4PVHZ4</t>
  </si>
  <si>
    <t>ZS6344064 Corp</t>
  </si>
  <si>
    <t>AS9836832</t>
  </si>
  <si>
    <t>BBG00L3BXNJ8</t>
  </si>
  <si>
    <t>AS9836832 Corp</t>
  </si>
  <si>
    <t>AS9837509</t>
  </si>
  <si>
    <t>BBG00L3BXQW6</t>
  </si>
  <si>
    <t>AS9837509 Corp</t>
  </si>
  <si>
    <t>AU4294172</t>
  </si>
  <si>
    <t>BBG00LXQVTN6</t>
  </si>
  <si>
    <t>AU4294172 Corp</t>
  </si>
  <si>
    <t>AU4296516</t>
  </si>
  <si>
    <t>BBG00LXQY9Q4</t>
  </si>
  <si>
    <t>AU4296516 Corp</t>
  </si>
  <si>
    <t>AU4296938</t>
  </si>
  <si>
    <t>BBG00LXQYMQ5</t>
  </si>
  <si>
    <t>AU4296938 Corp</t>
  </si>
  <si>
    <t>AM5274676</t>
  </si>
  <si>
    <t>DE000BHY0MQ1</t>
  </si>
  <si>
    <t>BBG00FZM8G05</t>
  </si>
  <si>
    <t>AM5274676 Corp</t>
  </si>
  <si>
    <t>AO9374924</t>
  </si>
  <si>
    <t>DE000BHY0MT5</t>
  </si>
  <si>
    <t>BBG00HLB4LF7</t>
  </si>
  <si>
    <t>AO9374924 Corp</t>
  </si>
  <si>
    <t>AR2058899</t>
  </si>
  <si>
    <t>DE000BHY0MW9</t>
  </si>
  <si>
    <t>BBG00K152QT1</t>
  </si>
  <si>
    <t>AR2058899 Corp</t>
  </si>
  <si>
    <t>AR3861523</t>
  </si>
  <si>
    <t>DE000BHY0MX7</t>
  </si>
  <si>
    <t>BBG00K4LTBF2</t>
  </si>
  <si>
    <t>AR3861523 Corp</t>
  </si>
  <si>
    <t>AS7537721</t>
  </si>
  <si>
    <t>DE000BHY0150</t>
  </si>
  <si>
    <t>BBG00L00Z3X1</t>
  </si>
  <si>
    <t>AS7537721 Corp</t>
  </si>
  <si>
    <t>AT3757842</t>
  </si>
  <si>
    <t>DE000BHY0BH3</t>
  </si>
  <si>
    <t>BBG00LBK6B41</t>
  </si>
  <si>
    <t>AT3757842 Corp</t>
  </si>
  <si>
    <t>AU1457376</t>
  </si>
  <si>
    <t>DE000BHY0BJ9</t>
  </si>
  <si>
    <t>BBG00LSCV2M3</t>
  </si>
  <si>
    <t>AU1457376 Corp</t>
  </si>
  <si>
    <t>AW0462324</t>
  </si>
  <si>
    <t>DE000BHY0BN1</t>
  </si>
  <si>
    <t>BBG00MR96NQ7</t>
  </si>
  <si>
    <t>AW0462324 Corp</t>
  </si>
  <si>
    <t>AW9640698</t>
  </si>
  <si>
    <t>DE000BHY0BP6</t>
  </si>
  <si>
    <t>BBG00N6X5HN2</t>
  </si>
  <si>
    <t>AW9640698 Corp</t>
  </si>
  <si>
    <t>AZ9300692</t>
  </si>
  <si>
    <t>DE000BHY0BR2</t>
  </si>
  <si>
    <t>BBG00PWWXZV0</t>
  </si>
  <si>
    <t>AZ9300692 Corp</t>
  </si>
  <si>
    <t>BG3344572</t>
  </si>
  <si>
    <t>DE000BHY0HC1</t>
  </si>
  <si>
    <t>BBG00S023VP4</t>
  </si>
  <si>
    <t>BG3344572 Corp</t>
  </si>
  <si>
    <t>BH7997357</t>
  </si>
  <si>
    <t>DE000BHY0HE7</t>
  </si>
  <si>
    <t>BBG00T64NS68</t>
  </si>
  <si>
    <t>BH7997357 Corp</t>
  </si>
  <si>
    <t>BJ0949823</t>
  </si>
  <si>
    <t>DE000BHY0HG2</t>
  </si>
  <si>
    <t>BBG00TFT9B11</t>
  </si>
  <si>
    <t>BJ0949823 Corp</t>
  </si>
  <si>
    <t>BJ1022851</t>
  </si>
  <si>
    <t>DE000BHY0HJ6</t>
  </si>
  <si>
    <t>BBG00TFVHKG1</t>
  </si>
  <si>
    <t>BJ1022851 Corp</t>
  </si>
  <si>
    <t>BJ1030474</t>
  </si>
  <si>
    <t>DE000BHY0HH0</t>
  </si>
  <si>
    <t>BBG00TFVSPZ7</t>
  </si>
  <si>
    <t>BJ1030474 Corp</t>
  </si>
  <si>
    <t>BJ4445430</t>
  </si>
  <si>
    <t>DE000BHY0B06</t>
  </si>
  <si>
    <t>BBG00TSTRZ14</t>
  </si>
  <si>
    <t>BJ4445430 Corp</t>
  </si>
  <si>
    <t>BJ7618983</t>
  </si>
  <si>
    <t>DE000BHY0HK4</t>
  </si>
  <si>
    <t>BBG00V4T8R69</t>
  </si>
  <si>
    <t>BJ7618983 Corp</t>
  </si>
  <si>
    <t>BJ9318558</t>
  </si>
  <si>
    <t>DE000BHY0HL2</t>
  </si>
  <si>
    <t>BBG00VC8NDK4</t>
  </si>
  <si>
    <t>BJ9318558 Corp</t>
  </si>
  <si>
    <t>BK4582320</t>
  </si>
  <si>
    <t>DE000BHY0HM0</t>
  </si>
  <si>
    <t>BBG00VZQHJD1</t>
  </si>
  <si>
    <t>BK4582320 Corp</t>
  </si>
  <si>
    <t>BM0893818</t>
  </si>
  <si>
    <t>DE000BHY0HR9</t>
  </si>
  <si>
    <t>BBG00XZBVLR4</t>
  </si>
  <si>
    <t>BM0893818 Corp</t>
  </si>
  <si>
    <t>BN4568760</t>
  </si>
  <si>
    <t>DE000BHY0C13</t>
  </si>
  <si>
    <t>BBG00YV0XHP9</t>
  </si>
  <si>
    <t>BN4568760 Corp</t>
  </si>
  <si>
    <t>BN4882591</t>
  </si>
  <si>
    <t>DE000BHY0C21</t>
  </si>
  <si>
    <t>BBG00YVG5WW4</t>
  </si>
  <si>
    <t>BN4882591 Corp</t>
  </si>
  <si>
    <t>BN5211030</t>
  </si>
  <si>
    <t>DE000BHY0C39</t>
  </si>
  <si>
    <t>BBG00YVV62X5</t>
  </si>
  <si>
    <t>BN5211030 Corp</t>
  </si>
  <si>
    <t>BN6163172</t>
  </si>
  <si>
    <t>DE000BHY0C47</t>
  </si>
  <si>
    <t>BBG00YZ20546</t>
  </si>
  <si>
    <t>BN6163172 Corp</t>
  </si>
  <si>
    <t>BN7047192</t>
  </si>
  <si>
    <t>DE000BHY0C54</t>
  </si>
  <si>
    <t>BBG00Z0XQWS0</t>
  </si>
  <si>
    <t>BN7047192 Corp</t>
  </si>
  <si>
    <t>BN8929281</t>
  </si>
  <si>
    <t>DE000BHY0C62</t>
  </si>
  <si>
    <t>BBG00Z4GYB73</t>
  </si>
  <si>
    <t>BN8929281 Corp</t>
  </si>
  <si>
    <t>BO1616248</t>
  </si>
  <si>
    <t>DE000BHY0C88</t>
  </si>
  <si>
    <t>BBG00ZCGCKF9</t>
  </si>
  <si>
    <t>BO1616248 Corp</t>
  </si>
  <si>
    <t>BO2565386</t>
  </si>
  <si>
    <t>DE000BHY0C96</t>
  </si>
  <si>
    <t>BBG00ZFBP352</t>
  </si>
  <si>
    <t>BO2565386 Corp</t>
  </si>
  <si>
    <t>BO2830970</t>
  </si>
  <si>
    <t>DE000BHY0HS7</t>
  </si>
  <si>
    <t>BBG00ZGDV6G1</t>
  </si>
  <si>
    <t>Sr Non Preferred</t>
  </si>
  <si>
    <t>Bail-in</t>
  </si>
  <si>
    <t>BO2830970 Corp</t>
  </si>
  <si>
    <t>BO3848781</t>
  </si>
  <si>
    <t>DE000BHY0HT5</t>
  </si>
  <si>
    <t>BBG00ZHYG0D7</t>
  </si>
  <si>
    <t>BO3848781 Corp</t>
  </si>
  <si>
    <t>BO5221839</t>
  </si>
  <si>
    <t>DE000BHY0HU3</t>
  </si>
  <si>
    <t>BBG00ZLHGC43</t>
  </si>
  <si>
    <t>BO5221839 Corp</t>
  </si>
  <si>
    <t>BP0510753</t>
  </si>
  <si>
    <t>DE000BHY0HV1</t>
  </si>
  <si>
    <t>BBG0100Q4Y38</t>
  </si>
  <si>
    <t>BP0510753 Corp</t>
  </si>
  <si>
    <t>BP4689082</t>
  </si>
  <si>
    <t>DE000BHY0HW9</t>
  </si>
  <si>
    <t>BBG010Z1QCB0</t>
  </si>
  <si>
    <t>BP4689082 Corp</t>
  </si>
  <si>
    <t>BQ0902040</t>
  </si>
  <si>
    <t>DE000BHY0HX7</t>
  </si>
  <si>
    <t>BBG011FFPPP6</t>
  </si>
  <si>
    <t>BQ0902040 Corp</t>
  </si>
  <si>
    <t>BQ5709580</t>
  </si>
  <si>
    <t>DE000BHY0HY5</t>
  </si>
  <si>
    <t>BBG011VCRYG4</t>
  </si>
  <si>
    <t>BQ5709580 Corp</t>
  </si>
  <si>
    <t>BR0357557</t>
  </si>
  <si>
    <t>DE000BHY0HZ2</t>
  </si>
  <si>
    <t>BBG01252DY78</t>
  </si>
  <si>
    <t>BR0357557 Corp</t>
  </si>
  <si>
    <t>BR5049696</t>
  </si>
  <si>
    <t>DE000BHY0H00</t>
  </si>
  <si>
    <t>BBG012M7PFF7</t>
  </si>
  <si>
    <t>BR5049696 Corp</t>
  </si>
  <si>
    <t>BR7245359</t>
  </si>
  <si>
    <t>DE000BHY0H26</t>
  </si>
  <si>
    <t>BBG012RZSB75</t>
  </si>
  <si>
    <t>BR7245359 Corp</t>
  </si>
  <si>
    <t>BR7482903</t>
  </si>
  <si>
    <t>DE000BHY0H18</t>
  </si>
  <si>
    <t>BBG012SP76C4</t>
  </si>
  <si>
    <t>BR7482903 Corp</t>
  </si>
  <si>
    <t>BR8718354</t>
  </si>
  <si>
    <t>DE000BHY0H34</t>
  </si>
  <si>
    <t>BBG012WWC4V2</t>
  </si>
  <si>
    <t>BR8718354 Corp</t>
  </si>
  <si>
    <t>BR9289827</t>
  </si>
  <si>
    <t>DE000BHY0H42</t>
  </si>
  <si>
    <t>BBG012Y3KBC0</t>
  </si>
  <si>
    <t>BR9289827 Corp</t>
  </si>
  <si>
    <t>BS2911177</t>
  </si>
  <si>
    <t>DE000BHY0H59</t>
  </si>
  <si>
    <t>BBG013BLR8R7</t>
  </si>
  <si>
    <t>BS2911177 Corp</t>
  </si>
  <si>
    <t>BS4316714</t>
  </si>
  <si>
    <t>DE000BHY0H67</t>
  </si>
  <si>
    <t>BBG013HCQN80</t>
  </si>
  <si>
    <t>BS4316714 Corp</t>
  </si>
  <si>
    <t>BS8479435</t>
  </si>
  <si>
    <t>DE000BHY0H75</t>
  </si>
  <si>
    <t>BBG013X8K1B1</t>
  </si>
  <si>
    <t>BS8479435 Corp</t>
  </si>
  <si>
    <t>BT3727893</t>
  </si>
  <si>
    <t>DE000BHY0H83</t>
  </si>
  <si>
    <t>BBG014FHHFC1</t>
  </si>
  <si>
    <t>BT3727893 Corp</t>
  </si>
  <si>
    <t>BT4743410</t>
  </si>
  <si>
    <t>DE000BHY0JA1</t>
  </si>
  <si>
    <t>BBG014HRJCB3</t>
  </si>
  <si>
    <t>BT4743410 Corp</t>
  </si>
  <si>
    <t>BT4765603</t>
  </si>
  <si>
    <t>DE000BHY0H91</t>
  </si>
  <si>
    <t>BBG014HT5TY2</t>
  </si>
  <si>
    <t>BT4765603 Corp</t>
  </si>
  <si>
    <t>BT5022442</t>
  </si>
  <si>
    <t>DE000BHY0JB9</t>
  </si>
  <si>
    <t>BBG014J8Y246</t>
  </si>
  <si>
    <t>BT5022442 Corp</t>
  </si>
  <si>
    <t>BU3999101</t>
  </si>
  <si>
    <t>DE000BHY0JC7</t>
  </si>
  <si>
    <t>BBG0157VHJF5</t>
  </si>
  <si>
    <t>BU3999101 Corp</t>
  </si>
  <si>
    <t>BU6070223</t>
  </si>
  <si>
    <t>DE000BHY0JD5</t>
  </si>
  <si>
    <t>BBG015DBXTX2</t>
  </si>
  <si>
    <t>BU6070223 Corp</t>
  </si>
  <si>
    <t>BU7517636</t>
  </si>
  <si>
    <t>DE000BHY0JE3</t>
  </si>
  <si>
    <t>BBG015LBQJG2</t>
  </si>
  <si>
    <t>BU7517636 Corp</t>
  </si>
  <si>
    <t>BU7896402</t>
  </si>
  <si>
    <t>DE000BHY0JF0</t>
  </si>
  <si>
    <t>BBG015MSV0Y9</t>
  </si>
  <si>
    <t>BU7896402 Corp</t>
  </si>
  <si>
    <t>BV1298751</t>
  </si>
  <si>
    <t>DE000BHY0JG8</t>
  </si>
  <si>
    <t>BBG015XX6537</t>
  </si>
  <si>
    <t>BV1298751 Corp</t>
  </si>
  <si>
    <t>BV2091908</t>
  </si>
  <si>
    <t>DE000BHY0JH6</t>
  </si>
  <si>
    <t>BBG01608WWC8</t>
  </si>
  <si>
    <t>BV2091908 Corp</t>
  </si>
  <si>
    <t>BV5723986</t>
  </si>
  <si>
    <t>DE000BHY0JJ2</t>
  </si>
  <si>
    <t>BBG016DGLQ31</t>
  </si>
  <si>
    <t>BV5723986 Corp</t>
  </si>
  <si>
    <t>BV7753791</t>
  </si>
  <si>
    <t>DE000BHY0JK0</t>
  </si>
  <si>
    <t>BBG016LWXMX0</t>
  </si>
  <si>
    <t>BV7753791 Corp</t>
  </si>
  <si>
    <t>BV8983777</t>
  </si>
  <si>
    <t>DE000BHY0JL8</t>
  </si>
  <si>
    <t>BBG016QKZGJ8</t>
  </si>
  <si>
    <t>BV8983777 Corp</t>
  </si>
  <si>
    <t>EJ8172011</t>
  </si>
  <si>
    <t>DE000BHY1497</t>
  </si>
  <si>
    <t>BBG0057GKTQ1</t>
  </si>
  <si>
    <t>General Corporate Purposes Bail-in</t>
  </si>
  <si>
    <t>EJ8172011 Corp</t>
  </si>
  <si>
    <t>EK0637174</t>
  </si>
  <si>
    <t>DE000BHY1554</t>
  </si>
  <si>
    <t>BBG005ZC5S33</t>
  </si>
  <si>
    <t>EMTn</t>
  </si>
  <si>
    <t>EK0637174 Corp</t>
  </si>
  <si>
    <t>EK0700964</t>
  </si>
  <si>
    <t>DE000BHY1570</t>
  </si>
  <si>
    <t>BBG005ZQT616</t>
  </si>
  <si>
    <t>EK0700964 Corp</t>
  </si>
  <si>
    <t>EK3729291</t>
  </si>
  <si>
    <t>DE000BHY0AT0</t>
  </si>
  <si>
    <t>BBG006S43JV8</t>
  </si>
  <si>
    <t>EK3729291 Corp</t>
  </si>
  <si>
    <t>EK3729838</t>
  </si>
  <si>
    <t>DE000BHY0AU8</t>
  </si>
  <si>
    <t>BBG006S456V4</t>
  </si>
  <si>
    <t>EK3729838 Corp</t>
  </si>
  <si>
    <t>EK4151651</t>
  </si>
  <si>
    <t>DE000BHY0AW4</t>
  </si>
  <si>
    <t>BBG006X19LG4</t>
  </si>
  <si>
    <t>EK4151651 Corp</t>
  </si>
  <si>
    <t>EK5029948</t>
  </si>
  <si>
    <t>DE000BHY0AZ7</t>
  </si>
  <si>
    <t>BBG0074NL1Z5</t>
  </si>
  <si>
    <t>EK5029948 Corp</t>
  </si>
  <si>
    <t>EK5980926</t>
  </si>
  <si>
    <t>DE000BHY0A15</t>
  </si>
  <si>
    <t>BBG007J1QDZ6</t>
  </si>
  <si>
    <t>EK5980926 Corp</t>
  </si>
  <si>
    <t>EK6627294</t>
  </si>
  <si>
    <t>DE000BHY0A23</t>
  </si>
  <si>
    <t>BBG007QX0Y80</t>
  </si>
  <si>
    <t>EK6627294 Corp</t>
  </si>
  <si>
    <t>EK6648381</t>
  </si>
  <si>
    <t>DE000BHY0A31</t>
  </si>
  <si>
    <t>BBG007R108C1</t>
  </si>
  <si>
    <t>EK6648381 Corp</t>
  </si>
  <si>
    <t>EK6668736</t>
  </si>
  <si>
    <t>DE000BHY0A49</t>
  </si>
  <si>
    <t>BBG007R5K091</t>
  </si>
  <si>
    <t>EMtn</t>
  </si>
  <si>
    <t>EK6668736 Corp</t>
  </si>
  <si>
    <t>EK6991948</t>
  </si>
  <si>
    <t>DE000BHY0A56</t>
  </si>
  <si>
    <t>BBG007X3VJ23</t>
  </si>
  <si>
    <t>EK6991948 Corp</t>
  </si>
  <si>
    <t>JK0922597</t>
  </si>
  <si>
    <t>DE000BHY0BC4</t>
  </si>
  <si>
    <t>BBG00C7GSLX7</t>
  </si>
  <si>
    <t>JK0922597 Corp</t>
  </si>
  <si>
    <t>JK9112752</t>
  </si>
  <si>
    <t>DE000BHY0BE0</t>
  </si>
  <si>
    <t>BBG00CSJJ484</t>
  </si>
  <si>
    <t>JK9112752 Corp</t>
  </si>
  <si>
    <t>UV7743569</t>
  </si>
  <si>
    <t>DE000BHY0A72</t>
  </si>
  <si>
    <t>BBG009YP0YC9</t>
  </si>
  <si>
    <t>UV7743569 Corp</t>
  </si>
  <si>
    <t>ZO6056949</t>
  </si>
  <si>
    <t>DE000BHY0HN8</t>
  </si>
  <si>
    <t>BBG00XK42YY2</t>
  </si>
  <si>
    <t>ZO6056949 Corp</t>
  </si>
  <si>
    <t>ZO7674211</t>
  </si>
  <si>
    <t>DE000BHY0HP3</t>
  </si>
  <si>
    <t>BBG00XR5NTS7</t>
  </si>
  <si>
    <t>ZO7674211 Corp</t>
  </si>
  <si>
    <t>ZO8750457</t>
  </si>
  <si>
    <t>DE000BHY0HQ1</t>
  </si>
  <si>
    <t>BBG00XTG0TT5</t>
  </si>
  <si>
    <t>ZO8750457 Corp</t>
  </si>
  <si>
    <t>ZP5641367</t>
  </si>
  <si>
    <t>DE000BHY0BY8</t>
  </si>
  <si>
    <t>BBG00RFBLGX4</t>
  </si>
  <si>
    <t>ZP5641367 Corp</t>
  </si>
  <si>
    <t>ZP6180415</t>
  </si>
  <si>
    <t>DE000BHY0BZ5</t>
  </si>
  <si>
    <t>BBG00RHMTP88</t>
  </si>
  <si>
    <t>ZP6180415 Corp</t>
  </si>
  <si>
    <t>ZP9894871</t>
  </si>
  <si>
    <t>DE000BHY0B14</t>
  </si>
  <si>
    <t>BBG00RPHY212</t>
  </si>
  <si>
    <t>ZP9894871 Corp</t>
  </si>
  <si>
    <t>ZQ0697008</t>
  </si>
  <si>
    <t>DE000BHY0BV4</t>
  </si>
  <si>
    <t>BBG00QK3Y1N8</t>
  </si>
  <si>
    <t>ZQ0697008 Corp</t>
  </si>
  <si>
    <t>ZQ7534444</t>
  </si>
  <si>
    <t>DE000BHY0BW2</t>
  </si>
  <si>
    <t>BBG00QYTPKK7</t>
  </si>
  <si>
    <t>ZQ7534444 Corp</t>
  </si>
  <si>
    <t>ZQ8780558</t>
  </si>
  <si>
    <t>DE000BHY0BX0</t>
  </si>
  <si>
    <t>BBG00R0QN0H8</t>
  </si>
  <si>
    <t>ZQ8780558 Corp</t>
  </si>
  <si>
    <t>ZR2280132</t>
  </si>
  <si>
    <t>DE000BHY0BS0</t>
  </si>
  <si>
    <t>BBG00Q2647P9</t>
  </si>
  <si>
    <t>ZR2280132 Corp</t>
  </si>
  <si>
    <t>ZR8862891</t>
  </si>
  <si>
    <t>DE000BHY0BU6</t>
  </si>
  <si>
    <t>BBG00QG535L5</t>
  </si>
  <si>
    <t>ZR8862891 Corp</t>
  </si>
  <si>
    <t>ZS8039944</t>
  </si>
  <si>
    <t>DE000BHY0BQ4</t>
  </si>
  <si>
    <t>BBG00P8023J6</t>
  </si>
  <si>
    <t>ZS8039944 Corp</t>
  </si>
  <si>
    <t>AS4621270</t>
  </si>
  <si>
    <t>BBG00KTDTPX2</t>
  </si>
  <si>
    <t>AS4621270 Corp</t>
  </si>
  <si>
    <t>AS4621304</t>
  </si>
  <si>
    <t>BBG00KTDTR04</t>
  </si>
  <si>
    <t>AS4621304 Corp</t>
  </si>
  <si>
    <t>AS4621312</t>
  </si>
  <si>
    <t>BBG00KTDTRK2</t>
  </si>
  <si>
    <t>AS4621312 Corp</t>
  </si>
  <si>
    <t>BM8817108</t>
  </si>
  <si>
    <t>FI4000456132</t>
  </si>
  <si>
    <t>BBG00YDCPF12</t>
  </si>
  <si>
    <t>BM8817108 Corp</t>
  </si>
  <si>
    <t>AN8852740</t>
  </si>
  <si>
    <t>FR0013261062</t>
  </si>
  <si>
    <t>BBG00GW45PW4</t>
  </si>
  <si>
    <t>AN8852740 Corp</t>
  </si>
  <si>
    <t>AR8730285</t>
  </si>
  <si>
    <t>FR0013326204</t>
  </si>
  <si>
    <t>BBG00KFL49P1</t>
  </si>
  <si>
    <t>General Corporate Purposes Investment</t>
  </si>
  <si>
    <t>AR8730285 Corp</t>
  </si>
  <si>
    <t>AS9584978</t>
  </si>
  <si>
    <t>FR0013342128</t>
  </si>
  <si>
    <t>BBG00L317N09</t>
  </si>
  <si>
    <t>AS9584978 Corp</t>
  </si>
  <si>
    <t>AV8756307</t>
  </si>
  <si>
    <t>FR0013383213</t>
  </si>
  <si>
    <t>BBG00MNSJCF1</t>
  </si>
  <si>
    <t>AV8756307 Corp</t>
  </si>
  <si>
    <t>BH3422640</t>
  </si>
  <si>
    <t>FR0013505260</t>
  </si>
  <si>
    <t>BBG00ST55DC8</t>
  </si>
  <si>
    <t>BH3422640 Corp</t>
  </si>
  <si>
    <t>EK3592061</t>
  </si>
  <si>
    <t>XS1086835979</t>
  </si>
  <si>
    <t>BBG006QVN4V1</t>
  </si>
  <si>
    <t>EK3592061 Corp</t>
  </si>
  <si>
    <t>EK7212922</t>
  </si>
  <si>
    <t>XS1179916017</t>
  </si>
  <si>
    <t>BBG0080JQFZ0</t>
  </si>
  <si>
    <t>EK7212922 Corp</t>
  </si>
  <si>
    <t>JK8431914</t>
  </si>
  <si>
    <t>XS1401331753</t>
  </si>
  <si>
    <t>BBG00CRB6B35</t>
  </si>
  <si>
    <t>JK8431914 Corp</t>
  </si>
  <si>
    <t>ZS5184644</t>
  </si>
  <si>
    <t>FR0013419736</t>
  </si>
  <si>
    <t>BBG00P33KN01</t>
  </si>
  <si>
    <t>ZS5184644 Corp</t>
  </si>
  <si>
    <t>AN9058669</t>
  </si>
  <si>
    <t>FR0013259421</t>
  </si>
  <si>
    <t>BBG00GWYY7F5</t>
  </si>
  <si>
    <t>AN9058669 Corp</t>
  </si>
  <si>
    <t>BO8284420</t>
  </si>
  <si>
    <t>BBG00ZTZWQK8</t>
  </si>
  <si>
    <t>2Y</t>
  </si>
  <si>
    <t>BO8284420 Corp</t>
  </si>
  <si>
    <t>AP8048773</t>
  </si>
  <si>
    <t>US210383AG04</t>
  </si>
  <si>
    <t>BBG00J3Q48P8</t>
  </si>
  <si>
    <t>AP8048773 Corp</t>
  </si>
  <si>
    <t>AP8048815</t>
  </si>
  <si>
    <t>XS1713568811</t>
  </si>
  <si>
    <t>BBG00J3Q48R6</t>
  </si>
  <si>
    <t>AP8048815 Corp</t>
  </si>
  <si>
    <t>AP8057758</t>
  </si>
  <si>
    <t>XS1713569033</t>
  </si>
  <si>
    <t>BBG00J3SDFK3</t>
  </si>
  <si>
    <t>AP8057758 Corp</t>
  </si>
  <si>
    <t>AP8057824</t>
  </si>
  <si>
    <t>USN22038AE85</t>
  </si>
  <si>
    <t>BBG00J3SDJC4</t>
  </si>
  <si>
    <t>AP8057824 Corp</t>
  </si>
  <si>
    <t>BK1042674</t>
  </si>
  <si>
    <t>US21039CAA27</t>
  </si>
  <si>
    <t>BBG00VJ0D3S9</t>
  </si>
  <si>
    <t>BK1042674 Corp</t>
  </si>
  <si>
    <t>BK1048531</t>
  </si>
  <si>
    <t>USF21107AA91</t>
  </si>
  <si>
    <t>BBG00VJ0H0Y4</t>
  </si>
  <si>
    <t>BK1048531 Corp</t>
  </si>
  <si>
    <t>AU9540942</t>
  </si>
  <si>
    <t>CH0441186472</t>
  </si>
  <si>
    <t>BBG00M7QV181</t>
  </si>
  <si>
    <t>AU9540942 Corp</t>
  </si>
  <si>
    <t>AV9411761</t>
  </si>
  <si>
    <t>XS1917855337</t>
  </si>
  <si>
    <t>BBG00MP4Y114</t>
  </si>
  <si>
    <t>AV9411761 Corp</t>
  </si>
  <si>
    <t>AX0036191</t>
  </si>
  <si>
    <t>XS1950499639</t>
  </si>
  <si>
    <t>BBG00N7TX4D9</t>
  </si>
  <si>
    <t>HKD</t>
  </si>
  <si>
    <t>AX0036191 Corp</t>
  </si>
  <si>
    <t>AX2577663</t>
  </si>
  <si>
    <t>BBG00NBM6145</t>
  </si>
  <si>
    <t>AX2577663 Corp</t>
  </si>
  <si>
    <t>BN6169948</t>
  </si>
  <si>
    <t>XS2290544068</t>
  </si>
  <si>
    <t>BBG00YZ28JL9</t>
  </si>
  <si>
    <t>BN6169948 Corp</t>
  </si>
  <si>
    <t>BO1608435</t>
  </si>
  <si>
    <t>XS2307032644</t>
  </si>
  <si>
    <t>BBG00ZCG7960</t>
  </si>
  <si>
    <t>BO1608435 Corp</t>
  </si>
  <si>
    <t>BR6964869</t>
  </si>
  <si>
    <t>XS2394029685</t>
  </si>
  <si>
    <t>BBG012R0L607</t>
  </si>
  <si>
    <t>BR6964869 Corp</t>
  </si>
  <si>
    <t>BU9616550</t>
  </si>
  <si>
    <t>BBG015SF86X5</t>
  </si>
  <si>
    <t>BU9616550 Corp</t>
  </si>
  <si>
    <t>BU9620396</t>
  </si>
  <si>
    <t>BBG015SFKSD5</t>
  </si>
  <si>
    <t>BU9620396 Corp</t>
  </si>
  <si>
    <t>ZP9478550</t>
  </si>
  <si>
    <t>XS2117757182</t>
  </si>
  <si>
    <t>BBG00RNYZNC8</t>
  </si>
  <si>
    <t>ZP9478550 Corp</t>
  </si>
  <si>
    <t>ZS9395642</t>
  </si>
  <si>
    <t>XS2008905155</t>
  </si>
  <si>
    <t>BBG00PBGS185</t>
  </si>
  <si>
    <t>ZS9395642 Corp</t>
  </si>
  <si>
    <t>ZO6404115</t>
  </si>
  <si>
    <t>DE000A3H2XR6</t>
  </si>
  <si>
    <t>BBG00XLVDP50</t>
  </si>
  <si>
    <t>DUE</t>
  </si>
  <si>
    <t>ZO6404115 Corp</t>
  </si>
  <si>
    <t>AM9419426</t>
  </si>
  <si>
    <t>FR0013247202</t>
  </si>
  <si>
    <t>BBG00G997RD4</t>
  </si>
  <si>
    <t>AM9419426 Corp</t>
  </si>
  <si>
    <t>AV9237182</t>
  </si>
  <si>
    <t>FR0013385655</t>
  </si>
  <si>
    <t>BBG00MP284Q4</t>
  </si>
  <si>
    <t>AV9237182 Corp</t>
  </si>
  <si>
    <t>BJ9805646</t>
  </si>
  <si>
    <t>FR0013518537</t>
  </si>
  <si>
    <t>BBG00VDD7BX0</t>
  </si>
  <si>
    <t>BJ9805646 Corp</t>
  </si>
  <si>
    <t>EK7755532</t>
  </si>
  <si>
    <t>FR0012599892</t>
  </si>
  <si>
    <t>BBG00873HTV2</t>
  </si>
  <si>
    <t>EK7755532 Corp</t>
  </si>
  <si>
    <t>ZR4449552</t>
  </si>
  <si>
    <t>FR0013444395</t>
  </si>
  <si>
    <t>BBG00Q5CDJ68</t>
  </si>
  <si>
    <t>ZR4449552 Corp</t>
  </si>
  <si>
    <t>AZ4209054</t>
  </si>
  <si>
    <t>BBG00PM1XZY6</t>
  </si>
  <si>
    <t>AZ4209054 Corp</t>
  </si>
  <si>
    <t>BG5717767</t>
  </si>
  <si>
    <t>SE0012194074</t>
  </si>
  <si>
    <t>BBG00S6QHNQ7</t>
  </si>
  <si>
    <t>BG5717767 Corp</t>
  </si>
  <si>
    <t>BG5829497</t>
  </si>
  <si>
    <t>SE0012194082</t>
  </si>
  <si>
    <t>BBG00S6S9NL7</t>
  </si>
  <si>
    <t>BG5829497 Corp</t>
  </si>
  <si>
    <t>AM5310512</t>
  </si>
  <si>
    <t>CH0353428060</t>
  </si>
  <si>
    <t>BBG00FZP4PT1</t>
  </si>
  <si>
    <t>AM5310512 Corp</t>
  </si>
  <si>
    <t>AN7155798</t>
  </si>
  <si>
    <t>USN30707AE88</t>
  </si>
  <si>
    <t>BBG00GSK3ZX2</t>
  </si>
  <si>
    <t>AN7155798 Corp</t>
  </si>
  <si>
    <t>AN7155863</t>
  </si>
  <si>
    <t>US29278GAC24</t>
  </si>
  <si>
    <t>BBG00GSK42H2</t>
  </si>
  <si>
    <t>AN7155863 Corp</t>
  </si>
  <si>
    <t>AN7160301</t>
  </si>
  <si>
    <t>US29278GAA67</t>
  </si>
  <si>
    <t>BBG00GSK9VB9</t>
  </si>
  <si>
    <t>AN7160301 Corp</t>
  </si>
  <si>
    <t>AN7162919</t>
  </si>
  <si>
    <t>USN30707AC23</t>
  </si>
  <si>
    <t>BBG00GSKDF01</t>
  </si>
  <si>
    <t>AN7162919 Corp</t>
  </si>
  <si>
    <t>AP4154393</t>
  </si>
  <si>
    <t>US29278GAF54</t>
  </si>
  <si>
    <t>BBG00HW2ZLF1</t>
  </si>
  <si>
    <t>AP4154393 Corp</t>
  </si>
  <si>
    <t>AP4154443</t>
  </si>
  <si>
    <t>USN30707AG37</t>
  </si>
  <si>
    <t>BBG00HW2ZPD4</t>
  </si>
  <si>
    <t>AP4154443 Corp</t>
  </si>
  <si>
    <t>AU4810464</t>
  </si>
  <si>
    <t>US29278GAK40</t>
  </si>
  <si>
    <t>BBG00LYB9VX7</t>
  </si>
  <si>
    <t>AU4810464 Corp</t>
  </si>
  <si>
    <t>AU4810472</t>
  </si>
  <si>
    <t>USN30707AL22</t>
  </si>
  <si>
    <t>BBG00LYB9VY6</t>
  </si>
  <si>
    <t>AU4810472 Corp</t>
  </si>
  <si>
    <t>EK6992367</t>
  </si>
  <si>
    <t>XS1176079843</t>
  </si>
  <si>
    <t>BBG007X3Z7M3</t>
  </si>
  <si>
    <t>EK6992367 Corp</t>
  </si>
  <si>
    <t>LW1575866</t>
  </si>
  <si>
    <t>XS1425966287</t>
  </si>
  <si>
    <t>BBG00CXBHBD5</t>
  </si>
  <si>
    <t>LW1575866 Corp</t>
  </si>
  <si>
    <t>AM0925751</t>
  </si>
  <si>
    <t>XS1551068676</t>
  </si>
  <si>
    <t>BBG00FQPGHG0</t>
  </si>
  <si>
    <t>AM0925751 Corp</t>
  </si>
  <si>
    <t>AP0773766</t>
  </si>
  <si>
    <t>XS1684269332</t>
  </si>
  <si>
    <t>BBG00HNRNHY7</t>
  </si>
  <si>
    <t>AP0773766 Corp</t>
  </si>
  <si>
    <t>AU3947721</t>
  </si>
  <si>
    <t>US26874RAG39</t>
  </si>
  <si>
    <t>BBG00LWXRKM7</t>
  </si>
  <si>
    <t>X-R</t>
  </si>
  <si>
    <t>AU3947721 Corp</t>
  </si>
  <si>
    <t>AU3950071</t>
  </si>
  <si>
    <t>XS1826630425</t>
  </si>
  <si>
    <t>BBG00LWXSMR7</t>
  </si>
  <si>
    <t>AU3950071 Corp</t>
  </si>
  <si>
    <t>AU3950097</t>
  </si>
  <si>
    <t>US26874RAE80</t>
  </si>
  <si>
    <t>BBG00LWXT1K9</t>
  </si>
  <si>
    <t>AU3950097 Corp</t>
  </si>
  <si>
    <t>AU3950204</t>
  </si>
  <si>
    <t>XS1826622240</t>
  </si>
  <si>
    <t>BBG00LWXTT55</t>
  </si>
  <si>
    <t>AU3950204 Corp</t>
  </si>
  <si>
    <t>AU4088244</t>
  </si>
  <si>
    <t>IT0005344293</t>
  </si>
  <si>
    <t>BBG00LX0JKW6</t>
  </si>
  <si>
    <t>X</t>
  </si>
  <si>
    <t>AU4088244 Corp</t>
  </si>
  <si>
    <t>AU4088269</t>
  </si>
  <si>
    <t>US26874RAH12</t>
  </si>
  <si>
    <t>BBG00LX0JVN2</t>
  </si>
  <si>
    <t>N-R</t>
  </si>
  <si>
    <t>AU4088269 Corp</t>
  </si>
  <si>
    <t>AU4088277</t>
  </si>
  <si>
    <t>IT0005344319</t>
  </si>
  <si>
    <t>BBG00LX0JX94</t>
  </si>
  <si>
    <t>AU4088277 Corp</t>
  </si>
  <si>
    <t>AU4088285</t>
  </si>
  <si>
    <t>US26874RAF55</t>
  </si>
  <si>
    <t>BBG00LX0JXF7</t>
  </si>
  <si>
    <t>AU4088285 Corp</t>
  </si>
  <si>
    <t>AU4088301</t>
  </si>
  <si>
    <t>IT0005344343</t>
  </si>
  <si>
    <t>BBG00LX0K691</t>
  </si>
  <si>
    <t>AU4088301 Corp</t>
  </si>
  <si>
    <t>AU4088335</t>
  </si>
  <si>
    <t>IT0005344327</t>
  </si>
  <si>
    <t>BBG00LX0KYC6</t>
  </si>
  <si>
    <t>AU4088335 Corp</t>
  </si>
  <si>
    <t>BJ4186976</t>
  </si>
  <si>
    <t>XS2176783319</t>
  </si>
  <si>
    <t>BBG00TS9XYV1</t>
  </si>
  <si>
    <t>BJ4186976 Corp</t>
  </si>
  <si>
    <t>BJ4186984</t>
  </si>
  <si>
    <t>XS2176785447</t>
  </si>
  <si>
    <t>BBG00TS9XYW0</t>
  </si>
  <si>
    <t>BJ4186984 Corp</t>
  </si>
  <si>
    <t>EJ7421625</t>
  </si>
  <si>
    <t>XS0951565091</t>
  </si>
  <si>
    <t>BBG004SL9C35</t>
  </si>
  <si>
    <t>EJ7421625 Corp</t>
  </si>
  <si>
    <t>EJ8205399</t>
  </si>
  <si>
    <t>XS0970852348</t>
  </si>
  <si>
    <t>BBG0057R9KP0</t>
  </si>
  <si>
    <t>EJ8205399 Corp</t>
  </si>
  <si>
    <t>EK0407552</t>
  </si>
  <si>
    <t>XS1023703090</t>
  </si>
  <si>
    <t>BBG005WY3Y91</t>
  </si>
  <si>
    <t>EK0407552 Corp</t>
  </si>
  <si>
    <t>EK7214605</t>
  </si>
  <si>
    <t>XS1180451657</t>
  </si>
  <si>
    <t>BBG0080JRYC3</t>
  </si>
  <si>
    <t>EK7214605 Corp</t>
  </si>
  <si>
    <t>LW0762507</t>
  </si>
  <si>
    <t>XS1412593185</t>
  </si>
  <si>
    <t>BBG00CW36DC3</t>
  </si>
  <si>
    <t>LW0762507 Corp</t>
  </si>
  <si>
    <t>LW0762598</t>
  </si>
  <si>
    <t>XS1412711217</t>
  </si>
  <si>
    <t>BBG00CW36J49</t>
  </si>
  <si>
    <t>LW0762598 Corp</t>
  </si>
  <si>
    <t>QZ5429787</t>
  </si>
  <si>
    <t>XS1493322355</t>
  </si>
  <si>
    <t>BBG00DSN5GN4</t>
  </si>
  <si>
    <t>QZ5429787 Corp</t>
  </si>
  <si>
    <t>QZ5429944</t>
  </si>
  <si>
    <t>XS1493328477</t>
  </si>
  <si>
    <t>BBG00DSN5KP3</t>
  </si>
  <si>
    <t>QZ5429944 Corp</t>
  </si>
  <si>
    <t>UV8561036</t>
  </si>
  <si>
    <t>XS1292988984</t>
  </si>
  <si>
    <t>BBG00B01GWD0</t>
  </si>
  <si>
    <t>UV8561036 Corp</t>
  </si>
  <si>
    <t>ZP5396533</t>
  </si>
  <si>
    <t>XS2107315470</t>
  </si>
  <si>
    <t>BBG00RDQM245</t>
  </si>
  <si>
    <t>ZP5396533 Corp</t>
  </si>
  <si>
    <t>ZR9900880</t>
  </si>
  <si>
    <t>XS2065946837</t>
  </si>
  <si>
    <t>BBG00QJ0DF03</t>
  </si>
  <si>
    <t>ZR9900880 Corp</t>
  </si>
  <si>
    <t>ZS4441649</t>
  </si>
  <si>
    <t>US26874RAJ77</t>
  </si>
  <si>
    <t>BBG00P2CMD02</t>
  </si>
  <si>
    <t>ZS4441649 Corp</t>
  </si>
  <si>
    <t>ZS4441656</t>
  </si>
  <si>
    <t>XS1992085867</t>
  </si>
  <si>
    <t>BBG00P2CMD39</t>
  </si>
  <si>
    <t>ZS4441656 Corp</t>
  </si>
  <si>
    <t>ZS5471553</t>
  </si>
  <si>
    <t>US26874RAK41</t>
  </si>
  <si>
    <t>BBG00P3BX900</t>
  </si>
  <si>
    <t>ZS5471553 Corp</t>
  </si>
  <si>
    <t>AR4499497</t>
  </si>
  <si>
    <t>XS1785467751</t>
  </si>
  <si>
    <t>BBG00K5S5DQ6</t>
  </si>
  <si>
    <t>AR4499497 Corp</t>
  </si>
  <si>
    <t>AV7218127</t>
  </si>
  <si>
    <t>BBG00MKMQ3S5</t>
  </si>
  <si>
    <t>Bridge-loan Payment General Corporate Purposes</t>
  </si>
  <si>
    <t>AV7218127 Corp</t>
  </si>
  <si>
    <t>AV7218291</t>
  </si>
  <si>
    <t>BBG00MKMQ6P1</t>
  </si>
  <si>
    <t>AV7218291 Corp</t>
  </si>
  <si>
    <t>AV7221477</t>
  </si>
  <si>
    <t>BBG00MKMQPY9</t>
  </si>
  <si>
    <t>AV7221477 Corp</t>
  </si>
  <si>
    <t>AX6658428</t>
  </si>
  <si>
    <t>XS1963830002</t>
  </si>
  <si>
    <t>BBG00NL1J066</t>
  </si>
  <si>
    <t>AX6658428 Corp</t>
  </si>
  <si>
    <t>BK6879856</t>
  </si>
  <si>
    <t>XS2209344543</t>
  </si>
  <si>
    <t>BBG00WC50SW7</t>
  </si>
  <si>
    <t>BK6879856 Corp</t>
  </si>
  <si>
    <t>ZQ5987008</t>
  </si>
  <si>
    <t>XS2081474046</t>
  </si>
  <si>
    <t>BBG00QV15TC3</t>
  </si>
  <si>
    <t>ZQ5987008 Corp</t>
  </si>
  <si>
    <t>AP9123708</t>
  </si>
  <si>
    <t>IT0005283616</t>
  </si>
  <si>
    <t>BBG00J5HH300</t>
  </si>
  <si>
    <t>AP9123708 Corp</t>
  </si>
  <si>
    <t>AZ4209153</t>
  </si>
  <si>
    <t>BBG00PM1Y0B7</t>
  </si>
  <si>
    <t>AZ4209153 Corp</t>
  </si>
  <si>
    <t>AR9312299</t>
  </si>
  <si>
    <t>GRC1451184D4</t>
  </si>
  <si>
    <t>BBG00KG22CH6</t>
  </si>
  <si>
    <t>AR9312299 Corp</t>
  </si>
  <si>
    <t>BK2789893</t>
  </si>
  <si>
    <t>GRC1451207D3</t>
  </si>
  <si>
    <t>BBG00VR88871</t>
  </si>
  <si>
    <t>BK2789893 Corp</t>
  </si>
  <si>
    <t>AU4930197</t>
  </si>
  <si>
    <t>SE0011670611</t>
  </si>
  <si>
    <t>BBG00LYD4H78</t>
  </si>
  <si>
    <t>AU4930197 Corp</t>
  </si>
  <si>
    <t>BH7876825</t>
  </si>
  <si>
    <t>CH0541537996</t>
  </si>
  <si>
    <t>BBG00T630P43</t>
  </si>
  <si>
    <t>BH7876825 Corp</t>
  </si>
  <si>
    <t>QZ4681495</t>
  </si>
  <si>
    <t>XS1488419935</t>
  </si>
  <si>
    <t>BBG00DRDGZV4</t>
  </si>
  <si>
    <t>General Corporate Purposes LBO Financing Refinance</t>
  </si>
  <si>
    <t>QZ4681495 Corp</t>
  </si>
  <si>
    <t>ZR7445516</t>
  </si>
  <si>
    <t>XS2057835717</t>
  </si>
  <si>
    <t>BBG00QD5PF41</t>
  </si>
  <si>
    <t>ZR7445516 Corp</t>
  </si>
  <si>
    <t>ZR7445524</t>
  </si>
  <si>
    <t>XS2057835808</t>
  </si>
  <si>
    <t>BBG00QD5PF50</t>
  </si>
  <si>
    <t>ZR7445524 Corp</t>
  </si>
  <si>
    <t>BM7804578</t>
  </si>
  <si>
    <t>XS2265990452</t>
  </si>
  <si>
    <t>BBG00YCG5ZL0</t>
  </si>
  <si>
    <t>BM7804578 Corp</t>
  </si>
  <si>
    <t>EJ6830479</t>
  </si>
  <si>
    <t>XS0935948272</t>
  </si>
  <si>
    <t>BBG004KPHH61</t>
  </si>
  <si>
    <t>EJ6830479 Corp</t>
  </si>
  <si>
    <t>EJ7267564</t>
  </si>
  <si>
    <t>XS0935947977</t>
  </si>
  <si>
    <t>BBG004Q11K95</t>
  </si>
  <si>
    <t>EJ7267564 Corp</t>
  </si>
  <si>
    <t>QZ7287803</t>
  </si>
  <si>
    <t>XS1504194173</t>
  </si>
  <si>
    <t>BBG00DY0Y3X3</t>
  </si>
  <si>
    <t>QZ7287803 Corp</t>
  </si>
  <si>
    <t>AO8527100</t>
  </si>
  <si>
    <t>XS1672151492</t>
  </si>
  <si>
    <t>BBG00HK0VYP3</t>
  </si>
  <si>
    <t>AO8527100 Corp</t>
  </si>
  <si>
    <t>BH5794574</t>
  </si>
  <si>
    <t>XS2156244043</t>
  </si>
  <si>
    <t>BBG00T1L3SD9</t>
  </si>
  <si>
    <t>BH5794574 Corp</t>
  </si>
  <si>
    <t>BN4840201</t>
  </si>
  <si>
    <t>XS2286441964</t>
  </si>
  <si>
    <t>BBG00YVDZGJ8</t>
  </si>
  <si>
    <t>BN4840201 Corp</t>
  </si>
  <si>
    <t>BN4840227</t>
  </si>
  <si>
    <t>XS2286442186</t>
  </si>
  <si>
    <t>BBG00YVDZGM4</t>
  </si>
  <si>
    <t>BN4840227 Corp</t>
  </si>
  <si>
    <t>BO8633683</t>
  </si>
  <si>
    <t>XS2328418186</t>
  </si>
  <si>
    <t>BBG00ZVJ7VF4</t>
  </si>
  <si>
    <t>BO8633683 Corp</t>
  </si>
  <si>
    <t>BR2429784</t>
  </si>
  <si>
    <t>XS2384273715</t>
  </si>
  <si>
    <t>BBG012CD6GS0</t>
  </si>
  <si>
    <t>BR2429784 Corp</t>
  </si>
  <si>
    <t>BR8099524</t>
  </si>
  <si>
    <t>XS2397538252</t>
  </si>
  <si>
    <t>BBG012V14ML1</t>
  </si>
  <si>
    <t>BR8099524 Corp</t>
  </si>
  <si>
    <t>BV6631543</t>
  </si>
  <si>
    <t>XS2463918313</t>
  </si>
  <si>
    <t>BBG016H76TM7</t>
  </si>
  <si>
    <t>BV6631543 Corp</t>
  </si>
  <si>
    <t>EK0281486</t>
  </si>
  <si>
    <t>XS1019821732</t>
  </si>
  <si>
    <t>BBG005V19V12</t>
  </si>
  <si>
    <t>EK0281486 Corp</t>
  </si>
  <si>
    <t>LW1706537</t>
  </si>
  <si>
    <t>XS1420337633</t>
  </si>
  <si>
    <t>BBG00CXHMFY4</t>
  </si>
  <si>
    <t>LW1706537 Corp</t>
  </si>
  <si>
    <t>LW1706727</t>
  </si>
  <si>
    <t>XS1420338102</t>
  </si>
  <si>
    <t>BBG00CXHMV24</t>
  </si>
  <si>
    <t>LW1706727 Corp</t>
  </si>
  <si>
    <t>ZQ6618644</t>
  </si>
  <si>
    <t>XS2081615473</t>
  </si>
  <si>
    <t>BBG00QX2RJN5</t>
  </si>
  <si>
    <t>ZQ6618644 Corp</t>
  </si>
  <si>
    <t>EJ6945111</t>
  </si>
  <si>
    <t>XS0939681408</t>
  </si>
  <si>
    <t>BBG004MDKPW5</t>
  </si>
  <si>
    <t>EJ6945111 Corp</t>
  </si>
  <si>
    <t>AM0715459</t>
  </si>
  <si>
    <t>FR0013231768</t>
  </si>
  <si>
    <t>BBG00FQJRY57</t>
  </si>
  <si>
    <t>AM0715459 Corp</t>
  </si>
  <si>
    <t>EK6372677</t>
  </si>
  <si>
    <t>FR0012370872</t>
  </si>
  <si>
    <t>BBG007NL9L88</t>
  </si>
  <si>
    <t>EK6372677 Corp</t>
  </si>
  <si>
    <t>JK5694415</t>
  </si>
  <si>
    <t>FR0013143351</t>
  </si>
  <si>
    <t>BBG00CKGFFQ7</t>
  </si>
  <si>
    <t>JK5694415 Corp</t>
  </si>
  <si>
    <t>AT3083041</t>
  </si>
  <si>
    <t>BBG00L99BTG1</t>
  </si>
  <si>
    <t>AT3083041 Corp</t>
  </si>
  <si>
    <t>AT3087273</t>
  </si>
  <si>
    <t>BBG00L99C956</t>
  </si>
  <si>
    <t>AT3087273 Corp</t>
  </si>
  <si>
    <t>BQ2678564</t>
  </si>
  <si>
    <t>BBG011LXJK78</t>
  </si>
  <si>
    <t>BQ2678564 Corp</t>
  </si>
  <si>
    <t>BV6625016</t>
  </si>
  <si>
    <t>BBG016H5JHF1</t>
  </si>
  <si>
    <t>BV6625016 Corp</t>
  </si>
  <si>
    <t>BV6625198</t>
  </si>
  <si>
    <t>BBG016H5LR39</t>
  </si>
  <si>
    <t>BV6625198 Corp</t>
  </si>
  <si>
    <t>BV6625206</t>
  </si>
  <si>
    <t>BBG016H5LS55</t>
  </si>
  <si>
    <t>BV6625206 Corp</t>
  </si>
  <si>
    <t>ZP0094521</t>
  </si>
  <si>
    <t>BBG00R2LT9C7</t>
  </si>
  <si>
    <t>ZP0094521 Corp</t>
  </si>
  <si>
    <t>ZP0095775</t>
  </si>
  <si>
    <t>BBG00R2LTSK6</t>
  </si>
  <si>
    <t>ZP0095775 Corp</t>
  </si>
  <si>
    <t>AM8379274</t>
  </si>
  <si>
    <t>DE000A19HCW0</t>
  </si>
  <si>
    <t>BBG00G6QJ740</t>
  </si>
  <si>
    <t>AM8379274 Corp</t>
  </si>
  <si>
    <t>AM8379308</t>
  </si>
  <si>
    <t>DE000A19HCX8</t>
  </si>
  <si>
    <t>BBG00G6QJ7N9</t>
  </si>
  <si>
    <t>AM8379308 Corp</t>
  </si>
  <si>
    <t>AT0029203</t>
  </si>
  <si>
    <t>DE000A1919G4</t>
  </si>
  <si>
    <t>BBG00L429K00</t>
  </si>
  <si>
    <t>AT0029203 Corp</t>
  </si>
  <si>
    <t>AT1197058</t>
  </si>
  <si>
    <t>DE000A1919H2</t>
  </si>
  <si>
    <t>BBG00L56QZL5</t>
  </si>
  <si>
    <t>11Y</t>
  </si>
  <si>
    <t>AT1197058 Corp</t>
  </si>
  <si>
    <t>BH6826250</t>
  </si>
  <si>
    <t>DE000A28V301</t>
  </si>
  <si>
    <t>BBG00T2M5JX2</t>
  </si>
  <si>
    <t>BH6826250 Corp</t>
  </si>
  <si>
    <t>BH6826268</t>
  </si>
  <si>
    <t>DE000A28V319</t>
  </si>
  <si>
    <t>BBG00T2M5JZ0</t>
  </si>
  <si>
    <t>BH6826268 Corp</t>
  </si>
  <si>
    <t>BM6305148</t>
  </si>
  <si>
    <t>US46653KAA60</t>
  </si>
  <si>
    <t>BBG00Y78DDN2</t>
  </si>
  <si>
    <t>BM6305148 Corp</t>
  </si>
  <si>
    <t>BM6305239</t>
  </si>
  <si>
    <t>USN4717KAV81</t>
  </si>
  <si>
    <t>BBG00Y78DF02</t>
  </si>
  <si>
    <t>BM6305239 Corp</t>
  </si>
  <si>
    <t>BP7786075</t>
  </si>
  <si>
    <t>US46653KAB44</t>
  </si>
  <si>
    <t>BBG0116YQ408</t>
  </si>
  <si>
    <t>BP7786075 Corp</t>
  </si>
  <si>
    <t>BP7801056</t>
  </si>
  <si>
    <t>USN4717KBE57</t>
  </si>
  <si>
    <t>BBG0116Z46B2</t>
  </si>
  <si>
    <t>BP7801056 Corp</t>
  </si>
  <si>
    <t>BQ4130176</t>
  </si>
  <si>
    <t>DE000A3KPTG6</t>
  </si>
  <si>
    <t>BBG011PQPKZ1</t>
  </si>
  <si>
    <t>BQ4130176 Corp</t>
  </si>
  <si>
    <t>EK8759004</t>
  </si>
  <si>
    <t>DE000A1Z0TA4</t>
  </si>
  <si>
    <t>BBG008KR9ZN8</t>
  </si>
  <si>
    <t>EK8759004 Corp</t>
  </si>
  <si>
    <t>LW1703757</t>
  </si>
  <si>
    <t>DE000A181034</t>
  </si>
  <si>
    <t>BBG00CXHKWJ6</t>
  </si>
  <si>
    <t>LW1703757 Corp</t>
  </si>
  <si>
    <t>UV7427841</t>
  </si>
  <si>
    <t>DE000A1Z6C06</t>
  </si>
  <si>
    <t>BBG009XY73J5</t>
  </si>
  <si>
    <t>UV7427841 Corp</t>
  </si>
  <si>
    <t>ZP7090951</t>
  </si>
  <si>
    <t>DE000A28SVV0</t>
  </si>
  <si>
    <t>BBG00RKC05G2</t>
  </si>
  <si>
    <t>ZP7090951 Corp</t>
  </si>
  <si>
    <t>ZQ9628475</t>
  </si>
  <si>
    <t>DE000A2SBDE0</t>
  </si>
  <si>
    <t>BBG00R288V76</t>
  </si>
  <si>
    <t>ZQ9628475 Corp</t>
  </si>
  <si>
    <t>ZQ9628483</t>
  </si>
  <si>
    <t>DE000A2SBDF7</t>
  </si>
  <si>
    <t>BBG00R288V85</t>
  </si>
  <si>
    <t>ZQ9628483 Corp</t>
  </si>
  <si>
    <t>BS5063844</t>
  </si>
  <si>
    <t>US46592QAB59</t>
  </si>
  <si>
    <t>BBG013KFKVD1</t>
  </si>
  <si>
    <t>BS5063844 Corp</t>
  </si>
  <si>
    <t>BS5063869</t>
  </si>
  <si>
    <t>USL5S59NAB13</t>
  </si>
  <si>
    <t>BBG013KFKY90</t>
  </si>
  <si>
    <t>BS5063869 Corp</t>
  </si>
  <si>
    <t>ZO4141503</t>
  </si>
  <si>
    <t>XS2231330965</t>
  </si>
  <si>
    <t>BBG00X7J54D0</t>
  </si>
  <si>
    <t>ZO4141503 Corp</t>
  </si>
  <si>
    <t>ZO4141511</t>
  </si>
  <si>
    <t>XS2231331344</t>
  </si>
  <si>
    <t>BBG00X7J54G7</t>
  </si>
  <si>
    <t>ZO4141511 Corp</t>
  </si>
  <si>
    <t>EK3170355</t>
  </si>
  <si>
    <t>AT0000A17Z60</t>
  </si>
  <si>
    <t>BBG006LH0745</t>
  </si>
  <si>
    <t>EK3170355 Corp</t>
  </si>
  <si>
    <t>AZ4209583</t>
  </si>
  <si>
    <t>BBG00PM1Y3C0</t>
  </si>
  <si>
    <t>AZ4209583 Corp</t>
  </si>
  <si>
    <t>UV6102981</t>
  </si>
  <si>
    <t>XS1288849471</t>
  </si>
  <si>
    <t>BBG009W37W46</t>
  </si>
  <si>
    <t>UV6102981 Corp</t>
  </si>
  <si>
    <t>ZR6113974</t>
  </si>
  <si>
    <t>XS2042667944</t>
  </si>
  <si>
    <t>BBG00Q8G4LV3</t>
  </si>
  <si>
    <t>ZR6113974 Corp</t>
  </si>
  <si>
    <t>BG0393440</t>
  </si>
  <si>
    <t>SE0012676005</t>
  </si>
  <si>
    <t>BBG00RQ17W65</t>
  </si>
  <si>
    <t>BG0393440 Corp</t>
  </si>
  <si>
    <t>BG0393457</t>
  </si>
  <si>
    <t>SE0012675999</t>
  </si>
  <si>
    <t>BBG00RQ17W83</t>
  </si>
  <si>
    <t>BG0393457 Corp</t>
  </si>
  <si>
    <t>AX9037059</t>
  </si>
  <si>
    <t>US49836AAA25</t>
  </si>
  <si>
    <t>BBG00NQJG7L3</t>
  </si>
  <si>
    <t>AX9037059 Corp</t>
  </si>
  <si>
    <t>AX9046282</t>
  </si>
  <si>
    <t>USA35155AA77</t>
  </si>
  <si>
    <t>BBG00NQJN7M4</t>
  </si>
  <si>
    <t>AX9046282 Corp</t>
  </si>
  <si>
    <t>EK3772200</t>
  </si>
  <si>
    <t>US49835LAA98</t>
  </si>
  <si>
    <t>BBG006S8RW53</t>
  </si>
  <si>
    <t>EK3772200 Corp</t>
  </si>
  <si>
    <t>EK3795979</t>
  </si>
  <si>
    <t>USL5828LAA72</t>
  </si>
  <si>
    <t>BBG006SCSKX8</t>
  </si>
  <si>
    <t>EK3795979 Corp</t>
  </si>
  <si>
    <t>AP1154305</t>
  </si>
  <si>
    <t>XS1685798370</t>
  </si>
  <si>
    <t>BBG00HPJCNW4</t>
  </si>
  <si>
    <t>AP1154305 Corp</t>
  </si>
  <si>
    <t>AR7173271</t>
  </si>
  <si>
    <t>XS1787477543</t>
  </si>
  <si>
    <t>BBG00K9M8VT9</t>
  </si>
  <si>
    <t>AR7173271 Corp</t>
  </si>
  <si>
    <t>BH3926376</t>
  </si>
  <si>
    <t>XS2150015555</t>
  </si>
  <si>
    <t>BBG00SVCZFZ7</t>
  </si>
  <si>
    <t>BH3926376 Corp</t>
  </si>
  <si>
    <t>QZ3839276</t>
  </si>
  <si>
    <t>XS1485532896</t>
  </si>
  <si>
    <t>BBG00DQC2227</t>
  </si>
  <si>
    <t>QZ3839276 Corp</t>
  </si>
  <si>
    <t>QZ3842650</t>
  </si>
  <si>
    <t>XS1485533431</t>
  </si>
  <si>
    <t>BBG00DQC3T36</t>
  </si>
  <si>
    <t>QZ3842650 Corp</t>
  </si>
  <si>
    <t>ZO3666625</t>
  </si>
  <si>
    <t>XS2229470146</t>
  </si>
  <si>
    <t>BBG00X6KLTW4</t>
  </si>
  <si>
    <t>ZO3666625 Corp</t>
  </si>
  <si>
    <t>BV4081618</t>
  </si>
  <si>
    <t>FR0014009EI0</t>
  </si>
  <si>
    <t>BBG0167XVG32</t>
  </si>
  <si>
    <t>General Corporate Purposes Stock Buyback</t>
  </si>
  <si>
    <t>BV4081618 Corp</t>
  </si>
  <si>
    <t>BV4437786</t>
  </si>
  <si>
    <t>FR0014009EH2</t>
  </si>
  <si>
    <t>BBG0168S4YL3</t>
  </si>
  <si>
    <t>BV4437786 Corp</t>
  </si>
  <si>
    <t>AS5793342</t>
  </si>
  <si>
    <t>XS1820748538</t>
  </si>
  <si>
    <t>BBG00KW3DSZ9</t>
  </si>
  <si>
    <t>AS5793342 Corp</t>
  </si>
  <si>
    <t>BR2431830</t>
  </si>
  <si>
    <t>XS2383886947</t>
  </si>
  <si>
    <t>BBG012CD7KK8</t>
  </si>
  <si>
    <t>BR2431830 Corp</t>
  </si>
  <si>
    <t>QZ7298362</t>
  </si>
  <si>
    <t>XS1501367921</t>
  </si>
  <si>
    <t>BBG00DY10929</t>
  </si>
  <si>
    <t>QZ7298362 Corp</t>
  </si>
  <si>
    <t>AO1503470</t>
  </si>
  <si>
    <t>FR0013266848</t>
  </si>
  <si>
    <t>BBG00H1RSYD2</t>
  </si>
  <si>
    <t>Acquisition Financing General Corporate Purposes</t>
  </si>
  <si>
    <t>AO1503470 Corp</t>
  </si>
  <si>
    <t>AO1503660</t>
  </si>
  <si>
    <t>FR0013266830</t>
  </si>
  <si>
    <t>BBG00H1RT143</t>
  </si>
  <si>
    <t>AO1503660 Corp</t>
  </si>
  <si>
    <t>AP4175547</t>
  </si>
  <si>
    <t>FR0013286846</t>
  </si>
  <si>
    <t>BBG00HW8SBR5</t>
  </si>
  <si>
    <t>AP4175547 Corp</t>
  </si>
  <si>
    <t>AR4828976</t>
  </si>
  <si>
    <t>FR0013321080</t>
  </si>
  <si>
    <t>BBG00K64QXL6</t>
  </si>
  <si>
    <t>AR4828976 Corp</t>
  </si>
  <si>
    <t>AZ1870858</t>
  </si>
  <si>
    <t>FR0013428943</t>
  </si>
  <si>
    <t>BBG00PGDQQJ2</t>
  </si>
  <si>
    <t>AZ1870858 Corp</t>
  </si>
  <si>
    <t>BJ4447105</t>
  </si>
  <si>
    <t>FR0013513538</t>
  </si>
  <si>
    <t>BBG00TSTT590</t>
  </si>
  <si>
    <t>BJ4447105 Corp</t>
  </si>
  <si>
    <t>BP5102168</t>
  </si>
  <si>
    <t>FR0126775347</t>
  </si>
  <si>
    <t>BBG0110R3388</t>
  </si>
  <si>
    <t>BP5102168 Corp</t>
  </si>
  <si>
    <t>BT4923806</t>
  </si>
  <si>
    <t>FR0127197822</t>
  </si>
  <si>
    <t>BBG014J2WJ71</t>
  </si>
  <si>
    <t>NMTN</t>
  </si>
  <si>
    <t>BT4923806 Corp</t>
  </si>
  <si>
    <t>JV2082388</t>
  </si>
  <si>
    <t>FR0013073277</t>
  </si>
  <si>
    <t>BBG00BM5PTX2</t>
  </si>
  <si>
    <t>JV2082388 Corp</t>
  </si>
  <si>
    <t>ZR5703973</t>
  </si>
  <si>
    <t>SE0011869932</t>
  </si>
  <si>
    <t>BBG00Q77RFR7</t>
  </si>
  <si>
    <t>ZR5703973 Corp</t>
  </si>
  <si>
    <t>AS1999877</t>
  </si>
  <si>
    <t>XS1800025022</t>
  </si>
  <si>
    <t>BBG00KL4TN83</t>
  </si>
  <si>
    <t>AS1999877 Corp</t>
  </si>
  <si>
    <t>AQ5794393</t>
  </si>
  <si>
    <t>PTMENUOM0009</t>
  </si>
  <si>
    <t>BBG00JMYVR05</t>
  </si>
  <si>
    <t>73062799,5</t>
  </si>
  <si>
    <t>AQ5794393 Corp</t>
  </si>
  <si>
    <t>AV6232368</t>
  </si>
  <si>
    <t>PTMENWOM0007</t>
  </si>
  <si>
    <t>BBG00MJM88P9</t>
  </si>
  <si>
    <t>AV6232368 Corp</t>
  </si>
  <si>
    <t>ZP1987236</t>
  </si>
  <si>
    <t>PTMENAOM0011</t>
  </si>
  <si>
    <t>BBG00R6X8Y08</t>
  </si>
  <si>
    <t>PUTABLE</t>
  </si>
  <si>
    <t>ZP1987236 Corp</t>
  </si>
  <si>
    <t>ZQ3271017</t>
  </si>
  <si>
    <t>PTMENXOM0006</t>
  </si>
  <si>
    <t>BBG00QPYRY24</t>
  </si>
  <si>
    <t>186756644,2</t>
  </si>
  <si>
    <t>ZQ3271017 Corp</t>
  </si>
  <si>
    <t>AU8767926</t>
  </si>
  <si>
    <t>XS1892117919</t>
  </si>
  <si>
    <t>BBG00M6GWK18</t>
  </si>
  <si>
    <t>AU8767926 Corp</t>
  </si>
  <si>
    <t>LW0229606</t>
  </si>
  <si>
    <t>XS1409382030</t>
  </si>
  <si>
    <t>BBG00CV0RDJ0</t>
  </si>
  <si>
    <t>LW0229606 Corp</t>
  </si>
  <si>
    <t>ZR8272786</t>
  </si>
  <si>
    <t>XS2060691040</t>
  </si>
  <si>
    <t>BBG00QFL1KN8</t>
  </si>
  <si>
    <t>ZR8272786 Corp</t>
  </si>
  <si>
    <t>AN0018217</t>
  </si>
  <si>
    <t>XS1585010074</t>
  </si>
  <si>
    <t>BBG00GBDK466</t>
  </si>
  <si>
    <t>AN0018217 Corp</t>
  </si>
  <si>
    <t>AR1704246</t>
  </si>
  <si>
    <t>XS1769040111</t>
  </si>
  <si>
    <t>BBG00K08B0D0</t>
  </si>
  <si>
    <t>AR1704246 Corp</t>
  </si>
  <si>
    <t>AR1705011</t>
  </si>
  <si>
    <t>XS1769041192</t>
  </si>
  <si>
    <t>BBG00K08BGC6</t>
  </si>
  <si>
    <t>AR1705011 Corp</t>
  </si>
  <si>
    <t>AR1705052</t>
  </si>
  <si>
    <t>XS1769041606</t>
  </si>
  <si>
    <t>BBG00K08BJF7</t>
  </si>
  <si>
    <t>AR1705052 Corp</t>
  </si>
  <si>
    <t>EK5787362</t>
  </si>
  <si>
    <t>XS1134729794</t>
  </si>
  <si>
    <t>BBG007G72YL1</t>
  </si>
  <si>
    <t>EK5787362 Corp</t>
  </si>
  <si>
    <t>QZ5423871</t>
  </si>
  <si>
    <t>XS1492825051</t>
  </si>
  <si>
    <t>BBG00DSN3LQ2</t>
  </si>
  <si>
    <t>QZ5423871 Corp</t>
  </si>
  <si>
    <t>QZ5424044</t>
  </si>
  <si>
    <t>XS1492825481</t>
  </si>
  <si>
    <t>BBG00DSN3PY4</t>
  </si>
  <si>
    <t>QZ5424044 Corp</t>
  </si>
  <si>
    <t>BH4959509</t>
  </si>
  <si>
    <t>FR0013506524</t>
  </si>
  <si>
    <t>BBG00SYJ9XH9</t>
  </si>
  <si>
    <t>BH4959509 Corp</t>
  </si>
  <si>
    <t>BH4959517</t>
  </si>
  <si>
    <t>FR0013506532</t>
  </si>
  <si>
    <t>BBG00SYJ9XJ7</t>
  </si>
  <si>
    <t>BH4959517 Corp</t>
  </si>
  <si>
    <t>BR6668031</t>
  </si>
  <si>
    <t>FR0014005SC1</t>
  </si>
  <si>
    <t>BBG012QR6C94</t>
  </si>
  <si>
    <t>eMTN</t>
  </si>
  <si>
    <t>BR6668031 Corp</t>
  </si>
  <si>
    <t>EK5002275</t>
  </si>
  <si>
    <t>FR0012173862</t>
  </si>
  <si>
    <t>BBG0074H8JB0</t>
  </si>
  <si>
    <t>EK5002275 Corp</t>
  </si>
  <si>
    <t>LW0760287</t>
  </si>
  <si>
    <t>FR0013172939</t>
  </si>
  <si>
    <t>BBG00CW35KB9</t>
  </si>
  <si>
    <t>LW0760287 Corp</t>
  </si>
  <si>
    <t>LW3054704</t>
  </si>
  <si>
    <t>US714264AM01</t>
  </si>
  <si>
    <t>BBG00D0WZF62</t>
  </si>
  <si>
    <t>LW3054704 Corp</t>
  </si>
  <si>
    <t>LW3161954</t>
  </si>
  <si>
    <t>USF7061BAQ35</t>
  </si>
  <si>
    <t>BBG00D0YJTX6</t>
  </si>
  <si>
    <t>LW3161954 Corp</t>
  </si>
  <si>
    <t>UV8688979</t>
  </si>
  <si>
    <t>FR0012968931</t>
  </si>
  <si>
    <t>BBG00B07LNM1</t>
  </si>
  <si>
    <t>UV8688979 Corp</t>
  </si>
  <si>
    <t>ZQ2158991</t>
  </si>
  <si>
    <t>FR0013456423</t>
  </si>
  <si>
    <t>BBG00QN34CD5</t>
  </si>
  <si>
    <t>ZQ2158991 Corp</t>
  </si>
  <si>
    <t>ZQ2159007</t>
  </si>
  <si>
    <t>FR0013456431</t>
  </si>
  <si>
    <t>BBG00QN34CF3</t>
  </si>
  <si>
    <t>ZQ2159007 Corp</t>
  </si>
  <si>
    <t>ZQ2159015</t>
  </si>
  <si>
    <t>FR0013456449</t>
  </si>
  <si>
    <t>BBG00QN34CG2</t>
  </si>
  <si>
    <t>ZQ2159015 Corp</t>
  </si>
  <si>
    <t>EK9468597</t>
  </si>
  <si>
    <t>ES0205072004</t>
  </si>
  <si>
    <t>BBG009BHXYL6</t>
  </si>
  <si>
    <t>EK9468597 Corp</t>
  </si>
  <si>
    <t>EK9469256</t>
  </si>
  <si>
    <t>ES0205072012</t>
  </si>
  <si>
    <t>BBG009BHZ0Z3</t>
  </si>
  <si>
    <t>EK9469256 Corp</t>
  </si>
  <si>
    <t>AQ5656691</t>
  </si>
  <si>
    <t>PLPKN0000166</t>
  </si>
  <si>
    <t>BBG00JM9PVM4</t>
  </si>
  <si>
    <t>AQ5656691 Corp</t>
  </si>
  <si>
    <t>AS8723858</t>
  </si>
  <si>
    <t>PLPKN0000174</t>
  </si>
  <si>
    <t>BBG00L1K75R9</t>
  </si>
  <si>
    <t>AS8723858 Corp</t>
  </si>
  <si>
    <t>AT1545306</t>
  </si>
  <si>
    <t>PLPKN0000182</t>
  </si>
  <si>
    <t>BBG00L75BSL7</t>
  </si>
  <si>
    <t>AT1545306 Corp</t>
  </si>
  <si>
    <t>AT5758244</t>
  </si>
  <si>
    <t>PLPKN0000190</t>
  </si>
  <si>
    <t>BBG00LDT2MS4</t>
  </si>
  <si>
    <t>E</t>
  </si>
  <si>
    <t>AT5758244 Corp</t>
  </si>
  <si>
    <t>AT0942645</t>
  </si>
  <si>
    <t>BBG00L4T3PW1</t>
  </si>
  <si>
    <t>AT0942645 Corp</t>
  </si>
  <si>
    <t>ZQ7459790</t>
  </si>
  <si>
    <t>BBG00QYMWR29</t>
  </si>
  <si>
    <t>ZQ7459790 Corp</t>
  </si>
  <si>
    <t>ZQ7464113</t>
  </si>
  <si>
    <t>BBG00QYMXBJ5</t>
  </si>
  <si>
    <t>ZQ7464113 Corp</t>
  </si>
  <si>
    <t>AR7570161</t>
  </si>
  <si>
    <t>FR0013324332</t>
  </si>
  <si>
    <t>BBG00K9ZTM35</t>
  </si>
  <si>
    <t>5FXD</t>
  </si>
  <si>
    <t>AR7570161 Corp</t>
  </si>
  <si>
    <t>AR7572142</t>
  </si>
  <si>
    <t>FR0013324373</t>
  </si>
  <si>
    <t>BBG00K9ZVVS5</t>
  </si>
  <si>
    <t>20FX</t>
  </si>
  <si>
    <t>AR7572142 Corp</t>
  </si>
  <si>
    <t>AR7572159</t>
  </si>
  <si>
    <t>FR0013324357</t>
  </si>
  <si>
    <t>BBG00K9ZVVT4</t>
  </si>
  <si>
    <t>12FX</t>
  </si>
  <si>
    <t>AR7572159 Corp</t>
  </si>
  <si>
    <t>AR7572167</t>
  </si>
  <si>
    <t>FR0013324340</t>
  </si>
  <si>
    <t>BBG00K9ZVVV1</t>
  </si>
  <si>
    <t>8FXD</t>
  </si>
  <si>
    <t>AR7572167 Corp</t>
  </si>
  <si>
    <t>AT0702809</t>
  </si>
  <si>
    <t>US801060AC87</t>
  </si>
  <si>
    <t>BBG00L4MSHY5</t>
  </si>
  <si>
    <t>AT0702809 Corp</t>
  </si>
  <si>
    <t>AT0702833</t>
  </si>
  <si>
    <t>US801060AD60</t>
  </si>
  <si>
    <t>BBG00L4MSK23</t>
  </si>
  <si>
    <t>AT0702833 Corp</t>
  </si>
  <si>
    <t>AX6646969</t>
  </si>
  <si>
    <t>FR0013409844</t>
  </si>
  <si>
    <t>BBG00NL1BZ58</t>
  </si>
  <si>
    <t>AX6646969 Corp</t>
  </si>
  <si>
    <t>AX6646977</t>
  </si>
  <si>
    <t>FR0013409851</t>
  </si>
  <si>
    <t>BBG00NL1BZ76</t>
  </si>
  <si>
    <t>AX6646977 Corp</t>
  </si>
  <si>
    <t>BH2917491</t>
  </si>
  <si>
    <t>FR0013505104</t>
  </si>
  <si>
    <t>BBG00SSJBD96</t>
  </si>
  <si>
    <t>BH2917491 Corp</t>
  </si>
  <si>
    <t>BH2917509</t>
  </si>
  <si>
    <t>FR0013505112</t>
  </si>
  <si>
    <t>BBG00SSJBDD1</t>
  </si>
  <si>
    <t>BH2917509 Corp</t>
  </si>
  <si>
    <t>BV6300123</t>
  </si>
  <si>
    <t>FR0014009KS6</t>
  </si>
  <si>
    <t>BBG016FVB739</t>
  </si>
  <si>
    <t>BV6300123 Corp</t>
  </si>
  <si>
    <t>EJ9229422</t>
  </si>
  <si>
    <t>FR0011625433</t>
  </si>
  <si>
    <t>BBG005K24YQ4</t>
  </si>
  <si>
    <t>EJ9229422 Corp</t>
  </si>
  <si>
    <t>EK4728052</t>
  </si>
  <si>
    <t>FR0012146801</t>
  </si>
  <si>
    <t>BBG0072HSC98</t>
  </si>
  <si>
    <t>EK4728052 Corp</t>
  </si>
  <si>
    <t>JK5980772</t>
  </si>
  <si>
    <t>FR0013143997</t>
  </si>
  <si>
    <t>BBG00CLFCDC1</t>
  </si>
  <si>
    <t>JK5980772 Corp</t>
  </si>
  <si>
    <t>JK5981119</t>
  </si>
  <si>
    <t>FR0013144003</t>
  </si>
  <si>
    <t>BBG00CLFCH41</t>
  </si>
  <si>
    <t>JK5981119 Corp</t>
  </si>
  <si>
    <t>QZ4684325</t>
  </si>
  <si>
    <t>FR0013201621</t>
  </si>
  <si>
    <t>BBG00DRDJL42</t>
  </si>
  <si>
    <t>QZ4684325 Corp</t>
  </si>
  <si>
    <t>QZ4685272</t>
  </si>
  <si>
    <t>FR0013201639</t>
  </si>
  <si>
    <t>BBG00DRDJVX8</t>
  </si>
  <si>
    <t>QZ4685272 Corp</t>
  </si>
  <si>
    <t>UV8676750</t>
  </si>
  <si>
    <t>FR0012969038</t>
  </si>
  <si>
    <t>BBG00B07J963</t>
  </si>
  <si>
    <t>UV8676750 Corp</t>
  </si>
  <si>
    <t>AS4928287</t>
  </si>
  <si>
    <t>BBG00KVBQQQ2</t>
  </si>
  <si>
    <t>AS4928287 Corp</t>
  </si>
  <si>
    <t>AS4929673</t>
  </si>
  <si>
    <t>BBG00KVBQWG0</t>
  </si>
  <si>
    <t>AS4929673 Corp</t>
  </si>
  <si>
    <t>AS4931505</t>
  </si>
  <si>
    <t>BBG00KVBR319</t>
  </si>
  <si>
    <t>AS4931505 Corp</t>
  </si>
  <si>
    <t>AQ3418656</t>
  </si>
  <si>
    <t>FR0013302809</t>
  </si>
  <si>
    <t>BBG00JFYWBY0</t>
  </si>
  <si>
    <t>AQ3418656 Corp</t>
  </si>
  <si>
    <t>AT0872560</t>
  </si>
  <si>
    <t>FR0013344215</t>
  </si>
  <si>
    <t>BBG00L4S26L8</t>
  </si>
  <si>
    <t>AT0872560 Corp</t>
  </si>
  <si>
    <t>AW5997290</t>
  </si>
  <si>
    <t>FR0013396876</t>
  </si>
  <si>
    <t>BBG00N10S5P8</t>
  </si>
  <si>
    <t>AW5997290 Corp</t>
  </si>
  <si>
    <t>BG5379378</t>
  </si>
  <si>
    <t>FR0013494168</t>
  </si>
  <si>
    <t>BBG00S5CY044</t>
  </si>
  <si>
    <t>BG5379378 Corp</t>
  </si>
  <si>
    <t>BH5288965</t>
  </si>
  <si>
    <t>FR0013506862</t>
  </si>
  <si>
    <t>BBG00SZRS1T6</t>
  </si>
  <si>
    <t>BH5288965 Corp</t>
  </si>
  <si>
    <t>BJ8983345</t>
  </si>
  <si>
    <t>FR0013517711</t>
  </si>
  <si>
    <t>BBG00V9SF2X3</t>
  </si>
  <si>
    <t>BJ8983345 Corp</t>
  </si>
  <si>
    <t>EK7883839</t>
  </si>
  <si>
    <t>FR0012601367</t>
  </si>
  <si>
    <t>BBG0087L4ZH8</t>
  </si>
  <si>
    <t>EK7883839 Corp</t>
  </si>
  <si>
    <t>QZ4315847</t>
  </si>
  <si>
    <t>FR0013201308</t>
  </si>
  <si>
    <t>BBG00DR64CT6</t>
  </si>
  <si>
    <t>QZ4315847 Corp</t>
  </si>
  <si>
    <t>UV7588378</t>
  </si>
  <si>
    <t>FR0012939841</t>
  </si>
  <si>
    <t>BBG009Y36TB4</t>
  </si>
  <si>
    <t>UV7588378 Corp</t>
  </si>
  <si>
    <t>AU1162612</t>
  </si>
  <si>
    <t>FR0013348745</t>
  </si>
  <si>
    <t>BBG00LQGTFD0</t>
  </si>
  <si>
    <t>AU1162612 Corp</t>
  </si>
  <si>
    <t>AU2349564</t>
  </si>
  <si>
    <t>FR0013348737</t>
  </si>
  <si>
    <t>BBG00LTYFZM9</t>
  </si>
  <si>
    <t>AU2349564 Corp</t>
  </si>
  <si>
    <t>ZS7592752</t>
  </si>
  <si>
    <t>FR0013420072</t>
  </si>
  <si>
    <t>BBG00P7J9782</t>
  </si>
  <si>
    <t>ZS7592752 Corp</t>
  </si>
  <si>
    <t>AM2048354</t>
  </si>
  <si>
    <t>XS1555402145</t>
  </si>
  <si>
    <t>BBG00FRZZN37</t>
  </si>
  <si>
    <t>AM2048354 Corp</t>
  </si>
  <si>
    <t>AO5359275</t>
  </si>
  <si>
    <t>XS1657785538</t>
  </si>
  <si>
    <t>BBG00HBDR6K6</t>
  </si>
  <si>
    <t>AO5359275 Corp</t>
  </si>
  <si>
    <t>AP5121219</t>
  </si>
  <si>
    <t>XS1700721464</t>
  </si>
  <si>
    <t>BBG00HY21P67</t>
  </si>
  <si>
    <t>AP5121219 Corp</t>
  </si>
  <si>
    <t>AU4784719</t>
  </si>
  <si>
    <t>XS1881004730</t>
  </si>
  <si>
    <t>BBG00LYB12Q7</t>
  </si>
  <si>
    <t>AU4784719 Corp</t>
  </si>
  <si>
    <t>AW9642348</t>
  </si>
  <si>
    <t>XS1957442541</t>
  </si>
  <si>
    <t>BBG00N6YPS90</t>
  </si>
  <si>
    <t>AW9642348 Corp</t>
  </si>
  <si>
    <t>BJ9805455</t>
  </si>
  <si>
    <t>XS2190256706</t>
  </si>
  <si>
    <t>BBG00VDD77T4</t>
  </si>
  <si>
    <t>Project Finance</t>
  </si>
  <si>
    <t>BJ9805455 Corp</t>
  </si>
  <si>
    <t>BM8251845</t>
  </si>
  <si>
    <t>XS2268340010</t>
  </si>
  <si>
    <t>BBG00YCWTFN1</t>
  </si>
  <si>
    <t>BM8251845 Corp</t>
  </si>
  <si>
    <t>BN9675925</t>
  </si>
  <si>
    <t>XS2300208928</t>
  </si>
  <si>
    <t>BBG00Z6B8NG5</t>
  </si>
  <si>
    <t>BN9675925 Corp</t>
  </si>
  <si>
    <t>BQ2450170</t>
  </si>
  <si>
    <t>XS2358231798</t>
  </si>
  <si>
    <t>BBG011LMDFR7</t>
  </si>
  <si>
    <t>BQ2450170 Corp</t>
  </si>
  <si>
    <t>EK0259912</t>
  </si>
  <si>
    <t>XS1019326641</t>
  </si>
  <si>
    <t>BBG005TX7NP9</t>
  </si>
  <si>
    <t>EK0259912 Corp</t>
  </si>
  <si>
    <t>EK5489241</t>
  </si>
  <si>
    <t>XS1126183760</t>
  </si>
  <si>
    <t>BBG007B98174</t>
  </si>
  <si>
    <t>EK5489241 Corp</t>
  </si>
  <si>
    <t>QJ5853362</t>
  </si>
  <si>
    <t>XS1318709497</t>
  </si>
  <si>
    <t>BBG00BCD00Z4</t>
  </si>
  <si>
    <t>QJ5853362 Corp</t>
  </si>
  <si>
    <t>QZ8441011</t>
  </si>
  <si>
    <t>XS1505573482</t>
  </si>
  <si>
    <t>BBG00DZMLWK8</t>
  </si>
  <si>
    <t>QZ8441011 Corp</t>
  </si>
  <si>
    <t>ZR4792589</t>
  </si>
  <si>
    <t>XS2051660335</t>
  </si>
  <si>
    <t>BBG00Q68Z8R3</t>
  </si>
  <si>
    <t>ZR4792589 Corp</t>
  </si>
  <si>
    <t>ZR4792597</t>
  </si>
  <si>
    <t>XS2051660509</t>
  </si>
  <si>
    <t>BBG00Q68Z8S2</t>
  </si>
  <si>
    <t>ZR4792597 Corp</t>
  </si>
  <si>
    <t>ZS8568355</t>
  </si>
  <si>
    <t>XS2005658781</t>
  </si>
  <si>
    <t>BBG00P9216C2</t>
  </si>
  <si>
    <t>ZS8568355 Corp</t>
  </si>
  <si>
    <t>AU3097196</t>
  </si>
  <si>
    <t>XS1876473122</t>
  </si>
  <si>
    <t>BBG00LW4YHB2</t>
  </si>
  <si>
    <t>AU3097196 Corp</t>
  </si>
  <si>
    <t>AZ2271171</t>
  </si>
  <si>
    <t>XS2017329306</t>
  </si>
  <si>
    <t>BBG00PGS6RV5</t>
  </si>
  <si>
    <t>AZ2271171 Corp</t>
  </si>
  <si>
    <t>AZ2271320</t>
  </si>
  <si>
    <t>XS2017330221</t>
  </si>
  <si>
    <t>BBG00PGS6XX0</t>
  </si>
  <si>
    <t>AZ2271320 Corp</t>
  </si>
  <si>
    <t>EK1451427</t>
  </si>
  <si>
    <t>US78469GAA22</t>
  </si>
  <si>
    <t>BBG0067M7850</t>
  </si>
  <si>
    <t>EK1451427 Corp</t>
  </si>
  <si>
    <t>UV5504278</t>
  </si>
  <si>
    <t>US78469GAD60</t>
  </si>
  <si>
    <t>BBG009T2PWC3</t>
  </si>
  <si>
    <t>CALL/PUT</t>
  </si>
  <si>
    <t>UV5504278 Corp</t>
  </si>
  <si>
    <t>AM7149413</t>
  </si>
  <si>
    <t>US86964WAB81</t>
  </si>
  <si>
    <t>BBG00G4V6BF4</t>
  </si>
  <si>
    <t>AM7149413 Corp</t>
  </si>
  <si>
    <t>AM8073679</t>
  </si>
  <si>
    <t>USA8372TAC20</t>
  </si>
  <si>
    <t>BBG00G6CN3Y2</t>
  </si>
  <si>
    <t>AM8073679 Corp</t>
  </si>
  <si>
    <t>AU5663219</t>
  </si>
  <si>
    <t>US86964WAC64</t>
  </si>
  <si>
    <t>BBG00M0FZCR3</t>
  </si>
  <si>
    <t>AU5663219 Corp</t>
  </si>
  <si>
    <t>AU5663227</t>
  </si>
  <si>
    <t>USA8372TAF50</t>
  </si>
  <si>
    <t>BBG00M0FZCS2</t>
  </si>
  <si>
    <t>AU5663227 Corp</t>
  </si>
  <si>
    <t>AZ6941415</t>
  </si>
  <si>
    <t>US86964WAF95</t>
  </si>
  <si>
    <t>BBG00PQCQPJ5</t>
  </si>
  <si>
    <t>AZ6941415 Corp</t>
  </si>
  <si>
    <t>AZ6941456</t>
  </si>
  <si>
    <t>US86964WAH51</t>
  </si>
  <si>
    <t>BBG00PQCR544</t>
  </si>
  <si>
    <t>AZ6941456 Corp</t>
  </si>
  <si>
    <t>ZS7837538</t>
  </si>
  <si>
    <t>US86964WAG78</t>
  </si>
  <si>
    <t>BBG00P7SPFN9</t>
  </si>
  <si>
    <t>ZS7837538 Corp</t>
  </si>
  <si>
    <t>ZS7837546</t>
  </si>
  <si>
    <t>USA8372TAK46</t>
  </si>
  <si>
    <t>BBG00P7SPFQ6</t>
  </si>
  <si>
    <t>ZS7837546 Corp</t>
  </si>
  <si>
    <t>AO1483202</t>
  </si>
  <si>
    <t>XS1577960203</t>
  </si>
  <si>
    <t>BBG00H1RMD08</t>
  </si>
  <si>
    <t>AO1483202 Corp</t>
  </si>
  <si>
    <t>AR5374095</t>
  </si>
  <si>
    <t>XS1789459473</t>
  </si>
  <si>
    <t>BBG00K6R0Q10</t>
  </si>
  <si>
    <t>AR5374095 Corp</t>
  </si>
  <si>
    <t>AR5377015</t>
  </si>
  <si>
    <t>XS1789456024</t>
  </si>
  <si>
    <t>BBG00K6R14Q1</t>
  </si>
  <si>
    <t>AR5377015 Corp</t>
  </si>
  <si>
    <t>AS3234836</t>
  </si>
  <si>
    <t>XS1813724603</t>
  </si>
  <si>
    <t>BBG00KP7QSP5</t>
  </si>
  <si>
    <t>AS3234836 Corp</t>
  </si>
  <si>
    <t>EK8001977</t>
  </si>
  <si>
    <t>XS1211044075</t>
  </si>
  <si>
    <t>BBG0088L6HJ3</t>
  </si>
  <si>
    <t>EK8001977 Corp</t>
  </si>
  <si>
    <t>EK8246317</t>
  </si>
  <si>
    <t>XS1211040917</t>
  </si>
  <si>
    <t>BBG008D1TD96</t>
  </si>
  <si>
    <t>EK8246317 Corp</t>
  </si>
  <si>
    <t>LW9395119</t>
  </si>
  <si>
    <t>XS1439749281</t>
  </si>
  <si>
    <t>BBG00DDX7596</t>
  </si>
  <si>
    <t>LW9395119 Corp</t>
  </si>
  <si>
    <t>LW9395143</t>
  </si>
  <si>
    <t>XS1439749364</t>
  </si>
  <si>
    <t>BBG00DDX7BX6</t>
  </si>
  <si>
    <t>LW9395143 Corp</t>
  </si>
  <si>
    <t>ZO4448841</t>
  </si>
  <si>
    <t>XS2198213956</t>
  </si>
  <si>
    <t>BBG00X8RHHT2</t>
  </si>
  <si>
    <t>ZO4448841 Corp</t>
  </si>
  <si>
    <t>AR5347505</t>
  </si>
  <si>
    <t>US88167AAH41</t>
  </si>
  <si>
    <t>BBG00K6QTVX5</t>
  </si>
  <si>
    <t>AR5347505 Corp</t>
  </si>
  <si>
    <t>AR5347554</t>
  </si>
  <si>
    <t>US88167AAJ07</t>
  </si>
  <si>
    <t>BBG00K6QTXV3</t>
  </si>
  <si>
    <t>AR5347554 Corp</t>
  </si>
  <si>
    <t>AR5358668</t>
  </si>
  <si>
    <t>USN8540WAA29</t>
  </si>
  <si>
    <t>BBG00K6QY593</t>
  </si>
  <si>
    <t>AR5358668 Corp</t>
  </si>
  <si>
    <t>AR5358916</t>
  </si>
  <si>
    <t>USN8540WAB02</t>
  </si>
  <si>
    <t>BBG00K6QY7Q0</t>
  </si>
  <si>
    <t>AR5358916 Corp</t>
  </si>
  <si>
    <t>AS3230792</t>
  </si>
  <si>
    <t>US88167AAL52</t>
  </si>
  <si>
    <t>BBG00KP7P8Q9</t>
  </si>
  <si>
    <t>AS3230792 Corp</t>
  </si>
  <si>
    <t>AS3231204</t>
  </si>
  <si>
    <t>US88167AAK79</t>
  </si>
  <si>
    <t>BBG00KP7PJ85</t>
  </si>
  <si>
    <t>AS3231204 Corp</t>
  </si>
  <si>
    <t>LW9258275</t>
  </si>
  <si>
    <t>US88167AAD37</t>
  </si>
  <si>
    <t>BBG00DDM04X3</t>
  </si>
  <si>
    <t>LW9258275 Corp</t>
  </si>
  <si>
    <t>LW9258408</t>
  </si>
  <si>
    <t>US88167AAE10</t>
  </si>
  <si>
    <t>BBG00DDM0BW8</t>
  </si>
  <si>
    <t>LW9258408 Corp</t>
  </si>
  <si>
    <t>LW9258564</t>
  </si>
  <si>
    <t>US88167AAF84</t>
  </si>
  <si>
    <t>BBG00DDM0L65</t>
  </si>
  <si>
    <t>LW9258564 Corp</t>
  </si>
  <si>
    <t>ZO0486696</t>
  </si>
  <si>
    <t>US88167AAN19</t>
  </si>
  <si>
    <t>BBG00WRF93S0</t>
  </si>
  <si>
    <t>ZO0486696 Corp</t>
  </si>
  <si>
    <t>ZQ5956706</t>
  </si>
  <si>
    <t>US88167AAM36</t>
  </si>
  <si>
    <t>BBG00QTZGGM6</t>
  </si>
  <si>
    <t>ZQ5956706 Corp</t>
  </si>
  <si>
    <t>ZQ5956714</t>
  </si>
  <si>
    <t>USN8540WAC84</t>
  </si>
  <si>
    <t>BBG00QTZGGN5</t>
  </si>
  <si>
    <t>ZQ5956714 Corp</t>
  </si>
  <si>
    <t>AP1175862</t>
  </si>
  <si>
    <t>AT0000A1XBU6</t>
  </si>
  <si>
    <t>BBG00HPJNKF7</t>
  </si>
  <si>
    <t>AP1175862 Corp</t>
  </si>
  <si>
    <t>AV1770131</t>
  </si>
  <si>
    <t>AT0000A23ST9</t>
  </si>
  <si>
    <t>BBG00MC0NJ73</t>
  </si>
  <si>
    <t>AV1770131 Corp</t>
  </si>
  <si>
    <t>BN1313269</t>
  </si>
  <si>
    <t>AT0000A2LJ58</t>
  </si>
  <si>
    <t>BBG00YLWJ9S1</t>
  </si>
  <si>
    <t>BN1313269 Corp</t>
  </si>
  <si>
    <t>ZQ4401522</t>
  </si>
  <si>
    <t>AT0000A2AX04</t>
  </si>
  <si>
    <t>BBG00QRWM7Q4</t>
  </si>
  <si>
    <t>ZQ4401522 Corp</t>
  </si>
  <si>
    <t>AM0198102</t>
  </si>
  <si>
    <t>FR0013230943</t>
  </si>
  <si>
    <t>BBG00FPJS480</t>
  </si>
  <si>
    <t>AM0198102 Corp</t>
  </si>
  <si>
    <t>AP0285563</t>
  </si>
  <si>
    <t>FR0013281888</t>
  </si>
  <si>
    <t>BBG00HMNXWR1</t>
  </si>
  <si>
    <t>AP0285563 Corp</t>
  </si>
  <si>
    <t>AT0446449</t>
  </si>
  <si>
    <t>FR0013342334</t>
  </si>
  <si>
    <t>BBG00L4G89D1</t>
  </si>
  <si>
    <t>AT0446449 Corp</t>
  </si>
  <si>
    <t>AX4641962</t>
  </si>
  <si>
    <t>BBG00NHKG2M0</t>
  </si>
  <si>
    <t>AX4641962 Corp</t>
  </si>
  <si>
    <t>AX4642077</t>
  </si>
  <si>
    <t>BBG00NHKG7Q5</t>
  </si>
  <si>
    <t>AX4642077 Corp</t>
  </si>
  <si>
    <t>EK0161308</t>
  </si>
  <si>
    <t>FR0011689033</t>
  </si>
  <si>
    <t>BBG005T72D73</t>
  </si>
  <si>
    <t>EK0161308 Corp</t>
  </si>
  <si>
    <t>JK3177587</t>
  </si>
  <si>
    <t>FR0013139482</t>
  </si>
  <si>
    <t>BBG00CCP4XS7</t>
  </si>
  <si>
    <t>JK3177587 Corp</t>
  </si>
  <si>
    <t>ZP0081528</t>
  </si>
  <si>
    <t>BBG00R2LKDD6</t>
  </si>
  <si>
    <t>ZP0081528 Corp</t>
  </si>
  <si>
    <t>ZP0081536</t>
  </si>
  <si>
    <t>BBG00R2LKDH2</t>
  </si>
  <si>
    <t>ZP0081536 Corp</t>
  </si>
  <si>
    <t>BT1102487</t>
  </si>
  <si>
    <t>BBG0145YZQZ6</t>
  </si>
  <si>
    <t>BT1102487 Corp</t>
  </si>
  <si>
    <t>AP6386753</t>
  </si>
  <si>
    <t>XS1707063589</t>
  </si>
  <si>
    <t>BBG00HZV7BV9</t>
  </si>
  <si>
    <t>AP6386753 Corp</t>
  </si>
  <si>
    <t>BM9066002</t>
  </si>
  <si>
    <t>XS2271356201</t>
  </si>
  <si>
    <t>BBG00YFC8JV8</t>
  </si>
  <si>
    <t>BM9066002 Corp</t>
  </si>
  <si>
    <t>ZP4279953</t>
  </si>
  <si>
    <t>XS2102392276</t>
  </si>
  <si>
    <t>BBG00RCG2FH7</t>
  </si>
  <si>
    <t>ZP4279953 Corp</t>
  </si>
  <si>
    <t>Pair nr</t>
  </si>
  <si>
    <t>slb_id</t>
  </si>
  <si>
    <t>cb_id</t>
  </si>
  <si>
    <t>Unique slbs</t>
  </si>
  <si>
    <t>Unique cbs</t>
  </si>
  <si>
    <t>slb yas</t>
  </si>
  <si>
    <t>slb ask bb</t>
  </si>
  <si>
    <t>slb ask ref</t>
  </si>
  <si>
    <t>mixed all</t>
  </si>
  <si>
    <t>diff yas ask</t>
  </si>
  <si>
    <t>avg diff</t>
  </si>
  <si>
    <t>cb yas</t>
  </si>
  <si>
    <t>cb ask bb</t>
  </si>
  <si>
    <t>Columns</t>
  </si>
  <si>
    <t>Rows</t>
  </si>
  <si>
    <t>Values</t>
  </si>
  <si>
    <t>Yld to Mty (Ask)</t>
  </si>
  <si>
    <t>Yld to Mty (Bid)</t>
  </si>
  <si>
    <t>mixed</t>
  </si>
  <si>
    <t>BG4373653 Corp</t>
  </si>
  <si>
    <t>BG5616522 Corp</t>
  </si>
  <si>
    <t>BG5616605 Corp</t>
  </si>
  <si>
    <t>BJ4743974 Corp</t>
  </si>
  <si>
    <t>BJ4744352 Corp</t>
  </si>
  <si>
    <t>BJ4744360 Corp</t>
  </si>
  <si>
    <t>BK2300865 Corp</t>
  </si>
  <si>
    <t>BK2300873 Corp</t>
  </si>
  <si>
    <t>BK2300881 Corp</t>
  </si>
  <si>
    <t>PLO144500017</t>
  </si>
  <si>
    <t>BM1904754 Corp</t>
  </si>
  <si>
    <t>BM2548139 Corp</t>
  </si>
  <si>
    <t>BM2549186 Corp</t>
  </si>
  <si>
    <t>BM3493996 Corp</t>
  </si>
  <si>
    <t>BM3494424 Corp</t>
  </si>
  <si>
    <t>BM3494432 Corp</t>
  </si>
  <si>
    <t>BM3494457 Corp</t>
  </si>
  <si>
    <t>BM3494465 Corp</t>
  </si>
  <si>
    <t>XS2261215011</t>
  </si>
  <si>
    <t>BM6017461 Corp</t>
  </si>
  <si>
    <t>FR0014000OG2</t>
  </si>
  <si>
    <t>BM6028963 Corp</t>
  </si>
  <si>
    <t>XS2254184547</t>
  </si>
  <si>
    <t>BM8015802 Corp</t>
  </si>
  <si>
    <t>PLPKN0000208</t>
  </si>
  <si>
    <t>BM9487067 Corp</t>
  </si>
  <si>
    <t>ES0205072020</t>
  </si>
  <si>
    <t>BM9791419 Corp</t>
  </si>
  <si>
    <t>FR0014000X03</t>
  </si>
  <si>
    <t>BN0249456 Corp</t>
  </si>
  <si>
    <t>FR0014000X11</t>
  </si>
  <si>
    <t>BN0253896 Corp</t>
  </si>
  <si>
    <t>FR0014000SC2</t>
  </si>
  <si>
    <t>BN0834745 Corp</t>
  </si>
  <si>
    <t>US49836AAC80</t>
  </si>
  <si>
    <t>BN3697297 Corp</t>
  </si>
  <si>
    <t>USA35155AE99</t>
  </si>
  <si>
    <t>BN3697396 Corp</t>
  </si>
  <si>
    <t>BN4942759 Corp</t>
  </si>
  <si>
    <t>BN4943351 Corp</t>
  </si>
  <si>
    <t>BN4943443 Corp</t>
  </si>
  <si>
    <t>US82883PAA21</t>
  </si>
  <si>
    <t>BN5372337 Corp</t>
  </si>
  <si>
    <t>USL8449RAA79</t>
  </si>
  <si>
    <t>BN5372345 Corp</t>
  </si>
  <si>
    <t>BN6486508 Corp</t>
  </si>
  <si>
    <t>BN6486912 Corp</t>
  </si>
  <si>
    <t>BN6486920 Corp</t>
  </si>
  <si>
    <t>BN6486938 Corp</t>
  </si>
  <si>
    <t>US62459LAA70</t>
  </si>
  <si>
    <t>BN7992819 Corp</t>
  </si>
  <si>
    <t>USL65266AA36</t>
  </si>
  <si>
    <t>BN7992835 Corp</t>
  </si>
  <si>
    <t>DE000A3H2VA6</t>
  </si>
  <si>
    <t>BN9200765 Corp</t>
  </si>
  <si>
    <t>US21039CAB00</t>
  </si>
  <si>
    <t>BN9953066 Corp</t>
  </si>
  <si>
    <t>USF21107AB74</t>
  </si>
  <si>
    <t>BN9953165 Corp</t>
  </si>
  <si>
    <t>ES0305072011</t>
  </si>
  <si>
    <t>BO0411690 Corp</t>
  </si>
  <si>
    <t>XS2303070911</t>
  </si>
  <si>
    <t>BO0866331 Corp</t>
  </si>
  <si>
    <t>BO2270474 Corp</t>
  </si>
  <si>
    <t>BO2287999 Corp</t>
  </si>
  <si>
    <t>BO2288013 Corp</t>
  </si>
  <si>
    <t>BO2288021 Corp</t>
  </si>
  <si>
    <t>BO2288039 Corp</t>
  </si>
  <si>
    <t>BO4001745 Corp</t>
  </si>
  <si>
    <t>BO4001760 Corp</t>
  </si>
  <si>
    <t>BO4001778 Corp</t>
  </si>
  <si>
    <t>XS2314265237</t>
  </si>
  <si>
    <t>BO4570236 Corp</t>
  </si>
  <si>
    <t>XS2317288301</t>
  </si>
  <si>
    <t>BO5182908 Corp</t>
  </si>
  <si>
    <t>PLO037100016</t>
  </si>
  <si>
    <t>BO6681916 Corp</t>
  </si>
  <si>
    <t>XS2326550899</t>
  </si>
  <si>
    <t>BO7346857 Corp</t>
  </si>
  <si>
    <t>XS2320746394</t>
  </si>
  <si>
    <t>BO7653054 Corp</t>
  </si>
  <si>
    <t>XS2326548562</t>
  </si>
  <si>
    <t>BO8025047 Corp</t>
  </si>
  <si>
    <t>XS2333301757</t>
  </si>
  <si>
    <t>BP0490451 Corp</t>
  </si>
  <si>
    <t>XS2333302722</t>
  </si>
  <si>
    <t>BP0490469 Corp</t>
  </si>
  <si>
    <t>XS2333301674</t>
  </si>
  <si>
    <t>BP0490477 Corp</t>
  </si>
  <si>
    <t>XS2333302052</t>
  </si>
  <si>
    <t>BP0490485 Corp</t>
  </si>
  <si>
    <t>XS2328873463</t>
  </si>
  <si>
    <t>BP0568710 Corp</t>
  </si>
  <si>
    <t>DE000BHY0SL9</t>
  </si>
  <si>
    <t>BP0671035 Corp</t>
  </si>
  <si>
    <t>XS2337326727</t>
  </si>
  <si>
    <t>BP2016262 Corp</t>
  </si>
  <si>
    <t>XS2332306344</t>
  </si>
  <si>
    <t>BP2664129 Corp</t>
  </si>
  <si>
    <t>US427169AA59</t>
  </si>
  <si>
    <t>BP2693730 Corp</t>
  </si>
  <si>
    <t>XS2340137426</t>
  </si>
  <si>
    <t>BP2693748 Corp</t>
  </si>
  <si>
    <t>USL47909AA11</t>
  </si>
  <si>
    <t>BP2693755 Corp</t>
  </si>
  <si>
    <t>XS2340137343</t>
  </si>
  <si>
    <t>BP2693763 Corp</t>
  </si>
  <si>
    <t>AT0000A2QS11</t>
  </si>
  <si>
    <t>BP3002782 Corp</t>
  </si>
  <si>
    <t>US46188AAA25</t>
  </si>
  <si>
    <t>BP3021477 Corp</t>
  </si>
  <si>
    <t>USA3R74HAA50</t>
  </si>
  <si>
    <t>BP3021485 Corp</t>
  </si>
  <si>
    <t>XS2355161956</t>
  </si>
  <si>
    <t>BP3490789 Corp</t>
  </si>
  <si>
    <t>XS2338570331</t>
  </si>
  <si>
    <t>BP3855841 Corp</t>
  </si>
  <si>
    <t>FR0014003GX7</t>
  </si>
  <si>
    <t>BP3866681 Corp</t>
  </si>
  <si>
    <t>FR0014003G27</t>
  </si>
  <si>
    <t>BP4319292 Corp</t>
  </si>
  <si>
    <t>XS2335148701</t>
  </si>
  <si>
    <t>BP5467942 Corp</t>
  </si>
  <si>
    <t>XS2335148024</t>
  </si>
  <si>
    <t>BP5467959 Corp</t>
  </si>
  <si>
    <t>XS2344772426</t>
  </si>
  <si>
    <t>BP7949749 Corp</t>
  </si>
  <si>
    <t>NO0011017113</t>
  </si>
  <si>
    <t>BP8607064 Corp</t>
  </si>
  <si>
    <t>XS2344735811</t>
  </si>
  <si>
    <t>BP8798616 Corp</t>
  </si>
  <si>
    <t>BP9767255 Corp</t>
  </si>
  <si>
    <t>BP9768873 Corp</t>
  </si>
  <si>
    <t>BP9785794 Corp</t>
  </si>
  <si>
    <t>BP9786156 Corp</t>
  </si>
  <si>
    <t>XS2353182020</t>
  </si>
  <si>
    <t>BP9829774 Corp</t>
  </si>
  <si>
    <t>XS2353182293</t>
  </si>
  <si>
    <t>BP9829808 Corp</t>
  </si>
  <si>
    <t>XS2353182376</t>
  </si>
  <si>
    <t>BP9829816 Corp</t>
  </si>
  <si>
    <t>US46592QAA76</t>
  </si>
  <si>
    <t>BP9865349 Corp</t>
  </si>
  <si>
    <t>USL5S59NAA30</t>
  </si>
  <si>
    <t>BP9865356 Corp</t>
  </si>
  <si>
    <t>FR0014003YP6</t>
  </si>
  <si>
    <t>BP9946271 Corp</t>
  </si>
  <si>
    <t>XS2353270239</t>
  </si>
  <si>
    <t>BQ0031691 Corp</t>
  </si>
  <si>
    <t>BQ1161117 Corp</t>
  </si>
  <si>
    <t>BQ1161786 Corp</t>
  </si>
  <si>
    <t>BQ1161794 Corp</t>
  </si>
  <si>
    <t>XS2358383896</t>
  </si>
  <si>
    <t>BQ1586537 Corp</t>
  </si>
  <si>
    <t>XS2358383466</t>
  </si>
  <si>
    <t>BQ1586552 Corp</t>
  </si>
  <si>
    <t>BQ2320183 Corp</t>
  </si>
  <si>
    <t>BQ2321892 Corp</t>
  </si>
  <si>
    <t>XS2361343267</t>
  </si>
  <si>
    <t>BQ2953850 Corp</t>
  </si>
  <si>
    <t>XS2361343770</t>
  </si>
  <si>
    <t>BQ2953868 Corp</t>
  </si>
  <si>
    <t>XS2361345478</t>
  </si>
  <si>
    <t>BQ2953876 Corp</t>
  </si>
  <si>
    <t>XS2361342889</t>
  </si>
  <si>
    <t>BQ2953892 Corp</t>
  </si>
  <si>
    <t>XS2361343697</t>
  </si>
  <si>
    <t>BQ2954189 Corp</t>
  </si>
  <si>
    <t>XS2361344315</t>
  </si>
  <si>
    <t>BQ2954205 Corp</t>
  </si>
  <si>
    <t>US86964WAK80</t>
  </si>
  <si>
    <t>BQ2995893 Corp</t>
  </si>
  <si>
    <t>XS2361358299</t>
  </si>
  <si>
    <t>BQ3131753 Corp</t>
  </si>
  <si>
    <t>XS2361358539</t>
  </si>
  <si>
    <t>BQ3131761 Corp</t>
  </si>
  <si>
    <t>XS2364001078</t>
  </si>
  <si>
    <t>BQ3956720 Corp</t>
  </si>
  <si>
    <t>US29278GAM06</t>
  </si>
  <si>
    <t>BQ4396710 Corp</t>
  </si>
  <si>
    <t>US29278GAN88</t>
  </si>
  <si>
    <t>BQ4396728 Corp</t>
  </si>
  <si>
    <t>US29278GAP37</t>
  </si>
  <si>
    <t>BQ4396736 Corp</t>
  </si>
  <si>
    <t>US29278GAQ10</t>
  </si>
  <si>
    <t>BQ4396744 Corp</t>
  </si>
  <si>
    <t>USN30706VC11</t>
  </si>
  <si>
    <t>BQ4396769 Corp</t>
  </si>
  <si>
    <t>USN30706VD93</t>
  </si>
  <si>
    <t>BQ4396777 Corp</t>
  </si>
  <si>
    <t>USN30706VE76</t>
  </si>
  <si>
    <t>BQ4396785 Corp</t>
  </si>
  <si>
    <t>USN30706VF42</t>
  </si>
  <si>
    <t>BQ4396793 Corp</t>
  </si>
  <si>
    <t>XS2359929812</t>
  </si>
  <si>
    <t>BQ5041802 Corp</t>
  </si>
  <si>
    <t>FR0014004UE6</t>
  </si>
  <si>
    <t>BQ6920418 Corp</t>
  </si>
  <si>
    <t>BR0363092 Corp</t>
  </si>
  <si>
    <t>BR0363373 Corp</t>
  </si>
  <si>
    <t>XS2382209125</t>
  </si>
  <si>
    <t>BR1756716 Corp</t>
  </si>
  <si>
    <t>XS2385389551</t>
  </si>
  <si>
    <t>BR3184446 Corp</t>
  </si>
  <si>
    <t>XS2385390724</t>
  </si>
  <si>
    <t>BR3193496 Corp</t>
  </si>
  <si>
    <t>US86964WAL63</t>
  </si>
  <si>
    <t>BR3636874 Corp</t>
  </si>
  <si>
    <t>XS2389120325</t>
  </si>
  <si>
    <t>BR4160098 Corp</t>
  </si>
  <si>
    <t>XS2389112736</t>
  </si>
  <si>
    <t>BR4193255 Corp</t>
  </si>
  <si>
    <t>US47837RAD26</t>
  </si>
  <si>
    <t>BR4231683 Corp</t>
  </si>
  <si>
    <t>US781467AE54</t>
  </si>
  <si>
    <t>BR4709829 Corp</t>
  </si>
  <si>
    <t>USL79090AD51</t>
  </si>
  <si>
    <t>BR4709845 Corp</t>
  </si>
  <si>
    <t>SE0013360476</t>
  </si>
  <si>
    <t>BR5281596 Corp</t>
  </si>
  <si>
    <t>XS2390400633</t>
  </si>
  <si>
    <t>BR5522767 Corp</t>
  </si>
  <si>
    <t>XS2390400716</t>
  </si>
  <si>
    <t>BR5522783 Corp</t>
  </si>
  <si>
    <t>XS2390400807</t>
  </si>
  <si>
    <t>BR5522809 Corp</t>
  </si>
  <si>
    <t>FR0014005OK3</t>
  </si>
  <si>
    <t>BR6431919 Corp</t>
  </si>
  <si>
    <t>ES0229743002</t>
  </si>
  <si>
    <t>BR6478951 Corp</t>
  </si>
  <si>
    <t>BR6744469 Corp</t>
  </si>
  <si>
    <t>BR6752157 Corp</t>
  </si>
  <si>
    <t>BR6756869 Corp</t>
  </si>
  <si>
    <t>XS2393539593</t>
  </si>
  <si>
    <t>BR7204091 Corp</t>
  </si>
  <si>
    <t>XS2397355095</t>
  </si>
  <si>
    <t>BR7695454 Corp</t>
  </si>
  <si>
    <t>XS2397354288</t>
  </si>
  <si>
    <t>BR7695462 Corp</t>
  </si>
  <si>
    <t>XS2397354528</t>
  </si>
  <si>
    <t>BR7695512 Corp</t>
  </si>
  <si>
    <t>XS2397354015</t>
  </si>
  <si>
    <t>BR7695538 Corp</t>
  </si>
  <si>
    <t>XS2395419844</t>
  </si>
  <si>
    <t>BR8722620 Corp</t>
  </si>
  <si>
    <t>XS2399933386</t>
  </si>
  <si>
    <t>BR8975129 Corp</t>
  </si>
  <si>
    <t>XS2393520734</t>
  </si>
  <si>
    <t>BS0195161 Corp</t>
  </si>
  <si>
    <t>BS0343308 Corp</t>
  </si>
  <si>
    <t>BS0344702 Corp</t>
  </si>
  <si>
    <t>BS0345642 Corp</t>
  </si>
  <si>
    <t>XS2399981435</t>
  </si>
  <si>
    <t>BS1023271 Corp</t>
  </si>
  <si>
    <t>SE0017072457</t>
  </si>
  <si>
    <t>BS1439477 Corp</t>
  </si>
  <si>
    <t>BS1742383 Corp</t>
  </si>
  <si>
    <t>BS1742524 Corp</t>
  </si>
  <si>
    <t>BS1742532 Corp</t>
  </si>
  <si>
    <t>BS1742540 Corp</t>
  </si>
  <si>
    <t>XS2406607098</t>
  </si>
  <si>
    <t>BS1759346 Corp</t>
  </si>
  <si>
    <t>XS2406607171</t>
  </si>
  <si>
    <t>BS1759429 Corp</t>
  </si>
  <si>
    <t>US88167AAQ40</t>
  </si>
  <si>
    <t>BS1759452 Corp</t>
  </si>
  <si>
    <t>US88167AAP66</t>
  </si>
  <si>
    <t>BS1775391 Corp</t>
  </si>
  <si>
    <t>FR0014006G24</t>
  </si>
  <si>
    <t>BS1954855 Corp</t>
  </si>
  <si>
    <t>BS2203120 Corp</t>
  </si>
  <si>
    <t>BS2205612 Corp</t>
  </si>
  <si>
    <t>BS2206420 Corp</t>
  </si>
  <si>
    <t>BS2209622 Corp</t>
  </si>
  <si>
    <t>XS2406727409</t>
  </si>
  <si>
    <t>BS2397401 Corp</t>
  </si>
  <si>
    <t>XS2406727151</t>
  </si>
  <si>
    <t>BS2397476 Corp</t>
  </si>
  <si>
    <t>XS2403428472</t>
  </si>
  <si>
    <t>BS2667019 Corp</t>
  </si>
  <si>
    <t>XS2405483301</t>
  </si>
  <si>
    <t>BS2687603 Corp</t>
  </si>
  <si>
    <t>FR0014006EG0</t>
  </si>
  <si>
    <t>BS2913736 Corp</t>
  </si>
  <si>
    <t>XS2406890066</t>
  </si>
  <si>
    <t>BS3080196 Corp</t>
  </si>
  <si>
    <t>XS2407955827</t>
  </si>
  <si>
    <t>BS3838106 Corp</t>
  </si>
  <si>
    <t>XS2407954002</t>
  </si>
  <si>
    <t>BS3838114 Corp</t>
  </si>
  <si>
    <t>SE0013360534</t>
  </si>
  <si>
    <t>BS4766942 Corp</t>
  </si>
  <si>
    <t>SE0013360542</t>
  </si>
  <si>
    <t>BS4766959 Corp</t>
  </si>
  <si>
    <t>FR0014006ND8</t>
  </si>
  <si>
    <t>BS4767460 Corp</t>
  </si>
  <si>
    <t>XS2412267358</t>
  </si>
  <si>
    <t>BS4792864 Corp</t>
  </si>
  <si>
    <t>XS2412267515</t>
  </si>
  <si>
    <t>BS4792872 Corp</t>
  </si>
  <si>
    <t>XS2412267788</t>
  </si>
  <si>
    <t>BS4792906 Corp</t>
  </si>
  <si>
    <t>FR0014004UD8</t>
  </si>
  <si>
    <t>BS4845456 Corp</t>
  </si>
  <si>
    <t>FR0014004UB2</t>
  </si>
  <si>
    <t>BS4847320 Corp</t>
  </si>
  <si>
    <t>FR0014004UC0</t>
  </si>
  <si>
    <t>BS4848583 Corp</t>
  </si>
  <si>
    <t>PTMENYOM0005</t>
  </si>
  <si>
    <t>BS5188310 Corp</t>
  </si>
  <si>
    <t>SE0013360559</t>
  </si>
  <si>
    <t>BS5495509 Corp</t>
  </si>
  <si>
    <t>XS2415386726</t>
  </si>
  <si>
    <t>BS5948655 Corp</t>
  </si>
  <si>
    <t>XS2414830963</t>
  </si>
  <si>
    <t>BS5958647 Corp</t>
  </si>
  <si>
    <t>SE0017085285</t>
  </si>
  <si>
    <t>BS6174186 Corp</t>
  </si>
  <si>
    <t>XS2417499832</t>
  </si>
  <si>
    <t>BS6180258 Corp</t>
  </si>
  <si>
    <t>XS2417486771</t>
  </si>
  <si>
    <t>BS6180290 Corp</t>
  </si>
  <si>
    <t>SE0016274260</t>
  </si>
  <si>
    <t>BS8106574 Corp</t>
  </si>
  <si>
    <t>SE0016274278</t>
  </si>
  <si>
    <t>BS8106590 Corp</t>
  </si>
  <si>
    <t>GRC145121CD2</t>
  </si>
  <si>
    <t>BS8796234 Corp</t>
  </si>
  <si>
    <t>BS8814508 Corp</t>
  </si>
  <si>
    <t>BS8816255 Corp</t>
  </si>
  <si>
    <t>BS8816669 Corp</t>
  </si>
  <si>
    <t>SE0016831150</t>
  </si>
  <si>
    <t>BS9540193 Corp</t>
  </si>
  <si>
    <t>BS9926319 Corp</t>
  </si>
  <si>
    <t>BS9926327 Corp</t>
  </si>
  <si>
    <t>BT2413768 Corp</t>
  </si>
  <si>
    <t>BT2413925 Corp</t>
  </si>
  <si>
    <t>BT2413933 Corp</t>
  </si>
  <si>
    <t>BT2413941 Corp</t>
  </si>
  <si>
    <t>BT2413966 Corp</t>
  </si>
  <si>
    <t>BT2751928 Corp</t>
  </si>
  <si>
    <t>BT2751951 Corp</t>
  </si>
  <si>
    <t>XS2431016034</t>
  </si>
  <si>
    <t>BT3367682 Corp</t>
  </si>
  <si>
    <t>XS2431015655</t>
  </si>
  <si>
    <t>BT3367799 Corp</t>
  </si>
  <si>
    <t>USN9T19KAA74</t>
  </si>
  <si>
    <t>BT3408114 Corp</t>
  </si>
  <si>
    <t>US91845AAA34</t>
  </si>
  <si>
    <t>BT3408833 Corp</t>
  </si>
  <si>
    <t>XS2432162654</t>
  </si>
  <si>
    <t>BT3966533 Corp</t>
  </si>
  <si>
    <t>XS2432293673</t>
  </si>
  <si>
    <t>BT4292533 Corp</t>
  </si>
  <si>
    <t>XS2432293756</t>
  </si>
  <si>
    <t>BT4292558 Corp</t>
  </si>
  <si>
    <t>XS2432293913</t>
  </si>
  <si>
    <t>BT4292566 Corp</t>
  </si>
  <si>
    <t>XS2433211310</t>
  </si>
  <si>
    <t>BT4343112 Corp</t>
  </si>
  <si>
    <t>XS2433226854</t>
  </si>
  <si>
    <t>BT4343138 Corp</t>
  </si>
  <si>
    <t>BT5670141 Corp</t>
  </si>
  <si>
    <t>BT5673616 Corp</t>
  </si>
  <si>
    <t>BT5673632 Corp</t>
  </si>
  <si>
    <t>BT5673640 Corp</t>
  </si>
  <si>
    <t>BT5673665 Corp</t>
  </si>
  <si>
    <t>BT5673673 Corp</t>
  </si>
  <si>
    <t>BT5673681 Corp</t>
  </si>
  <si>
    <t>BT5673699 Corp</t>
  </si>
  <si>
    <t>BT5673707 Corp</t>
  </si>
  <si>
    <t>BT5673772 Corp</t>
  </si>
  <si>
    <t>XS2437324333</t>
  </si>
  <si>
    <t>BT5681023 Corp</t>
  </si>
  <si>
    <t>XS2436585355</t>
  </si>
  <si>
    <t>BT9871315 Corp</t>
  </si>
  <si>
    <t>XS2436586247</t>
  </si>
  <si>
    <t>BT9871331 Corp</t>
  </si>
  <si>
    <t>SE0013883428</t>
  </si>
  <si>
    <t>BU3126846 Corp</t>
  </si>
  <si>
    <t>XS2449928543</t>
  </si>
  <si>
    <t>BU6749503 Corp</t>
  </si>
  <si>
    <t>XS2449929517</t>
  </si>
  <si>
    <t>BU6749586 Corp</t>
  </si>
  <si>
    <t>BU9302615 Corp</t>
  </si>
  <si>
    <t>BU9303993 Corp</t>
  </si>
  <si>
    <t>XS2457496359</t>
  </si>
  <si>
    <t>BV1138858 Corp</t>
  </si>
  <si>
    <t>XS2459163619</t>
  </si>
  <si>
    <t>BV2249076 Corp</t>
  </si>
  <si>
    <t>FR0014009EJ8</t>
  </si>
  <si>
    <t>BV4081634 Corp</t>
  </si>
  <si>
    <t>BV4095907 Corp</t>
  </si>
  <si>
    <t>FR0014009DZ6</t>
  </si>
  <si>
    <t>BV4439030 Corp</t>
  </si>
  <si>
    <t>FR0014009E07</t>
  </si>
  <si>
    <t>BV4439048 Corp</t>
  </si>
  <si>
    <t>SE0017767346</t>
  </si>
  <si>
    <t>BV5219233 Corp</t>
  </si>
  <si>
    <t>XS2463988795</t>
  </si>
  <si>
    <t>BV5722137 Corp</t>
  </si>
  <si>
    <t>XS2461786829</t>
  </si>
  <si>
    <t>BV5734215 Corp</t>
  </si>
  <si>
    <t>FR0014009KQ0</t>
  </si>
  <si>
    <t>BV6300149 Corp</t>
  </si>
  <si>
    <t>FR0014009L57</t>
  </si>
  <si>
    <t>BV6300610 Corp</t>
  </si>
  <si>
    <t>XS2463990775</t>
  </si>
  <si>
    <t>BV6301808 Corp</t>
  </si>
  <si>
    <t>XS2463497201</t>
  </si>
  <si>
    <t>BV6871503 Corp</t>
  </si>
  <si>
    <t>XS2466363202</t>
  </si>
  <si>
    <t>BV7154339 Corp</t>
  </si>
  <si>
    <t>FI4000519178</t>
  </si>
  <si>
    <t>BV7160799 Corp</t>
  </si>
  <si>
    <t>US46653KAC27</t>
  </si>
  <si>
    <t>BV7511991 Corp</t>
  </si>
  <si>
    <t>USN4717KBG06</t>
  </si>
  <si>
    <t>BV7512007 Corp</t>
  </si>
  <si>
    <t>US03965TAB98</t>
  </si>
  <si>
    <t>BW0558104 Corp</t>
  </si>
  <si>
    <t>USP04568AB06</t>
  </si>
  <si>
    <t>BW0558112 Corp</t>
  </si>
  <si>
    <t>US00775CAB28</t>
  </si>
  <si>
    <t>BW1911534 Corp</t>
  </si>
  <si>
    <t>USL01343AA79</t>
  </si>
  <si>
    <t>BW1912169 Corp</t>
  </si>
  <si>
    <t>ZO2068393 Corp</t>
  </si>
  <si>
    <t>ZO2076883 Corp</t>
  </si>
  <si>
    <t>ZO2076966 Corp</t>
  </si>
  <si>
    <t>ZO4338356 Corp</t>
  </si>
  <si>
    <t>ZO4339248 Corp</t>
  </si>
  <si>
    <t>ZO4339677 Corp</t>
  </si>
  <si>
    <t>ZO4339917 Corp</t>
  </si>
  <si>
    <t>US86964WAJ18</t>
  </si>
  <si>
    <t>ZO4406484 Corp</t>
  </si>
  <si>
    <t>ZO4853784 Corp</t>
  </si>
  <si>
    <t>ZO4854253 Corp</t>
  </si>
  <si>
    <t>ZO4854261 Corp</t>
  </si>
  <si>
    <t>XS2235996217</t>
  </si>
  <si>
    <t>ZO5119995 Corp</t>
  </si>
  <si>
    <t>XS2244418609</t>
  </si>
  <si>
    <t>ZO9275116 Corp</t>
  </si>
  <si>
    <t>ZO9796350 Corp</t>
  </si>
  <si>
    <t>ZO9796368 Corp</t>
  </si>
  <si>
    <t>ZP4289051 Corp</t>
  </si>
  <si>
    <t>ZP4289689 Corp</t>
  </si>
  <si>
    <t>ZP5663015 Corp</t>
  </si>
  <si>
    <t>ZP5670580 Corp</t>
  </si>
  <si>
    <t>ZP5670671 Corp</t>
  </si>
  <si>
    <t>XS2066706818</t>
  </si>
  <si>
    <t>ZQ0626247 Corp</t>
  </si>
  <si>
    <t>XS2066706909</t>
  </si>
  <si>
    <t>ZQ0626254 Corp</t>
  </si>
  <si>
    <t>XS2066706735</t>
  </si>
  <si>
    <t>ZQ0626262 Corp</t>
  </si>
  <si>
    <t>ZQ3524308 Corp</t>
  </si>
  <si>
    <t>ZQ3724734 Corp</t>
  </si>
  <si>
    <t>ZQ3724742 Corp</t>
  </si>
  <si>
    <t>ZQ3724759 Corp</t>
  </si>
  <si>
    <t>ZQ3724767 Corp</t>
  </si>
  <si>
    <t>ZQ3885113 Corp</t>
  </si>
  <si>
    <t>ZQ3885279 Corp</t>
  </si>
  <si>
    <t>US29278GAL23</t>
  </si>
  <si>
    <t>ZR4855485 Corp</t>
  </si>
  <si>
    <t>USN30707AM05</t>
  </si>
  <si>
    <t>ZR4855493 Corp</t>
  </si>
  <si>
    <t>ZS6974621 Corp</t>
  </si>
  <si>
    <t>ZS6974936 Corp</t>
  </si>
  <si>
    <t>ZS6974944 Corp</t>
  </si>
  <si>
    <t>ZS6974969 Corp</t>
  </si>
  <si>
    <t>ZS6974977 Corp</t>
  </si>
  <si>
    <t>ZS6974985 Corp</t>
  </si>
  <si>
    <t>2017-01-11</t>
  </si>
  <si>
    <t>2023-01-11</t>
  </si>
  <si>
    <t>2017-01-17</t>
  </si>
  <si>
    <t>2027-01-15</t>
  </si>
  <si>
    <t>2027-01-17</t>
  </si>
  <si>
    <t>2017-01-25</t>
  </si>
  <si>
    <t>2025-01-25</t>
  </si>
  <si>
    <t>2024-01-25</t>
  </si>
  <si>
    <t>2017-02-22</t>
  </si>
  <si>
    <t>2025-02-21</t>
  </si>
  <si>
    <t>200</t>
  </si>
  <si>
    <t>2017-03-03</t>
  </si>
  <si>
    <t>2024-09-03</t>
  </si>
  <si>
    <t>2017-03-16</t>
  </si>
  <si>
    <t>2047-03-16</t>
  </si>
  <si>
    <t>2024-03-16</t>
  </si>
  <si>
    <t>2017-05-18</t>
  </si>
  <si>
    <t>2024-05-22</t>
  </si>
  <si>
    <t>2028-05-18</t>
  </si>
  <si>
    <t>2017-03-30</t>
  </si>
  <si>
    <t>2017-03-31</t>
  </si>
  <si>
    <t>2027-09-30</t>
  </si>
  <si>
    <t>2017-05-25</t>
  </si>
  <si>
    <t>2047-05-25</t>
  </si>
  <si>
    <t>2027-05-25</t>
  </si>
  <si>
    <t>2017-06-08</t>
  </si>
  <si>
    <t>2027-06-08</t>
  </si>
  <si>
    <t>2017-06-14</t>
  </si>
  <si>
    <t>2023-06-14</t>
  </si>
  <si>
    <t>2017-06-07</t>
  </si>
  <si>
    <t>2025-06-07</t>
  </si>
  <si>
    <t>2017-07-05</t>
  </si>
  <si>
    <t>2027-07-05</t>
  </si>
  <si>
    <t>2017-07-06</t>
  </si>
  <si>
    <t>2032-07-06</t>
  </si>
  <si>
    <t>2024-07-06</t>
  </si>
  <si>
    <t>2017-08-02</t>
  </si>
  <si>
    <t>2024-08-02</t>
  </si>
  <si>
    <t>2017-08-29</t>
  </si>
  <si>
    <t>2029-08-29</t>
  </si>
  <si>
    <t>2017-09-05</t>
  </si>
  <si>
    <t>2024-01-05</t>
  </si>
  <si>
    <t>203</t>
  </si>
  <si>
    <t>2017-09-12</t>
  </si>
  <si>
    <t>2022-09-12</t>
  </si>
  <si>
    <t>2017-09-15</t>
  </si>
  <si>
    <t>2025-03-14</t>
  </si>
  <si>
    <t>2017-09-19</t>
  </si>
  <si>
    <t>2024-09-19</t>
  </si>
  <si>
    <t>2017-10-11</t>
  </si>
  <si>
    <t>2022-10-11</t>
  </si>
  <si>
    <t>2017-10-06</t>
  </si>
  <si>
    <t>2017-10-10</t>
  </si>
  <si>
    <t>2024-10-10</t>
  </si>
  <si>
    <t>2017-10-09</t>
  </si>
  <si>
    <t>2023-10-09</t>
  </si>
  <si>
    <t>2017-10-25</t>
  </si>
  <si>
    <t>2027-10-25</t>
  </si>
  <si>
    <t>2017-10-19</t>
  </si>
  <si>
    <t>2027-10-19</t>
  </si>
  <si>
    <t>2017-10-26</t>
  </si>
  <si>
    <t>2024-10-26</t>
  </si>
  <si>
    <t>2017-11-09</t>
  </si>
  <si>
    <t>2026-02-15</t>
  </si>
  <si>
    <t>2024-10-06</t>
  </si>
  <si>
    <t>2017-12-13</t>
  </si>
  <si>
    <t>2017-12-20</t>
  </si>
  <si>
    <t>2022-12-08</t>
  </si>
  <si>
    <t>2018-01-04</t>
  </si>
  <si>
    <t>2023-01-04</t>
  </si>
  <si>
    <t>2018-02-08</t>
  </si>
  <si>
    <t>2028-02-08</t>
  </si>
  <si>
    <t>2018-02-14</t>
  </si>
  <si>
    <t>2023-08-14</t>
  </si>
  <si>
    <t>2030-08-14</t>
  </si>
  <si>
    <t>2038-08-14</t>
  </si>
  <si>
    <t>2018-02-15</t>
  </si>
  <si>
    <t>2023-02-15</t>
  </si>
  <si>
    <t>2018-02-26</t>
  </si>
  <si>
    <t>2026-02-26</t>
  </si>
  <si>
    <t>207</t>
  </si>
  <si>
    <t>2018-03-08</t>
  </si>
  <si>
    <t>2025-06-15</t>
  </si>
  <si>
    <t>2018-03-06</t>
  </si>
  <si>
    <t>2026-03-06</t>
  </si>
  <si>
    <t>2018-03-14</t>
  </si>
  <si>
    <t>2024-04-15</t>
  </si>
  <si>
    <t>2028-03-01</t>
  </si>
  <si>
    <t>2025-03-01</t>
  </si>
  <si>
    <t>2018-03-19</t>
  </si>
  <si>
    <t>2026-03-19</t>
  </si>
  <si>
    <t>2018-03-21</t>
  </si>
  <si>
    <t>2023-03-21</t>
  </si>
  <si>
    <t>2038-03-21</t>
  </si>
  <si>
    <t>2030-03-21</t>
  </si>
  <si>
    <t>2026-03-21</t>
  </si>
  <si>
    <t>2018-03-27</t>
  </si>
  <si>
    <t>2024-03-27</t>
  </si>
  <si>
    <t>2018-04-04</t>
  </si>
  <si>
    <t>2025-04-04</t>
  </si>
  <si>
    <t>2018-05-03</t>
  </si>
  <si>
    <t>2024-04-30</t>
  </si>
  <si>
    <t>2018-05-17</t>
  </si>
  <si>
    <t>2018-05-14</t>
  </si>
  <si>
    <t>2023-05-14</t>
  </si>
  <si>
    <t>2024-05-14</t>
  </si>
  <si>
    <t>2025-05-14</t>
  </si>
  <si>
    <t>2018-01-12</t>
  </si>
  <si>
    <t>2023-01-12</t>
  </si>
  <si>
    <t>2025-01-12</t>
  </si>
  <si>
    <t>2018-05-16</t>
  </si>
  <si>
    <t>2025-05-16</t>
  </si>
  <si>
    <t>2018-05-30</t>
  </si>
  <si>
    <t>2023-05-30</t>
  </si>
  <si>
    <t>2018-06-05</t>
  </si>
  <si>
    <t>2022-06-05</t>
  </si>
  <si>
    <t>2018-06-12</t>
  </si>
  <si>
    <t>2023-06-12</t>
  </si>
  <si>
    <t>2018-07-19</t>
  </si>
  <si>
    <t>2023-07-19</t>
  </si>
  <si>
    <t>2025-07-19</t>
  </si>
  <si>
    <t>2018-06-25</t>
  </si>
  <si>
    <t>2026-06-25</t>
  </si>
  <si>
    <t>2018-06-18</t>
  </si>
  <si>
    <t>2025-06-18</t>
  </si>
  <si>
    <t>2018-06-19</t>
  </si>
  <si>
    <t>2023-06-19</t>
  </si>
  <si>
    <t>2028-06-19</t>
  </si>
  <si>
    <t>2018-06-21</t>
  </si>
  <si>
    <t>2027-06-21</t>
  </si>
  <si>
    <t>2018-07-16</t>
  </si>
  <si>
    <t>2023-07-16</t>
  </si>
  <si>
    <t>2029-06-25</t>
  </si>
  <si>
    <t>2022-06-19</t>
  </si>
  <si>
    <t>2018-05-15</t>
  </si>
  <si>
    <t>2023-05-15</t>
  </si>
  <si>
    <t>2025-05-15</t>
  </si>
  <si>
    <t>2018-07-09</t>
  </si>
  <si>
    <t>2022-10-10</t>
  </si>
  <si>
    <t>2018-07-13</t>
  </si>
  <si>
    <t>2022-07-13</t>
  </si>
  <si>
    <t>2018-07-18</t>
  </si>
  <si>
    <t>2025-07-18</t>
  </si>
  <si>
    <t>2018-08-27</t>
  </si>
  <si>
    <t>2023-08-28</t>
  </si>
  <si>
    <t>2024-07-18</t>
  </si>
  <si>
    <t>2018-09-06</t>
  </si>
  <si>
    <t>2023-09-06</t>
  </si>
  <si>
    <t>2018-09-12</t>
  </si>
  <si>
    <t>2023-09-12</t>
  </si>
  <si>
    <t>2028-09-12</t>
  </si>
  <si>
    <t>2018-10-25</t>
  </si>
  <si>
    <t>2023-10-25</t>
  </si>
  <si>
    <t>2025-10-25</t>
  </si>
  <si>
    <t>2028-10-25</t>
  </si>
  <si>
    <t>2018-09-18</t>
  </si>
  <si>
    <t>2023-09-18</t>
  </si>
  <si>
    <t>2018-09-14</t>
  </si>
  <si>
    <t>2029-06-14</t>
  </si>
  <si>
    <t>2018-09-20</t>
  </si>
  <si>
    <t>2023-09-20</t>
  </si>
  <si>
    <t>2029-01-15</t>
  </si>
  <si>
    <t>2018-10-16</t>
  </si>
  <si>
    <t>2028-10-16</t>
  </si>
  <si>
    <t>2018-11-16</t>
  </si>
  <si>
    <t>2023-11-16</t>
  </si>
  <si>
    <t>2018-11-07</t>
  </si>
  <si>
    <t>2025-05-07</t>
  </si>
  <si>
    <t>2018-11-06</t>
  </si>
  <si>
    <t>2028-11-06</t>
  </si>
  <si>
    <t>2022-05-07</t>
  </si>
  <si>
    <t>2028-11-07</t>
  </si>
  <si>
    <t>2018-11-28</t>
  </si>
  <si>
    <t>2022-11-28</t>
  </si>
  <si>
    <t>2018-12-20</t>
  </si>
  <si>
    <t>2022-12-20</t>
  </si>
  <si>
    <t>2024-12-20</t>
  </si>
  <si>
    <t>2023-12-20</t>
  </si>
  <si>
    <t>2018-12-04</t>
  </si>
  <si>
    <t>2026-05-04</t>
  </si>
  <si>
    <t>2018-12-06</t>
  </si>
  <si>
    <t>2018-12-10</t>
  </si>
  <si>
    <t>2028-12-08</t>
  </si>
  <si>
    <t>2018-12-12</t>
  </si>
  <si>
    <t>2028-12-12</t>
  </si>
  <si>
    <t>212</t>
  </si>
  <si>
    <t>2019-01-15</t>
  </si>
  <si>
    <t>2028-01-15</t>
  </si>
  <si>
    <t>2019-02-04</t>
  </si>
  <si>
    <t>2026-02-04</t>
  </si>
  <si>
    <t>2019-02-05</t>
  </si>
  <si>
    <t>2026-02-05</t>
  </si>
  <si>
    <t>2019-02-28</t>
  </si>
  <si>
    <t>2025-08-28</t>
  </si>
  <si>
    <t>2019-02-12</t>
  </si>
  <si>
    <t>2024-02-12</t>
  </si>
  <si>
    <t>2019-03-21</t>
  </si>
  <si>
    <t>2027-03-21</t>
  </si>
  <si>
    <t>2019-02-26</t>
  </si>
  <si>
    <t>2024-02-26</t>
  </si>
  <si>
    <t>2019-04-09</t>
  </si>
  <si>
    <t>2025-04-09</t>
  </si>
  <si>
    <t>2023-04-09</t>
  </si>
  <si>
    <t>2029-03-21</t>
  </si>
  <si>
    <t>2034-03-21</t>
  </si>
  <si>
    <t>2019-03-27</t>
  </si>
  <si>
    <t>2019-04-03</t>
  </si>
  <si>
    <t>2029-04-03</t>
  </si>
  <si>
    <t>2019-06-24</t>
  </si>
  <si>
    <t>2028-06-24</t>
  </si>
  <si>
    <t>2019-06-26</t>
  </si>
  <si>
    <t>2024-06-26</t>
  </si>
  <si>
    <t>2019-05-04</t>
  </si>
  <si>
    <t>2023-05-04</t>
  </si>
  <si>
    <t>2019-04-02</t>
  </si>
  <si>
    <t>2024-04-02</t>
  </si>
  <si>
    <t>2019-01-20</t>
  </si>
  <si>
    <t>2025-01-20</t>
  </si>
  <si>
    <t>2019-08-14</t>
  </si>
  <si>
    <t>2030-01-15</t>
  </si>
  <si>
    <t>2019-08-09</t>
  </si>
  <si>
    <t>2022-08-09</t>
  </si>
  <si>
    <t>2020-02-18</t>
  </si>
  <si>
    <t>2026-02-18</t>
  </si>
  <si>
    <t>2020-03-04</t>
  </si>
  <si>
    <t>2050-03-04</t>
  </si>
  <si>
    <t>2020-03-11</t>
  </si>
  <si>
    <t>2029-03-11</t>
  </si>
  <si>
    <t>2020-03-13</t>
  </si>
  <si>
    <t>2023-03-13</t>
  </si>
  <si>
    <t>2025-03-13</t>
  </si>
  <si>
    <t>2020-03-30</t>
  </si>
  <si>
    <t>2025-04-01</t>
  </si>
  <si>
    <t>2030-04-01</t>
  </si>
  <si>
    <t>2020-04-01</t>
  </si>
  <si>
    <t>2027-12-15</t>
  </si>
  <si>
    <t>2020-04-02</t>
  </si>
  <si>
    <t>2027-04-02</t>
  </si>
  <si>
    <t>2025-04-07</t>
  </si>
  <si>
    <t>2030-04-08</t>
  </si>
  <si>
    <t>2020-04-09</t>
  </si>
  <si>
    <t>2027-04-09</t>
  </si>
  <si>
    <t>2020-04-17</t>
  </si>
  <si>
    <t>2027-04-17</t>
  </si>
  <si>
    <t>2035-04-17</t>
  </si>
  <si>
    <t>2020-04-28</t>
  </si>
  <si>
    <t>2023-04-28</t>
  </si>
  <si>
    <t>2020-04-22</t>
  </si>
  <si>
    <t>2024-04-22</t>
  </si>
  <si>
    <t>2020-05-04</t>
  </si>
  <si>
    <t>2023-06-28</t>
  </si>
  <si>
    <t>2020-04-30</t>
  </si>
  <si>
    <t>2020-05-18</t>
  </si>
  <si>
    <t>2026-05-18</t>
  </si>
  <si>
    <t>2031-05-18</t>
  </si>
  <si>
    <t>2020-05-20</t>
  </si>
  <si>
    <t>2030-05-20</t>
  </si>
  <si>
    <t>2020-06-05</t>
  </si>
  <si>
    <t>2023-06-05</t>
  </si>
  <si>
    <t>2020-06-12</t>
  </si>
  <si>
    <t>2020-06-15</t>
  </si>
  <si>
    <t>2025-06-13</t>
  </si>
  <si>
    <t>2020-06-17</t>
  </si>
  <si>
    <t>2020-06-18</t>
  </si>
  <si>
    <t>2029-06-18</t>
  </si>
  <si>
    <t>2020-06-30</t>
  </si>
  <si>
    <t>2020-07-03</t>
  </si>
  <si>
    <t>2027-07-03</t>
  </si>
  <si>
    <t>2020-07-20</t>
  </si>
  <si>
    <t>2050-07-20</t>
  </si>
  <si>
    <t>2020-07-31</t>
  </si>
  <si>
    <t>2020-10-28</t>
  </si>
  <si>
    <t>2032-10-28</t>
  </si>
  <si>
    <t>2020-10-29</t>
  </si>
  <si>
    <t>2035-10-29</t>
  </si>
  <si>
    <t>2030-11-23</t>
  </si>
  <si>
    <t>2020-12-03</t>
  </si>
  <si>
    <t>2030-12-03</t>
  </si>
  <si>
    <t>2025-12-09</t>
  </si>
  <si>
    <t>2020-12-15</t>
  </si>
  <si>
    <t>2025-12-15</t>
  </si>
  <si>
    <t>2020-12-17</t>
  </si>
  <si>
    <t>2025-12-17</t>
  </si>
  <si>
    <t>2021-01-18</t>
  </si>
  <si>
    <t>2026-01-16</t>
  </si>
  <si>
    <t>2021-01-19</t>
  </si>
  <si>
    <t>2027-07-19</t>
  </si>
  <si>
    <t>2033-01-19</t>
  </si>
  <si>
    <t>2031-01-20</t>
  </si>
  <si>
    <t>2021-01-21</t>
  </si>
  <si>
    <t>2030-01-21</t>
  </si>
  <si>
    <t>2021-01-27</t>
  </si>
  <si>
    <t>2031-01-27</t>
  </si>
  <si>
    <t>2021-01-28</t>
  </si>
  <si>
    <t>2024-01-26</t>
  </si>
  <si>
    <t>2021-02-10</t>
  </si>
  <si>
    <t>2021-02-15</t>
  </si>
  <si>
    <t>2025-08-15</t>
  </si>
  <si>
    <t>2031-11-28</t>
  </si>
  <si>
    <t>2024-03-28</t>
  </si>
  <si>
    <t>2030-03-04</t>
  </si>
  <si>
    <t>2021-03-12</t>
  </si>
  <si>
    <t>2029-03-12</t>
  </si>
  <si>
    <t>2021-03-29</t>
  </si>
  <si>
    <t>2023-03-29</t>
  </si>
  <si>
    <t>2023-03-31</t>
  </si>
  <si>
    <t>2021-04-19</t>
  </si>
  <si>
    <t>2026-04-17</t>
  </si>
  <si>
    <t>2021-05-19</t>
  </si>
  <si>
    <t>2033-05-19</t>
  </si>
  <si>
    <t>2021-05-17</t>
  </si>
  <si>
    <t>2023-05-17</t>
  </si>
  <si>
    <t>2021-05-28</t>
  </si>
  <si>
    <t>2051-05-28</t>
  </si>
  <si>
    <t>2021-06-29</t>
  </si>
  <si>
    <t>2031-06-30</t>
  </si>
  <si>
    <t>2021-06-30</t>
  </si>
  <si>
    <t>2021-03-30</t>
  </si>
  <si>
    <t>2028-03-30</t>
  </si>
  <si>
    <t>2021-07-14</t>
  </si>
  <si>
    <t>2031-07-14</t>
  </si>
  <si>
    <t>2021-07-22</t>
  </si>
  <si>
    <t>2030-07-22</t>
  </si>
  <si>
    <t>2021-08-24</t>
  </si>
  <si>
    <t>2026-08-24</t>
  </si>
  <si>
    <t>2021-09-03</t>
  </si>
  <si>
    <t>2030-09-03</t>
  </si>
  <si>
    <t>2021-09-08</t>
  </si>
  <si>
    <t>2027-09-08</t>
  </si>
  <si>
    <t>2031-09-29</t>
  </si>
  <si>
    <t>2021-10-07</t>
  </si>
  <si>
    <t>2031-10-07</t>
  </si>
  <si>
    <t>2021-10-08</t>
  </si>
  <si>
    <t>2036-10-08</t>
  </si>
  <si>
    <t>2021-10-18</t>
  </si>
  <si>
    <t>2030-01-18</t>
  </si>
  <si>
    <t>2021-10-19</t>
  </si>
  <si>
    <t>2026-10-19</t>
  </si>
  <si>
    <t>2025-11-18</t>
  </si>
  <si>
    <t>2021-12-10</t>
  </si>
  <si>
    <t>2031-12-10</t>
  </si>
  <si>
    <t>2021-12-28</t>
  </si>
  <si>
    <t>2028-12-28</t>
  </si>
  <si>
    <t>2022-01-13</t>
  </si>
  <si>
    <t>2028-01-13</t>
  </si>
  <si>
    <t>2022-01-19</t>
  </si>
  <si>
    <t>2026-01-19</t>
  </si>
  <si>
    <t>2022-01-18</t>
  </si>
  <si>
    <t>2022-01-11</t>
  </si>
  <si>
    <t>2024-01-11</t>
  </si>
  <si>
    <t>2032-01-19</t>
  </si>
  <si>
    <t>2022-02-17</t>
  </si>
  <si>
    <t>2025-02-17</t>
  </si>
  <si>
    <t>2029-02-23</t>
  </si>
  <si>
    <t>2022-03-03</t>
  </si>
  <si>
    <t>2025-03-03</t>
  </si>
  <si>
    <t>2028-04-13</t>
  </si>
  <si>
    <t>2026-04-13</t>
  </si>
  <si>
    <t>2032-03-15</t>
  </si>
  <si>
    <t>2022-03-18</t>
  </si>
  <si>
    <t>2025-03-18</t>
  </si>
  <si>
    <t>2024-03-29</t>
  </si>
  <si>
    <t>2022-04-04</t>
  </si>
  <si>
    <t>2022-01-12</t>
  </si>
  <si>
    <t>2032-01-12</t>
  </si>
  <si>
    <t>2029-01-12</t>
  </si>
  <si>
    <t>2022-04-14</t>
  </si>
  <si>
    <t>2025-04-14</t>
  </si>
  <si>
    <t>2022-04-22</t>
  </si>
  <si>
    <t>2025-04-22</t>
  </si>
  <si>
    <t>2013-05-22</t>
  </si>
  <si>
    <t>2023-05-22</t>
  </si>
  <si>
    <t>2013-06-03</t>
  </si>
  <si>
    <t>2033-06-03</t>
  </si>
  <si>
    <t>2025-05-22</t>
  </si>
  <si>
    <t>2013-07-09</t>
  </si>
  <si>
    <t>2023-07-10</t>
  </si>
  <si>
    <t>2013-09-12</t>
  </si>
  <si>
    <t>78</t>
  </si>
  <si>
    <t>2025-09-12</t>
  </si>
  <si>
    <t>2013-11-14</t>
  </si>
  <si>
    <t>2023-11-14</t>
  </si>
  <si>
    <t>2013-12-04</t>
  </si>
  <si>
    <t>2023-12-04</t>
  </si>
  <si>
    <t>2014-01-22</t>
  </si>
  <si>
    <t>2024-01-22</t>
  </si>
  <si>
    <t>2014-01-28</t>
  </si>
  <si>
    <t>2029-01-29</t>
  </si>
  <si>
    <t>2014-02-13</t>
  </si>
  <si>
    <t>2024-02-13</t>
  </si>
  <si>
    <t>2026-02-13</t>
  </si>
  <si>
    <t>2014-02-18</t>
  </si>
  <si>
    <t>2023-02-17</t>
  </si>
  <si>
    <t>2014-03-26</t>
  </si>
  <si>
    <t>2034-04-01</t>
  </si>
  <si>
    <t>2014-06-25</t>
  </si>
  <si>
    <t>2014-06-27</t>
  </si>
  <si>
    <t>2022-06-27</t>
  </si>
  <si>
    <t>2014-07-15</t>
  </si>
  <si>
    <t>2022-07-15</t>
  </si>
  <si>
    <t>2014-07-14</t>
  </si>
  <si>
    <t>2022-07-14</t>
  </si>
  <si>
    <t>2024-07-15</t>
  </si>
  <si>
    <t>2014-07-16</t>
  </si>
  <si>
    <t>2024-07-16</t>
  </si>
  <si>
    <t>2014-08-06</t>
  </si>
  <si>
    <t>2024-08-06</t>
  </si>
  <si>
    <t>2014-09-10</t>
  </si>
  <si>
    <t>2026-09-10</t>
  </si>
  <si>
    <t>2014-09-29</t>
  </si>
  <si>
    <t>2024-09-27</t>
  </si>
  <si>
    <t>2014-09-26</t>
  </si>
  <si>
    <t>2022-09-26</t>
  </si>
  <si>
    <t>2014-10-22</t>
  </si>
  <si>
    <t>2023-04-21</t>
  </si>
  <si>
    <t>2014-11-07</t>
  </si>
  <si>
    <t>2026-11-09</t>
  </si>
  <si>
    <t>2014-11-18</t>
  </si>
  <si>
    <t>2024-11-18</t>
  </si>
  <si>
    <t>2014-12-10</t>
  </si>
  <si>
    <t>2024-12-10</t>
  </si>
  <si>
    <t>2014-12-23</t>
  </si>
  <si>
    <t>2023-12-27</t>
  </si>
  <si>
    <t>2014-12-30</t>
  </si>
  <si>
    <t>2024-12-30</t>
  </si>
  <si>
    <t>2015-01-22</t>
  </si>
  <si>
    <t>2025-01-22</t>
  </si>
  <si>
    <t>2015-01-27</t>
  </si>
  <si>
    <t>2025-01-27</t>
  </si>
  <si>
    <t>2015-02-03</t>
  </si>
  <si>
    <t>2025-06-03</t>
  </si>
  <si>
    <t>2015-02-02</t>
  </si>
  <si>
    <t>2026-02-02</t>
  </si>
  <si>
    <t>2015-02-25</t>
  </si>
  <si>
    <t>2015-03-10</t>
  </si>
  <si>
    <t>2025-03-10</t>
  </si>
  <si>
    <t>2015-03-11</t>
  </si>
  <si>
    <t>2025-03-11</t>
  </si>
  <si>
    <t>2015-03-31</t>
  </si>
  <si>
    <t>2027-03-31</t>
  </si>
  <si>
    <t>2015-04-30</t>
  </si>
  <si>
    <t>2025-04-30</t>
  </si>
  <si>
    <t>2015-05-27</t>
  </si>
  <si>
    <t>2025-05-27</t>
  </si>
  <si>
    <t>1</t>
  </si>
  <si>
    <t>2022-05-27</t>
  </si>
  <si>
    <t>2</t>
  </si>
  <si>
    <t>2016-02-22</t>
  </si>
  <si>
    <t>2023-02-22</t>
  </si>
  <si>
    <t>2016-03-18</t>
  </si>
  <si>
    <t>2026-03-18</t>
  </si>
  <si>
    <t>2016-04-01</t>
  </si>
  <si>
    <t>2016-04-05</t>
  </si>
  <si>
    <t>2024-04-05</t>
  </si>
  <si>
    <t>2028-04-05</t>
  </si>
  <si>
    <t>2016-04-26</t>
  </si>
  <si>
    <t>2024-04-26</t>
  </si>
  <si>
    <t>2016-05-03</t>
  </si>
  <si>
    <t>2024-05-03</t>
  </si>
  <si>
    <t>198</t>
  </si>
  <si>
    <t>2015-12-16</t>
  </si>
  <si>
    <t>2027-12-16</t>
  </si>
  <si>
    <t>2016-05-11</t>
  </si>
  <si>
    <t>2026-05-11</t>
  </si>
  <si>
    <t>2016-05-17</t>
  </si>
  <si>
    <t>2022-05-17</t>
  </si>
  <si>
    <t>2028-05-17</t>
  </si>
  <si>
    <t>2016-06-01</t>
  </si>
  <si>
    <t>2026-06-01</t>
  </si>
  <si>
    <t>2016-05-25</t>
  </si>
  <si>
    <t>2023-05-25</t>
  </si>
  <si>
    <t>2016-05-26</t>
  </si>
  <si>
    <t>2023-05-26</t>
  </si>
  <si>
    <t>2028-05-26</t>
  </si>
  <si>
    <t>2016-06-08</t>
  </si>
  <si>
    <t>2026-06-08</t>
  </si>
  <si>
    <t>2016-07-21</t>
  </si>
  <si>
    <t>2023-07-21</t>
  </si>
  <si>
    <t>2046-10-01</t>
  </si>
  <si>
    <t>2016-07-25</t>
  </si>
  <si>
    <t>2024-10-15</t>
  </si>
  <si>
    <t>2028-10-15</t>
  </si>
  <si>
    <t>2015-11-19</t>
  </si>
  <si>
    <t>2023-11-19</t>
  </si>
  <si>
    <t>2016-09-09</t>
  </si>
  <si>
    <t>2028-09-11</t>
  </si>
  <si>
    <t>2024-09-09</t>
  </si>
  <si>
    <t>2016-09-13</t>
  </si>
  <si>
    <t>2022-09-13</t>
  </si>
  <si>
    <t>2027-01-13</t>
  </si>
  <si>
    <t>2016-09-20</t>
  </si>
  <si>
    <t>2028-09-20</t>
  </si>
  <si>
    <t>2016-09-19</t>
  </si>
  <si>
    <t>2028-09-19</t>
  </si>
  <si>
    <t>2016-10-14</t>
  </si>
  <si>
    <t>2026-10-14</t>
  </si>
  <si>
    <t>2016-10-07</t>
  </si>
  <si>
    <t>2026-10-07</t>
  </si>
  <si>
    <t>2016-10-06</t>
  </si>
  <si>
    <t>2023-10-06</t>
  </si>
  <si>
    <t>2016-10-25</t>
  </si>
  <si>
    <t>2026-10-25</t>
  </si>
  <si>
    <t>2015-08-19</t>
  </si>
  <si>
    <t>2035-08-01</t>
  </si>
  <si>
    <t>2015-09-10</t>
  </si>
  <si>
    <t>2025-09-10</t>
  </si>
  <si>
    <t>2015-09-16</t>
  </si>
  <si>
    <t>2022-09-16</t>
  </si>
  <si>
    <t>2015-09-08</t>
  </si>
  <si>
    <t>2023-09-08</t>
  </si>
  <si>
    <t>2015-09-17</t>
  </si>
  <si>
    <t>2023-09-17</t>
  </si>
  <si>
    <t>2015-09-09</t>
  </si>
  <si>
    <t>2022-09-09</t>
  </si>
  <si>
    <t>2015-09-18</t>
  </si>
  <si>
    <t>2024-01-18</t>
  </si>
  <si>
    <t>2015-09-22</t>
  </si>
  <si>
    <t>2025-09-22</t>
  </si>
  <si>
    <t>2015-09-28</t>
  </si>
  <si>
    <t>2023-09-28</t>
  </si>
  <si>
    <t>2025-01-31</t>
  </si>
  <si>
    <t>2032-12-14</t>
  </si>
  <si>
    <t>2032-09-15</t>
  </si>
  <si>
    <t>2020-09-29</t>
  </si>
  <si>
    <t>2032-09-29</t>
  </si>
  <si>
    <t>2020-10-01</t>
  </si>
  <si>
    <t>2026-01-15</t>
  </si>
  <si>
    <t>2020-10-12</t>
  </si>
  <si>
    <t>2050-10-12</t>
  </si>
  <si>
    <t>2020-10-16</t>
  </si>
  <si>
    <t>2030-10-16</t>
  </si>
  <si>
    <t>2019-10-02</t>
  </si>
  <si>
    <t>2026-10-11</t>
  </si>
  <si>
    <t>2026-10-02</t>
  </si>
  <si>
    <t>2020-01-13</t>
  </si>
  <si>
    <t>2024-01-13</t>
  </si>
  <si>
    <t>2020-01-28</t>
  </si>
  <si>
    <t>2027-01-28</t>
  </si>
  <si>
    <t>2020-01-23</t>
  </si>
  <si>
    <t>2030-01-23</t>
  </si>
  <si>
    <t>2025-01-23</t>
  </si>
  <si>
    <t>2025-01-28</t>
  </si>
  <si>
    <t>2020-01-31</t>
  </si>
  <si>
    <t>2039-12-19</t>
  </si>
  <si>
    <t>2020-02-13</t>
  </si>
  <si>
    <t>2030-02-13</t>
  </si>
  <si>
    <t>2020-02-17</t>
  </si>
  <si>
    <t>2027-02-17</t>
  </si>
  <si>
    <t>2025-10-17</t>
  </si>
  <si>
    <t>2019-10-24</t>
  </si>
  <si>
    <t>2023-10-24</t>
  </si>
  <si>
    <t>2027-10-24</t>
  </si>
  <si>
    <t>2031-10-24</t>
  </si>
  <si>
    <t>2019-10-30</t>
  </si>
  <si>
    <t>2024-10-30</t>
  </si>
  <si>
    <t>2019-11-06</t>
  </si>
  <si>
    <t>2024-11-06</t>
  </si>
  <si>
    <t>2019-11-13</t>
  </si>
  <si>
    <t>2025-11-13</t>
  </si>
  <si>
    <t>2019-11-25</t>
  </si>
  <si>
    <t>2019-11-27</t>
  </si>
  <si>
    <t>2027-06-15</t>
  </si>
  <si>
    <t>2019-11-29</t>
  </si>
  <si>
    <t>2026-11-29</t>
  </si>
  <si>
    <t>2020-01-14</t>
  </si>
  <si>
    <t>2024-11-14</t>
  </si>
  <si>
    <t>2039-12-09</t>
  </si>
  <si>
    <t>2019-12-18</t>
  </si>
  <si>
    <t>2027-12-20</t>
  </si>
  <si>
    <t>2019-08-27</t>
  </si>
  <si>
    <t>2022-08-29</t>
  </si>
  <si>
    <t>2019-09-06</t>
  </si>
  <si>
    <t>2024-09-06</t>
  </si>
  <si>
    <t>2019-09-12</t>
  </si>
  <si>
    <t>2024-05-12</t>
  </si>
  <si>
    <t>2034-09-12</t>
  </si>
  <si>
    <t>2019-09-18</t>
  </si>
  <si>
    <t>2019-09-20</t>
  </si>
  <si>
    <t>2029-09-20</t>
  </si>
  <si>
    <t>2019-09-30</t>
  </si>
  <si>
    <t>2022-09-30</t>
  </si>
  <si>
    <t>2026-09-30</t>
  </si>
  <si>
    <t>2019-10-03</t>
  </si>
  <si>
    <t>2031-10-03</t>
  </si>
  <si>
    <t>2023-10-31</t>
  </si>
  <si>
    <t>2019-10-11</t>
  </si>
  <si>
    <t>2034-10-11</t>
  </si>
  <si>
    <t>2019-04-17</t>
  </si>
  <si>
    <t>2019-05-09</t>
  </si>
  <si>
    <t>2019-05-15</t>
  </si>
  <si>
    <t>2027-05-17</t>
  </si>
  <si>
    <t>2019-05-21</t>
  </si>
  <si>
    <t>2022-11-21</t>
  </si>
  <si>
    <t>2019-05-22</t>
  </si>
  <si>
    <t>2026-05-22</t>
  </si>
  <si>
    <t>2019-05-29</t>
  </si>
  <si>
    <t>2029-05-29</t>
  </si>
  <si>
    <t>2019-06-07</t>
  </si>
  <si>
    <t>2030-01-07</t>
  </si>
  <si>
    <t>2019-06-06</t>
  </si>
  <si>
    <t>2026-06-06</t>
  </si>
  <si>
    <t>Issuer</t>
  </si>
  <si>
    <t>Coupon</t>
  </si>
  <si>
    <t>Preferred RIC</t>
  </si>
  <si>
    <t>Principal Currency</t>
  </si>
  <si>
    <t>Country of Issue</t>
  </si>
  <si>
    <t>Issuer Type</t>
  </si>
  <si>
    <t>Instrument Type</t>
  </si>
  <si>
    <t>Amount Issued (USD)</t>
  </si>
  <si>
    <t>Bond Grade</t>
  </si>
  <si>
    <t>Yield to Maturity</t>
  </si>
  <si>
    <t>Date</t>
  </si>
  <si>
    <t>Ask yield</t>
  </si>
  <si>
    <t>diff</t>
  </si>
  <si>
    <t>correct</t>
  </si>
  <si>
    <t>VOSG</t>
  </si>
  <si>
    <t>4,0000</t>
  </si>
  <si>
    <t>DEA3H2VA=</t>
  </si>
  <si>
    <t>Euro</t>
  </si>
  <si>
    <t>Germany</t>
  </si>
  <si>
    <t>Inhaberschuldverschreibung</t>
  </si>
  <si>
    <t>Fixed then Floating</t>
  </si>
  <si>
    <t>158114432</t>
  </si>
  <si>
    <t>--</t>
  </si>
  <si>
    <t>UBMV</t>
  </si>
  <si>
    <t>5,5000</t>
  </si>
  <si>
    <t>XS2355161956=</t>
  </si>
  <si>
    <t>Austria</t>
  </si>
  <si>
    <t>Fixed Resettable</t>
  </si>
  <si>
    <t>105409621</t>
  </si>
  <si>
    <t>10,9290100</t>
  </si>
  <si>
    <t>ENEL Finance International NV</t>
  </si>
  <si>
    <t>ENEIL</t>
  </si>
  <si>
    <t>0,0000</t>
  </si>
  <si>
    <t>IT206670681=</t>
  </si>
  <si>
    <t>Eurobond</t>
  </si>
  <si>
    <t>Bond</t>
  </si>
  <si>
    <t>Plain Vanilla Fixed Coupon</t>
  </si>
  <si>
    <t>1054096217</t>
  </si>
  <si>
    <t>Investment Grade</t>
  </si>
  <si>
    <t>1,1497570</t>
  </si>
  <si>
    <t>2,6500</t>
  </si>
  <si>
    <t>29278GAL2=</t>
  </si>
  <si>
    <t>US Dollar</t>
  </si>
  <si>
    <t>United States</t>
  </si>
  <si>
    <t>Note</t>
  </si>
  <si>
    <t>1500000000</t>
  </si>
  <si>
    <t>3,8181280</t>
  </si>
  <si>
    <t>IT205233555=</t>
  </si>
  <si>
    <t>3,7630020</t>
  </si>
  <si>
    <t>YAINVY</t>
  </si>
  <si>
    <t>8,8010</t>
  </si>
  <si>
    <t>SE0016831150=TE</t>
  </si>
  <si>
    <t>Swedish Krona</t>
  </si>
  <si>
    <t>Sweden</t>
  </si>
  <si>
    <t>Fixed Margin over Index</t>
  </si>
  <si>
    <t>50396346</t>
  </si>
  <si>
    <t>Grupopikolin SL</t>
  </si>
  <si>
    <t>LIDEKG</t>
  </si>
  <si>
    <t>EST14207S=MV</t>
  </si>
  <si>
    <t>Spain</t>
  </si>
  <si>
    <t>Other / Complex Floating Rate</t>
  </si>
  <si>
    <t>20027828</t>
  </si>
  <si>
    <t>Aktiebolaget Grundstenen 168252</t>
  </si>
  <si>
    <t>ATIBG</t>
  </si>
  <si>
    <t>6,7900</t>
  </si>
  <si>
    <t>NO1101711=</t>
  </si>
  <si>
    <t>Norwegian Krone</t>
  </si>
  <si>
    <t>Norway</t>
  </si>
  <si>
    <t>106012587</t>
  </si>
  <si>
    <t>Holding d'infrastructures Des Metiers De l'environnement SAS</t>
  </si>
  <si>
    <t>EQTIND</t>
  </si>
  <si>
    <t>0,1250</t>
  </si>
  <si>
    <t>NL238538955=</t>
  </si>
  <si>
    <t>474343298</t>
  </si>
  <si>
    <t>2,0137300</t>
  </si>
  <si>
    <t>TPE</t>
  </si>
  <si>
    <t>7,4500</t>
  </si>
  <si>
    <t>PLO144500017=</t>
  </si>
  <si>
    <t>Polish Zloty</t>
  </si>
  <si>
    <t>Poland</t>
  </si>
  <si>
    <t>225804994</t>
  </si>
  <si>
    <t>7,9701860</t>
  </si>
  <si>
    <t>VALSG</t>
  </si>
  <si>
    <t>7,3760</t>
  </si>
  <si>
    <t>SE0017072457=</t>
  </si>
  <si>
    <t>106928999</t>
  </si>
  <si>
    <t>8,1246310</t>
  </si>
  <si>
    <t>0,2500</t>
  </si>
  <si>
    <t>IT243229367=</t>
  </si>
  <si>
    <t>1317620272</t>
  </si>
  <si>
    <t>1,6009830</t>
  </si>
  <si>
    <t>Polski Koncern Naftowy Orlen SA</t>
  </si>
  <si>
    <t>PKN</t>
  </si>
  <si>
    <t>3,5100</t>
  </si>
  <si>
    <t>PLPKN0000208=</t>
  </si>
  <si>
    <t>7,3293010</t>
  </si>
  <si>
    <t>Public Power Corporation SA</t>
  </si>
  <si>
    <t>DEH</t>
  </si>
  <si>
    <t>3,8750</t>
  </si>
  <si>
    <t>GR231426523=</t>
  </si>
  <si>
    <t>816924568</t>
  </si>
  <si>
    <t>High Yield</t>
  </si>
  <si>
    <t>5,5234580</t>
  </si>
  <si>
    <t>PFLPE</t>
  </si>
  <si>
    <t>4,7500</t>
  </si>
  <si>
    <t>PL233330167=</t>
  </si>
  <si>
    <t>421638487</t>
  </si>
  <si>
    <t>7,2688020</t>
  </si>
  <si>
    <t>PL233330205=</t>
  </si>
  <si>
    <t>368933676</t>
  </si>
  <si>
    <t>5,5651680</t>
  </si>
  <si>
    <t>PL233330175=RRPS</t>
  </si>
  <si>
    <t>7,1487620</t>
  </si>
  <si>
    <t>PL233330272=RRPS</t>
  </si>
  <si>
    <t>5,5651270</t>
  </si>
  <si>
    <t>HIGLUC</t>
  </si>
  <si>
    <t>9,5720</t>
  </si>
  <si>
    <t>SE0017767346=</t>
  </si>
  <si>
    <t>168031284</t>
  </si>
  <si>
    <t>9,7301140</t>
  </si>
  <si>
    <t>LHNCM</t>
  </si>
  <si>
    <t>1,6250</t>
  </si>
  <si>
    <t>XS2463497201=TE</t>
  </si>
  <si>
    <t>3,1250</t>
  </si>
  <si>
    <t>AT0000A2QS11=</t>
  </si>
  <si>
    <t>79057216</t>
  </si>
  <si>
    <t>3,6720710</t>
  </si>
  <si>
    <t>IT239040063=</t>
  </si>
  <si>
    <t>1,8283270</t>
  </si>
  <si>
    <t>Schneider</t>
  </si>
  <si>
    <t>SCHN</t>
  </si>
  <si>
    <t>FR0014000OG2=</t>
  </si>
  <si>
    <t>France</t>
  </si>
  <si>
    <t>Zero Coupon</t>
  </si>
  <si>
    <t>685162562</t>
  </si>
  <si>
    <t>-2,3437080</t>
  </si>
  <si>
    <t>SSAB</t>
  </si>
  <si>
    <t>1,8960</t>
  </si>
  <si>
    <t>SE235327023=</t>
  </si>
  <si>
    <t>203674284</t>
  </si>
  <si>
    <t>1,4891080</t>
  </si>
  <si>
    <t>LOREAL</t>
  </si>
  <si>
    <t>0,8750</t>
  </si>
  <si>
    <t>FR0014009EJ8=</t>
  </si>
  <si>
    <t>1,1923920</t>
  </si>
  <si>
    <t>Lion Polaris Lux 4 SA</t>
  </si>
  <si>
    <t>LNPLXO</t>
  </si>
  <si>
    <t>LU236134369=</t>
  </si>
  <si>
    <t>685162541</t>
  </si>
  <si>
    <t>4,5950250</t>
  </si>
  <si>
    <t>LPLXTU</t>
  </si>
  <si>
    <t>LU236134288=</t>
  </si>
  <si>
    <t>790572163</t>
  </si>
  <si>
    <t>6,0049520</t>
  </si>
  <si>
    <t>LU236134326=RRPS</t>
  </si>
  <si>
    <t>5,9191390</t>
  </si>
  <si>
    <t>LU236134377=RRPS</t>
  </si>
  <si>
    <t>1,3750</t>
  </si>
  <si>
    <t>29278GAM0=</t>
  </si>
  <si>
    <t>1250000000</t>
  </si>
  <si>
    <t>4,0968390</t>
  </si>
  <si>
    <t>IT234646249=</t>
  </si>
  <si>
    <t>NBNPFF</t>
  </si>
  <si>
    <t>3,6250</t>
  </si>
  <si>
    <t>NL235838346=</t>
  </si>
  <si>
    <t>553400514</t>
  </si>
  <si>
    <t>7,1609470</t>
  </si>
  <si>
    <t>NL235838389=RRPS</t>
  </si>
  <si>
    <t>7,0410660</t>
  </si>
  <si>
    <t>WBD</t>
  </si>
  <si>
    <t>IT243732433=</t>
  </si>
  <si>
    <t>6,8157510</t>
  </si>
  <si>
    <t>GRANG</t>
  </si>
  <si>
    <t>1,2660</t>
  </si>
  <si>
    <t>SE0013360476=</t>
  </si>
  <si>
    <t>61102285</t>
  </si>
  <si>
    <t>2,1831980</t>
  </si>
  <si>
    <t>YFXEDB</t>
  </si>
  <si>
    <t>4,6250</t>
  </si>
  <si>
    <t>JE238912032=RRPS</t>
  </si>
  <si>
    <t>537589071</t>
  </si>
  <si>
    <t>6,5479590</t>
  </si>
  <si>
    <t>JE238911273=</t>
  </si>
  <si>
    <t>6,6580100</t>
  </si>
  <si>
    <t>Cullinan Holdco SCSp</t>
  </si>
  <si>
    <t>CLLNH</t>
  </si>
  <si>
    <t>LU239735452=</t>
  </si>
  <si>
    <t>400556562</t>
  </si>
  <si>
    <t>7,2579230</t>
  </si>
  <si>
    <t>LU239735401=</t>
  </si>
  <si>
    <t>263524054</t>
  </si>
  <si>
    <t>6,4745940</t>
  </si>
  <si>
    <t>LU239735509=RRPS</t>
  </si>
  <si>
    <t>7,1308020</t>
  </si>
  <si>
    <t>XS2397354288=TE</t>
  </si>
  <si>
    <t>269850179</t>
  </si>
  <si>
    <t>CARR</t>
  </si>
  <si>
    <t>1,8750</t>
  </si>
  <si>
    <t>FR0014009DZ6=</t>
  </si>
  <si>
    <t>2,3404810</t>
  </si>
  <si>
    <t>HNKG</t>
  </si>
  <si>
    <t>1,7500</t>
  </si>
  <si>
    <t>DE240795400=</t>
  </si>
  <si>
    <t>250000000</t>
  </si>
  <si>
    <t>3,8501490</t>
  </si>
  <si>
    <t>KINV</t>
  </si>
  <si>
    <t>0,6270</t>
  </si>
  <si>
    <t>SE0013360534=</t>
  </si>
  <si>
    <t>152755713</t>
  </si>
  <si>
    <t>1,4609220</t>
  </si>
  <si>
    <t>AULIAS</t>
  </si>
  <si>
    <t>1,0000</t>
  </si>
  <si>
    <t>IT241226735=</t>
  </si>
  <si>
    <t>2,7157120</t>
  </si>
  <si>
    <t>LOOM</t>
  </si>
  <si>
    <t>1,2900</t>
  </si>
  <si>
    <t>SE0013360559=</t>
  </si>
  <si>
    <t>2,1177200</t>
  </si>
  <si>
    <t>Mota Engil SGPS SA</t>
  </si>
  <si>
    <t>MOTA</t>
  </si>
  <si>
    <t>4,2500</t>
  </si>
  <si>
    <t>PTMENYOM005=</t>
  </si>
  <si>
    <t>Portugal</t>
  </si>
  <si>
    <t>139140173</t>
  </si>
  <si>
    <t>4,5472620</t>
  </si>
  <si>
    <t>Kahrs BondCo publ AB</t>
  </si>
  <si>
    <t>KAHNO</t>
  </si>
  <si>
    <t>6,0000</t>
  </si>
  <si>
    <t>SE0017085285=</t>
  </si>
  <si>
    <t>147663855</t>
  </si>
  <si>
    <t>7,0850610</t>
  </si>
  <si>
    <t>Rimini BidCo SpA</t>
  </si>
  <si>
    <t>APIMTI</t>
  </si>
  <si>
    <t>5,2500</t>
  </si>
  <si>
    <t>LU241749983=RRPS</t>
  </si>
  <si>
    <t>469072816</t>
  </si>
  <si>
    <t>9,0641670</t>
  </si>
  <si>
    <t>LU241748677=</t>
  </si>
  <si>
    <t>9,0629990</t>
  </si>
  <si>
    <t>5,1500</t>
  </si>
  <si>
    <t>EST13961S=MV</t>
  </si>
  <si>
    <t>18973731</t>
  </si>
  <si>
    <t>Elekta AB (publ)</t>
  </si>
  <si>
    <t>EKTAA</t>
  </si>
  <si>
    <t>0,9210</t>
  </si>
  <si>
    <t>SE0016274260=</t>
  </si>
  <si>
    <t>117112713</t>
  </si>
  <si>
    <t>1,6685310</t>
  </si>
  <si>
    <t>EPED</t>
  </si>
  <si>
    <t>2,7500</t>
  </si>
  <si>
    <t>FR240548330=</t>
  </si>
  <si>
    <t>1264915461</t>
  </si>
  <si>
    <t>6,0345600</t>
  </si>
  <si>
    <t>ATRLJ</t>
  </si>
  <si>
    <t>1,3320</t>
  </si>
  <si>
    <t>SE0013883428=</t>
  </si>
  <si>
    <t>101837142</t>
  </si>
  <si>
    <t>2,4015210</t>
  </si>
  <si>
    <t>CEZ as</t>
  </si>
  <si>
    <t>CEZP</t>
  </si>
  <si>
    <t>2,3750</t>
  </si>
  <si>
    <t>CZ246178682=</t>
  </si>
  <si>
    <t>632457730</t>
  </si>
  <si>
    <t>2,4639600</t>
  </si>
  <si>
    <t>CAPMAN</t>
  </si>
  <si>
    <t>4,5000</t>
  </si>
  <si>
    <t>FI4000519178=HE</t>
  </si>
  <si>
    <t>Finland</t>
  </si>
  <si>
    <t>42163848</t>
  </si>
  <si>
    <t>Invalid field(s).</t>
  </si>
  <si>
    <t>TEVACC</t>
  </si>
  <si>
    <t>88167AAP6=</t>
  </si>
  <si>
    <t>1000000000</t>
  </si>
  <si>
    <t>6,8417210</t>
  </si>
  <si>
    <t>TEVAR</t>
  </si>
  <si>
    <t>3,7500</t>
  </si>
  <si>
    <t>IL240660709=</t>
  </si>
  <si>
    <t>1159505839</t>
  </si>
  <si>
    <t>6,2398650</t>
  </si>
  <si>
    <t>HMSOHM</t>
  </si>
  <si>
    <t>GB234477242=</t>
  </si>
  <si>
    <t>737867352</t>
  </si>
  <si>
    <t>4,2182980</t>
  </si>
  <si>
    <t>0,3750</t>
  </si>
  <si>
    <t>IT206670690=</t>
  </si>
  <si>
    <t>1,9264320</t>
  </si>
  <si>
    <t>IT235318202=</t>
  </si>
  <si>
    <t>1,9273790</t>
  </si>
  <si>
    <t>LNPLXC</t>
  </si>
  <si>
    <t>5,3750</t>
  </si>
  <si>
    <t>LU236134431=</t>
  </si>
  <si>
    <t>326769827</t>
  </si>
  <si>
    <t>8,0225580</t>
  </si>
  <si>
    <t>LU236134547=</t>
  </si>
  <si>
    <t>7,8724100</t>
  </si>
  <si>
    <t>FABIS</t>
  </si>
  <si>
    <t>5,6250</t>
  </si>
  <si>
    <t>IT243658535=</t>
  </si>
  <si>
    <t>7,5871470</t>
  </si>
  <si>
    <t>IT243658624=</t>
  </si>
  <si>
    <t>7,4472210</t>
  </si>
  <si>
    <t>IT224441860=</t>
  </si>
  <si>
    <t>British Pound</t>
  </si>
  <si>
    <t>628551314</t>
  </si>
  <si>
    <t>3,1696010</t>
  </si>
  <si>
    <t>OVS</t>
  </si>
  <si>
    <t>2,2500</t>
  </si>
  <si>
    <t>IT239352073=</t>
  </si>
  <si>
    <t>210819243</t>
  </si>
  <si>
    <t>2,7088130</t>
  </si>
  <si>
    <t>ABIO</t>
  </si>
  <si>
    <t>2,8500</t>
  </si>
  <si>
    <t>FR0014000X03=</t>
  </si>
  <si>
    <t>53970035</t>
  </si>
  <si>
    <t>Veritas SpA</t>
  </si>
  <si>
    <t>VERTS</t>
  </si>
  <si>
    <t>3,2500</t>
  </si>
  <si>
    <t>IT225418454=</t>
  </si>
  <si>
    <t>4,7148360</t>
  </si>
  <si>
    <t>AB</t>
  </si>
  <si>
    <t>1,5000</t>
  </si>
  <si>
    <t>IT245749635=</t>
  </si>
  <si>
    <t>527048108</t>
  </si>
  <si>
    <t>2,3537480</t>
  </si>
  <si>
    <t>Lanxess AG</t>
  </si>
  <si>
    <t>LXSG</t>
  </si>
  <si>
    <t>DE245916361=</t>
  </si>
  <si>
    <t>2,7815270</t>
  </si>
  <si>
    <t>EQTAB</t>
  </si>
  <si>
    <t>SE246398879=</t>
  </si>
  <si>
    <t>2,9259300</t>
  </si>
  <si>
    <t>Hapag Lloyd AG</t>
  </si>
  <si>
    <t>HLAG</t>
  </si>
  <si>
    <t>2,5000</t>
  </si>
  <si>
    <t>DE232654856=</t>
  </si>
  <si>
    <t>316228865</t>
  </si>
  <si>
    <t>4,0755850</t>
  </si>
  <si>
    <t>DE232655089=</t>
  </si>
  <si>
    <t>4,0354850</t>
  </si>
  <si>
    <t>Iochpe-Maxion Austria GmbH</t>
  </si>
  <si>
    <t>MYPKFX</t>
  </si>
  <si>
    <t>5,0000</t>
  </si>
  <si>
    <t>46188AAA2=</t>
  </si>
  <si>
    <t>400000000</t>
  </si>
  <si>
    <t>7,4679160</t>
  </si>
  <si>
    <t>BR233942294=</t>
  </si>
  <si>
    <t>7,3972180</t>
  </si>
  <si>
    <t>Verallia SAS</t>
  </si>
  <si>
    <t>VRLA</t>
  </si>
  <si>
    <t>FR0014003G27=</t>
  </si>
  <si>
    <t>3,6193150</t>
  </si>
  <si>
    <t>Herens Holdco SARL</t>
  </si>
  <si>
    <t>HERTOH</t>
  </si>
  <si>
    <t>427169AA5=</t>
  </si>
  <si>
    <t>350000000</t>
  </si>
  <si>
    <t>7,0466630</t>
  </si>
  <si>
    <t>LU234149032=</t>
  </si>
  <si>
    <t>ENI</t>
  </si>
  <si>
    <t>IT234473581=</t>
  </si>
  <si>
    <t>2,1111790</t>
  </si>
  <si>
    <t>EDENX</t>
  </si>
  <si>
    <t>FR0014003YP6=</t>
  </si>
  <si>
    <t>421638470</t>
  </si>
  <si>
    <t>0,1654290</t>
  </si>
  <si>
    <t>RXL</t>
  </si>
  <si>
    <t>2,1250</t>
  </si>
  <si>
    <t>FR233230634=</t>
  </si>
  <si>
    <t>3,7833030</t>
  </si>
  <si>
    <t>29278GAN8=</t>
  </si>
  <si>
    <t>4,3299620</t>
  </si>
  <si>
    <t>IT234646265=</t>
  </si>
  <si>
    <t>4,3059400</t>
  </si>
  <si>
    <t>3,3750</t>
  </si>
  <si>
    <t>GR235992981=</t>
  </si>
  <si>
    <t>5,7493680</t>
  </si>
  <si>
    <t>Valeo SE</t>
  </si>
  <si>
    <t>VLOF</t>
  </si>
  <si>
    <t>FR0014004UE6=</t>
  </si>
  <si>
    <t>4,0056250</t>
  </si>
  <si>
    <t>SUZBCS</t>
  </si>
  <si>
    <t>86964WAL6=</t>
  </si>
  <si>
    <t>500000000</t>
  </si>
  <si>
    <t>5,3653430</t>
  </si>
  <si>
    <t>0,6250</t>
  </si>
  <si>
    <t>NL238539072=</t>
  </si>
  <si>
    <t>2,6866190</t>
  </si>
  <si>
    <t>NOVFN</t>
  </si>
  <si>
    <t>CH223599621=</t>
  </si>
  <si>
    <t>1950078003</t>
  </si>
  <si>
    <t>1,6875500</t>
  </si>
  <si>
    <t>CCHEX</t>
  </si>
  <si>
    <t>FR239998143=</t>
  </si>
  <si>
    <t>4,2829800</t>
  </si>
  <si>
    <t>Lune Holdings SARL</t>
  </si>
  <si>
    <t>APLUXJ</t>
  </si>
  <si>
    <t>LU240672715=</t>
  </si>
  <si>
    <t>7,4149040</t>
  </si>
  <si>
    <t>LU240672740=RRPS</t>
  </si>
  <si>
    <t>7,2928290</t>
  </si>
  <si>
    <t>0,8270</t>
  </si>
  <si>
    <t>SE0013360542=</t>
  </si>
  <si>
    <t>50918571</t>
  </si>
  <si>
    <t>1,6335680</t>
  </si>
  <si>
    <t>ACCP</t>
  </si>
  <si>
    <t>FR0014006ND8=</t>
  </si>
  <si>
    <t>4,3647970</t>
  </si>
  <si>
    <t>3,0000</t>
  </si>
  <si>
    <t>FR0014000X11=</t>
  </si>
  <si>
    <t>CRIP</t>
  </si>
  <si>
    <t>FR0014000SC2=</t>
  </si>
  <si>
    <t>129528086</t>
  </si>
  <si>
    <t>1,9250</t>
  </si>
  <si>
    <t>SE0016274278=</t>
  </si>
  <si>
    <t>35642999</t>
  </si>
  <si>
    <t>4,0512940</t>
  </si>
  <si>
    <t>GEK TERNA Holdings Real Estate Construction SA</t>
  </si>
  <si>
    <t>HRM</t>
  </si>
  <si>
    <t>2,3000</t>
  </si>
  <si>
    <t>GRC145121CD2=</t>
  </si>
  <si>
    <t>Greece</t>
  </si>
  <si>
    <t>3,6893440</t>
  </si>
  <si>
    <t>FR240342847=</t>
  </si>
  <si>
    <t>4,0943440</t>
  </si>
  <si>
    <t>Sanofi SA</t>
  </si>
  <si>
    <t>SASY</t>
  </si>
  <si>
    <t>1,2500</t>
  </si>
  <si>
    <t>FR0014009KQ0=</t>
  </si>
  <si>
    <t>1,6793570</t>
  </si>
  <si>
    <t>PERP</t>
  </si>
  <si>
    <t>FR0014009L57=</t>
  </si>
  <si>
    <t>2,0067820</t>
  </si>
  <si>
    <t>2,8750</t>
  </si>
  <si>
    <t>IT246636320=</t>
  </si>
  <si>
    <t>942826972</t>
  </si>
  <si>
    <t>3,5197920</t>
  </si>
  <si>
    <t>COK</t>
  </si>
  <si>
    <t>21039CAB0=</t>
  </si>
  <si>
    <t>6,2914010</t>
  </si>
  <si>
    <t>USF21107AB74=</t>
  </si>
  <si>
    <t>6,3653880</t>
  </si>
  <si>
    <t>5,1250</t>
  </si>
  <si>
    <t>88167AAQ4=</t>
  </si>
  <si>
    <t>7,0485700</t>
  </si>
  <si>
    <t>Herens Midco SARL</t>
  </si>
  <si>
    <t>HERTOM</t>
  </si>
  <si>
    <t>LU234013734=</t>
  </si>
  <si>
    <t>484884260</t>
  </si>
  <si>
    <t>8,9762810</t>
  </si>
  <si>
    <t>LU234013742=RRPS</t>
  </si>
  <si>
    <t>8,7864760</t>
  </si>
  <si>
    <t>Aegea Finance SARL</t>
  </si>
  <si>
    <t>CNTRAC</t>
  </si>
  <si>
    <t>6,7500</t>
  </si>
  <si>
    <t>00775CAB2=</t>
  </si>
  <si>
    <t>7,2081980</t>
  </si>
  <si>
    <t>BR247695630=</t>
  </si>
  <si>
    <t>Arcos Dorados Holdings Inc</t>
  </si>
  <si>
    <t>6,1250</t>
  </si>
  <si>
    <t>VG244937969=</t>
  </si>
  <si>
    <t>6,4418040</t>
  </si>
  <si>
    <t>03965TAB9=</t>
  </si>
  <si>
    <t>6,4658880</t>
  </si>
  <si>
    <t>IT239040071=</t>
  </si>
  <si>
    <t>2,2979180</t>
  </si>
  <si>
    <t>Vestas Wind Sys</t>
  </si>
  <si>
    <t>VWSVE</t>
  </si>
  <si>
    <t>DK244992854=</t>
  </si>
  <si>
    <t>2,2262750</t>
  </si>
  <si>
    <t>SRG</t>
  </si>
  <si>
    <t>0,7500</t>
  </si>
  <si>
    <t>IT243321131=RRPS</t>
  </si>
  <si>
    <t>895981785</t>
  </si>
  <si>
    <t>2,3039160</t>
  </si>
  <si>
    <t>Repsol Europe Finance SARL</t>
  </si>
  <si>
    <t>REPRL</t>
  </si>
  <si>
    <t>ES236135829=</t>
  </si>
  <si>
    <t>2,1568650</t>
  </si>
  <si>
    <t>FR233514802=</t>
  </si>
  <si>
    <t>5,5142260</t>
  </si>
  <si>
    <t>FR233514870=RRPS</t>
  </si>
  <si>
    <t>5,4441180</t>
  </si>
  <si>
    <t>HMFNC</t>
  </si>
  <si>
    <t>NL230307091=</t>
  </si>
  <si>
    <t>2,5164140</t>
  </si>
  <si>
    <t>FR0014009E07=</t>
  </si>
  <si>
    <t>2,8274330</t>
  </si>
  <si>
    <t>ATOS</t>
  </si>
  <si>
    <t>FR0014006G24=</t>
  </si>
  <si>
    <t>843276974</t>
  </si>
  <si>
    <t>4,8261060</t>
  </si>
  <si>
    <t>DE241538672=</t>
  </si>
  <si>
    <t>3,0388130</t>
  </si>
  <si>
    <t>OEG</t>
  </si>
  <si>
    <t>LU243216265=</t>
  </si>
  <si>
    <t>4,6971500</t>
  </si>
  <si>
    <t>IT241226751=</t>
  </si>
  <si>
    <t>3,4784440</t>
  </si>
  <si>
    <t>AD</t>
  </si>
  <si>
    <t>NL231728830=</t>
  </si>
  <si>
    <t>2,2919810</t>
  </si>
  <si>
    <t>4,3750</t>
  </si>
  <si>
    <t>IL240660717=</t>
  </si>
  <si>
    <t>1581144326</t>
  </si>
  <si>
    <t>6,4656310</t>
  </si>
  <si>
    <t>0,5000</t>
  </si>
  <si>
    <t>IT235318229=</t>
  </si>
  <si>
    <t>2,4621560</t>
  </si>
  <si>
    <t>KLBNDA</t>
  </si>
  <si>
    <t>3,2000</t>
  </si>
  <si>
    <t>49836AAC8=</t>
  </si>
  <si>
    <t>6,2133650</t>
  </si>
  <si>
    <t>BR228416487=</t>
  </si>
  <si>
    <t>6,2779810</t>
  </si>
  <si>
    <t>86964WAJ1=</t>
  </si>
  <si>
    <t>5,7875050</t>
  </si>
  <si>
    <t>IT243229375=</t>
  </si>
  <si>
    <t>2,5392810</t>
  </si>
  <si>
    <t>JSLGCI</t>
  </si>
  <si>
    <t>5,2000</t>
  </si>
  <si>
    <t>82883PAA2=</t>
  </si>
  <si>
    <t>625000000</t>
  </si>
  <si>
    <t>8,0711930</t>
  </si>
  <si>
    <t>BR229034120=</t>
  </si>
  <si>
    <t>MOVDP</t>
  </si>
  <si>
    <t>62459LAA7=</t>
  </si>
  <si>
    <t>800000000</t>
  </si>
  <si>
    <t>8,1418240</t>
  </si>
  <si>
    <t>BR225208107=</t>
  </si>
  <si>
    <t>PLO037100016=</t>
  </si>
  <si>
    <t>7,7734890</t>
  </si>
  <si>
    <t>EWRSFY</t>
  </si>
  <si>
    <t>DEBHY0SL=</t>
  </si>
  <si>
    <t>2,2673430</t>
  </si>
  <si>
    <t>CH226121501=</t>
  </si>
  <si>
    <t>2,8086890</t>
  </si>
  <si>
    <t>SE233857033=</t>
  </si>
  <si>
    <t>3,3729970</t>
  </si>
  <si>
    <t>29278GAP3=</t>
  </si>
  <si>
    <t>4,5799130</t>
  </si>
  <si>
    <t>IT236507491=</t>
  </si>
  <si>
    <t>4,5820140</t>
  </si>
  <si>
    <t>IMTP</t>
  </si>
  <si>
    <t>BE234223216=</t>
  </si>
  <si>
    <t>3,3180450</t>
  </si>
  <si>
    <t>IT236400107=</t>
  </si>
  <si>
    <t>2,6650950</t>
  </si>
  <si>
    <t>ATLAE</t>
  </si>
  <si>
    <t>IT233732672=</t>
  </si>
  <si>
    <t>3,7352550</t>
  </si>
  <si>
    <t>Johnson Controls International PLC</t>
  </si>
  <si>
    <t>2,0000</t>
  </si>
  <si>
    <t>47837RAD2=</t>
  </si>
  <si>
    <t>4,4169960</t>
  </si>
  <si>
    <t>LEGD</t>
  </si>
  <si>
    <t>FR0014005OK3=</t>
  </si>
  <si>
    <t>1,9835000</t>
  </si>
  <si>
    <t>Holcim US Finance SARL &amp; Cie SCS</t>
  </si>
  <si>
    <t>LHNHO</t>
  </si>
  <si>
    <t>2,2400</t>
  </si>
  <si>
    <t>CH238220912=</t>
  </si>
  <si>
    <t>100000000</t>
  </si>
  <si>
    <t>3,8190820</t>
  </si>
  <si>
    <t>FR0014006EG0=</t>
  </si>
  <si>
    <t>3,8039600</t>
  </si>
  <si>
    <t>Kerry Group Financial Services Unlimited Co</t>
  </si>
  <si>
    <t>KYGKGF</t>
  </si>
  <si>
    <t>IE241483096=</t>
  </si>
  <si>
    <t>2,4003480</t>
  </si>
  <si>
    <t>JBS Finance Luxembourg SARL</t>
  </si>
  <si>
    <t>JBSSCX</t>
  </si>
  <si>
    <t>46592QAA7=</t>
  </si>
  <si>
    <t>5,8056050</t>
  </si>
  <si>
    <t>BR235432374=</t>
  </si>
  <si>
    <t>86964WAK8=</t>
  </si>
  <si>
    <t>5,8475170</t>
  </si>
  <si>
    <t>VOZGHN</t>
  </si>
  <si>
    <t>91845AAA3=</t>
  </si>
  <si>
    <t>1525000000</t>
  </si>
  <si>
    <t>7,0923710</t>
  </si>
  <si>
    <t>NL243228948=</t>
  </si>
  <si>
    <t>3,5000</t>
  </si>
  <si>
    <t>NL243101565=</t>
  </si>
  <si>
    <t>5,5775920</t>
  </si>
  <si>
    <t>NL243101603=RRPS</t>
  </si>
  <si>
    <t>5,4974780</t>
  </si>
  <si>
    <t>Rumo Luxembourg SARL</t>
  </si>
  <si>
    <t>RAILCR</t>
  </si>
  <si>
    <t>4,2000</t>
  </si>
  <si>
    <t>781467AE5=</t>
  </si>
  <si>
    <t>6,6783990</t>
  </si>
  <si>
    <t>BR238968097=</t>
  </si>
  <si>
    <t>SE246399077=</t>
  </si>
  <si>
    <t>3,6186750</t>
  </si>
  <si>
    <t>DE240795582=</t>
  </si>
  <si>
    <t>2,1674820</t>
  </si>
  <si>
    <t>ES236135853=</t>
  </si>
  <si>
    <t>2,6792710</t>
  </si>
  <si>
    <t>NL240689006=</t>
  </si>
  <si>
    <t>2,5807400</t>
  </si>
  <si>
    <t>IT241226778=</t>
  </si>
  <si>
    <t>3,9396730</t>
  </si>
  <si>
    <t>HRA</t>
  </si>
  <si>
    <t>IT239993338=</t>
  </si>
  <si>
    <t>2,7469480</t>
  </si>
  <si>
    <t>DK244992951=</t>
  </si>
  <si>
    <t>2,8066790</t>
  </si>
  <si>
    <t>IT243322685=</t>
  </si>
  <si>
    <t>2,7661920</t>
  </si>
  <si>
    <t>IT239040080=</t>
  </si>
  <si>
    <t>2,8585870</t>
  </si>
  <si>
    <t>1,1250</t>
  </si>
  <si>
    <t>IT206670673=</t>
  </si>
  <si>
    <t>2,7733730</t>
  </si>
  <si>
    <t>IT243229391=</t>
  </si>
  <si>
    <t>2,8470800</t>
  </si>
  <si>
    <t>ENOR</t>
  </si>
  <si>
    <t>ES022974300=1M</t>
  </si>
  <si>
    <t>31622886</t>
  </si>
  <si>
    <t>IT235318237=</t>
  </si>
  <si>
    <t>2,9576850</t>
  </si>
  <si>
    <t>GSUNI</t>
  </si>
  <si>
    <t>NL239353959=</t>
  </si>
  <si>
    <t>2,2518530</t>
  </si>
  <si>
    <t>VERB</t>
  </si>
  <si>
    <t>0,9000</t>
  </si>
  <si>
    <t>AT232074639=</t>
  </si>
  <si>
    <t>2,2467760</t>
  </si>
  <si>
    <t>Kelag kaerntner Elektrizitaets AG</t>
  </si>
  <si>
    <t>KAENBK</t>
  </si>
  <si>
    <t>1,1500</t>
  </si>
  <si>
    <t>AT232887346=</t>
  </si>
  <si>
    <t>29278GAQ1=</t>
  </si>
  <si>
    <t>750000000</t>
  </si>
  <si>
    <t>5,0588670</t>
  </si>
  <si>
    <t>IT236509630=</t>
  </si>
  <si>
    <t>5,0345280</t>
  </si>
  <si>
    <t>ANATEH</t>
  </si>
  <si>
    <t>46653KAC2=</t>
  </si>
  <si>
    <t>5,5261370</t>
  </si>
  <si>
    <t>USN4717KBG06=</t>
  </si>
  <si>
    <t>5,4409980</t>
  </si>
  <si>
    <t>AKHFOP</t>
  </si>
  <si>
    <t>0,8900</t>
  </si>
  <si>
    <t>Japanese Yen</t>
  </si>
  <si>
    <t>77023800</t>
  </si>
  <si>
    <t>5,28E+08</t>
  </si>
  <si>
    <t>6,42E+08</t>
  </si>
  <si>
    <t>1,5</t>
  </si>
  <si>
    <t>8,02E+08</t>
  </si>
  <si>
    <t>5,37E+08</t>
  </si>
  <si>
    <t>1,25</t>
  </si>
  <si>
    <t>6,44E+08</t>
  </si>
  <si>
    <t>2,5</t>
  </si>
  <si>
    <t>5,27E+08</t>
  </si>
  <si>
    <t>2,23E+08</t>
  </si>
  <si>
    <t>0,55</t>
  </si>
  <si>
    <t>1,25E+09</t>
  </si>
  <si>
    <t>3,21E+08</t>
  </si>
  <si>
    <t>8,34E+08</t>
  </si>
  <si>
    <t>5,35E+08</t>
  </si>
  <si>
    <t>4,76</t>
  </si>
  <si>
    <t>1,5E+09</t>
  </si>
  <si>
    <t>4,75</t>
  </si>
  <si>
    <t>5,61E+08</t>
  </si>
  <si>
    <t>0,29</t>
  </si>
  <si>
    <t>3,16</t>
  </si>
  <si>
    <t>5,67E+08</t>
  </si>
  <si>
    <t>5,71E+08</t>
  </si>
  <si>
    <t>0,75</t>
  </si>
  <si>
    <t>4,15E+08</t>
  </si>
  <si>
    <t>9,01E+08</t>
  </si>
  <si>
    <t>1,75</t>
  </si>
  <si>
    <t>5,95E+08</t>
  </si>
  <si>
    <t>7,18E+08</t>
  </si>
  <si>
    <t>7,76E+08</t>
  </si>
  <si>
    <t>8,98E+08</t>
  </si>
  <si>
    <t>1,78E+08</t>
  </si>
  <si>
    <t>3,25</t>
  </si>
  <si>
    <t>3,5</t>
  </si>
  <si>
    <t>5,75</t>
  </si>
  <si>
    <t>4,7E+08</t>
  </si>
  <si>
    <t>0,5</t>
  </si>
  <si>
    <t>7,68E+08</t>
  </si>
  <si>
    <t>3,55E+08</t>
  </si>
  <si>
    <t>5,84E+08</t>
  </si>
  <si>
    <t>4,66E+08</t>
  </si>
  <si>
    <t>4,25</t>
  </si>
  <si>
    <t>8,82E+08</t>
  </si>
  <si>
    <t>3,51</t>
  </si>
  <si>
    <t>6,74E+08</t>
  </si>
  <si>
    <t>9,31E+08</t>
  </si>
  <si>
    <t>1,7</t>
  </si>
  <si>
    <t>6,15E+08</t>
  </si>
  <si>
    <t>1,23E+09</t>
  </si>
  <si>
    <t>4,96E+08</t>
  </si>
  <si>
    <t>6,75</t>
  </si>
  <si>
    <t>4,5</t>
  </si>
  <si>
    <t>1,11E+09</t>
  </si>
  <si>
    <t>6,17E+08</t>
  </si>
  <si>
    <t>0,54</t>
  </si>
  <si>
    <t>2,15E+09</t>
  </si>
  <si>
    <t>1,54E+09</t>
  </si>
  <si>
    <t>2,46E+09</t>
  </si>
  <si>
    <t>1,05</t>
  </si>
  <si>
    <t>1,84E+09</t>
  </si>
  <si>
    <t>1,48E+08</t>
  </si>
  <si>
    <t>3,95</t>
  </si>
  <si>
    <t>1,98E+08</t>
  </si>
  <si>
    <t>1,06E+09</t>
  </si>
  <si>
    <t>3,09E+08</t>
  </si>
  <si>
    <t>5,91E+08</t>
  </si>
  <si>
    <t>8,75E+08</t>
  </si>
  <si>
    <t>0,25</t>
  </si>
  <si>
    <t>3,63</t>
  </si>
  <si>
    <t>5,89E+08</t>
  </si>
  <si>
    <t>8,77E+08</t>
  </si>
  <si>
    <t>6,96E+08</t>
  </si>
  <si>
    <t>8,71E+08</t>
  </si>
  <si>
    <t>1,87E+08</t>
  </si>
  <si>
    <t>3,8</t>
  </si>
  <si>
    <t>8,81E+08</t>
  </si>
  <si>
    <t>4,24</t>
  </si>
  <si>
    <t>1,49E+08</t>
  </si>
  <si>
    <t>0,39</t>
  </si>
  <si>
    <t>1,74E+08</t>
  </si>
  <si>
    <t>4,12</t>
  </si>
  <si>
    <t>1,05E+09</t>
  </si>
  <si>
    <t>1,75E+09</t>
  </si>
  <si>
    <t>3,48E+08</t>
  </si>
  <si>
    <t>1,65E+08</t>
  </si>
  <si>
    <t>1,63</t>
  </si>
  <si>
    <t>1,37E+08</t>
  </si>
  <si>
    <t>8,6E+08</t>
  </si>
  <si>
    <t>4,01E+08</t>
  </si>
  <si>
    <t>1,25E+08</t>
  </si>
  <si>
    <t>5,7E+08</t>
  </si>
  <si>
    <t>8,04E+08</t>
  </si>
  <si>
    <t>2,31E+08</t>
  </si>
  <si>
    <t>5,69E+08</t>
  </si>
  <si>
    <t>0,8</t>
  </si>
  <si>
    <t>8,54E+08</t>
  </si>
  <si>
    <t>6,86E+08</t>
  </si>
  <si>
    <t>4,51</t>
  </si>
  <si>
    <t>1,93E+08</t>
  </si>
  <si>
    <t>6,18E+08</t>
  </si>
  <si>
    <t>7,38E+08</t>
  </si>
  <si>
    <t>5,68E+08</t>
  </si>
  <si>
    <t>8,44E+08</t>
  </si>
  <si>
    <t>5,8</t>
  </si>
  <si>
    <t>7,5E+08</t>
  </si>
  <si>
    <t>4,56E+08</t>
  </si>
  <si>
    <t>2,75</t>
  </si>
  <si>
    <t>1,51E+08</t>
  </si>
  <si>
    <t>5,21</t>
  </si>
  <si>
    <t>5,08</t>
  </si>
  <si>
    <t>2,24E+08</t>
  </si>
  <si>
    <t>0,01</t>
  </si>
  <si>
    <t>1,27E+08</t>
  </si>
  <si>
    <t>2,09</t>
  </si>
  <si>
    <t>9,03E+08</t>
  </si>
  <si>
    <t>1,03E+08</t>
  </si>
  <si>
    <t>1,1E+09</t>
  </si>
  <si>
    <t>1,09E+09</t>
  </si>
  <si>
    <t>5,42E+08</t>
  </si>
  <si>
    <t>1,08E+09</t>
  </si>
  <si>
    <t>5,47E+08</t>
  </si>
  <si>
    <t>5,43E+08</t>
  </si>
  <si>
    <t>3,39E+08</t>
  </si>
  <si>
    <t>0,45</t>
  </si>
  <si>
    <t>0,46</t>
  </si>
  <si>
    <t>0,49</t>
  </si>
  <si>
    <t>7,31E+08</t>
  </si>
  <si>
    <t>6,59E+08</t>
  </si>
  <si>
    <t>0,08</t>
  </si>
  <si>
    <t>5,62E+08</t>
  </si>
  <si>
    <t>4,51E+08</t>
  </si>
  <si>
    <t>8,42E+08</t>
  </si>
  <si>
    <t>1,38</t>
  </si>
  <si>
    <t>6,72E+08</t>
  </si>
  <si>
    <t>3,25E+08</t>
  </si>
  <si>
    <t>3,75</t>
  </si>
  <si>
    <t>8,25E+08</t>
  </si>
  <si>
    <t>5,88E+08</t>
  </si>
  <si>
    <t>0,44</t>
  </si>
  <si>
    <t>2,2</t>
  </si>
  <si>
    <t>6,07E+08</t>
  </si>
  <si>
    <t>0,7</t>
  </si>
  <si>
    <t>7,28E+08</t>
  </si>
  <si>
    <t>9,12E+08</t>
  </si>
  <si>
    <t>6,06E+08</t>
  </si>
  <si>
    <t>7,88E+08</t>
  </si>
  <si>
    <t>0,11</t>
  </si>
  <si>
    <t>0,02</t>
  </si>
  <si>
    <t>1,03E+09</t>
  </si>
  <si>
    <t>0,71</t>
  </si>
  <si>
    <t>3,05E+08</t>
  </si>
  <si>
    <t>-0,35</t>
  </si>
  <si>
    <t>1,76E+08</t>
  </si>
  <si>
    <t>5,93E+08</t>
  </si>
  <si>
    <t>9,16E+08</t>
  </si>
  <si>
    <t>1,19E+08</t>
  </si>
  <si>
    <t>5,92E+08</t>
  </si>
  <si>
    <t>0,03</t>
  </si>
  <si>
    <t>-0,4</t>
  </si>
  <si>
    <t>1,19E+09</t>
  </si>
  <si>
    <t>5,81E+08</t>
  </si>
  <si>
    <t>0,35</t>
  </si>
  <si>
    <t>0,4</t>
  </si>
  <si>
    <t>3,47E+08</t>
  </si>
  <si>
    <t>1,16E+09</t>
  </si>
  <si>
    <t>0,05</t>
  </si>
  <si>
    <t>2,72</t>
  </si>
  <si>
    <t>0,16</t>
  </si>
  <si>
    <t>-0,16</t>
  </si>
  <si>
    <t>5,58E+08</t>
  </si>
  <si>
    <t>0,42</t>
  </si>
  <si>
    <t>1,45E+08</t>
  </si>
  <si>
    <t>8,31E+08</t>
  </si>
  <si>
    <t>9,27E+08</t>
  </si>
  <si>
    <t>5,45E+08</t>
  </si>
  <si>
    <t>1,1</t>
  </si>
  <si>
    <t>4,2</t>
  </si>
  <si>
    <t>1,28E+09</t>
  </si>
  <si>
    <t>2,45</t>
  </si>
  <si>
    <t>1,6E+09</t>
  </si>
  <si>
    <t>1,35E+09</t>
  </si>
  <si>
    <t>4,08E+08</t>
  </si>
  <si>
    <t>9,49E+08</t>
  </si>
  <si>
    <t>8,13E+08</t>
  </si>
  <si>
    <t>6,78E+08</t>
  </si>
  <si>
    <t>3,68</t>
  </si>
  <si>
    <t>1,37E+09</t>
  </si>
  <si>
    <t>6,83E+08</t>
  </si>
  <si>
    <t>0,66</t>
  </si>
  <si>
    <t>3,01</t>
  </si>
  <si>
    <t>2,05E+08</t>
  </si>
  <si>
    <t>1,68E+08</t>
  </si>
  <si>
    <t>1,36E+09</t>
  </si>
  <si>
    <t>1,2</t>
  </si>
  <si>
    <t>1,84E+08</t>
  </si>
  <si>
    <t>1,52</t>
  </si>
  <si>
    <t>5,25</t>
  </si>
  <si>
    <t>1,95E+09</t>
  </si>
  <si>
    <t>0,78</t>
  </si>
  <si>
    <t>9,5E+08</t>
  </si>
  <si>
    <t>7,46E+08</t>
  </si>
  <si>
    <t>1,3</t>
  </si>
  <si>
    <t>6,21E+08</t>
  </si>
  <si>
    <t>1,66E+09</t>
  </si>
  <si>
    <t>1,13E+09</t>
  </si>
  <si>
    <t>3,41E+08</t>
  </si>
  <si>
    <t>1,49</t>
  </si>
  <si>
    <t>5,36E+08</t>
  </si>
  <si>
    <t>7,9E+08</t>
  </si>
  <si>
    <t>7,51E+08</t>
  </si>
  <si>
    <t>1,39E+09</t>
  </si>
  <si>
    <t>6,73E+08</t>
  </si>
  <si>
    <t>5,51E+08</t>
  </si>
  <si>
    <t>6,76E+08</t>
  </si>
  <si>
    <t>3,42E+08</t>
  </si>
  <si>
    <t>6,84E+08</t>
  </si>
  <si>
    <t>7,98E+08</t>
  </si>
  <si>
    <t>8,47E+08</t>
  </si>
  <si>
    <t>5,76E+08</t>
  </si>
  <si>
    <t>3,28E+08</t>
  </si>
  <si>
    <t>7,43E+08</t>
  </si>
  <si>
    <t>6,8E+08</t>
  </si>
  <si>
    <t>7,93E+08</t>
  </si>
  <si>
    <t>9,07E+08</t>
  </si>
  <si>
    <t>1,4E+09</t>
  </si>
  <si>
    <t>1,29E+09</t>
  </si>
  <si>
    <t>2,25</t>
  </si>
  <si>
    <t>2,8</t>
  </si>
  <si>
    <t>3,18</t>
  </si>
  <si>
    <t>3,5E+09</t>
  </si>
  <si>
    <t>3,15</t>
  </si>
  <si>
    <t>4,1</t>
  </si>
  <si>
    <t>1,65E+09</t>
  </si>
  <si>
    <t>8,24E+08</t>
  </si>
  <si>
    <t>7,01E+08</t>
  </si>
  <si>
    <t>1,12E+09</t>
  </si>
  <si>
    <t>3,96E+08</t>
  </si>
  <si>
    <t>9,55E+08</t>
  </si>
  <si>
    <t>1,01E+09</t>
  </si>
  <si>
    <t>6,71E+08</t>
  </si>
  <si>
    <t>4,4E+08</t>
  </si>
  <si>
    <t>3,35E+08</t>
  </si>
  <si>
    <t>1,07E+09</t>
  </si>
  <si>
    <t>8,48E+08</t>
  </si>
  <si>
    <t>8,95E+08</t>
  </si>
  <si>
    <t>5,65E+08</t>
  </si>
  <si>
    <t>8,53E+08</t>
  </si>
  <si>
    <t>9,98E+08</t>
  </si>
  <si>
    <t>7,12E+08</t>
  </si>
  <si>
    <t>0,13</t>
  </si>
  <si>
    <t>0,95</t>
  </si>
  <si>
    <t>2,75E+08</t>
  </si>
  <si>
    <t>0,07</t>
  </si>
  <si>
    <t>1,94E+08</t>
  </si>
  <si>
    <t>1,11E+08</t>
  </si>
  <si>
    <t>5,55E+08</t>
  </si>
  <si>
    <t>5,53E+08</t>
  </si>
  <si>
    <t>1,32E+08</t>
  </si>
  <si>
    <t>9,79E+08</t>
  </si>
  <si>
    <t>4,68E+08</t>
  </si>
  <si>
    <t>5,52E+08</t>
  </si>
  <si>
    <t>7,75E+08</t>
  </si>
  <si>
    <t>6,64E+08</t>
  </si>
  <si>
    <t>1,81E+08</t>
  </si>
  <si>
    <t>1,23</t>
  </si>
  <si>
    <t>8,26E+08</t>
  </si>
  <si>
    <t>6,14E+08</t>
  </si>
  <si>
    <t>4,3E+08</t>
  </si>
  <si>
    <t>5,49E+08</t>
  </si>
  <si>
    <t>1,64E+08</t>
  </si>
  <si>
    <t>8,29E+08</t>
  </si>
  <si>
    <t>5,6E+08</t>
  </si>
  <si>
    <t>2,9</t>
  </si>
  <si>
    <t>5,18</t>
  </si>
  <si>
    <t>5,57E+08</t>
  </si>
  <si>
    <t>2,84E+08</t>
  </si>
  <si>
    <t>4,45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</si>
</sst>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0.0000"/>
    <numFmt numFmtId="166" formatCode="yyyy-mm-dd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sz val="11.0"/>
      <color rgb="FF9C5700"/>
      <name val="Calibri"/>
    </font>
    <font>
      <sz val="12.0"/>
      <color rgb="FF000000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b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EB9C"/>
        <bgColor rgb="FFFFEB9C"/>
      </patternFill>
    </fill>
    <fill>
      <patternFill patternType="solid">
        <fgColor rgb="FF4A86E8"/>
        <bgColor rgb="FF4A86E8"/>
      </patternFill>
    </fill>
    <fill>
      <patternFill patternType="solid">
        <fgColor rgb="FF4F81BD"/>
        <bgColor rgb="FF4F81BD"/>
      </patternFill>
    </fill>
    <fill>
      <patternFill patternType="solid">
        <fgColor rgb="FFFFC7CE"/>
        <bgColor rgb="FFFFC7CE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  <xf borderId="1" fillId="3" fontId="2" numFmtId="0" xfId="0" applyAlignment="1" applyBorder="1" applyFill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3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shrinkToFit="0" vertical="bottom" wrapText="0"/>
    </xf>
    <xf borderId="1" fillId="4" fontId="2" numFmtId="0" xfId="0" applyAlignment="1" applyBorder="1" applyFont="1">
      <alignment readingOrder="0"/>
    </xf>
    <xf borderId="0" fillId="3" fontId="2" numFmtId="0" xfId="0" applyFont="1"/>
    <xf borderId="1" fillId="0" fontId="2" numFmtId="0" xfId="0" applyBorder="1" applyFont="1"/>
    <xf borderId="0" fillId="0" fontId="2" numFmtId="1" xfId="0" applyFont="1" applyNumberFormat="1"/>
    <xf borderId="0" fillId="4" fontId="4" numFmtId="0" xfId="0" applyFont="1"/>
    <xf borderId="0" fillId="4" fontId="5" numFmtId="0" xfId="0" applyFont="1"/>
    <xf borderId="0" fillId="0" fontId="6" numFmtId="0" xfId="0" applyAlignment="1" applyFont="1">
      <alignment shrinkToFit="0" vertical="bottom" wrapText="0"/>
    </xf>
    <xf borderId="1" fillId="4" fontId="3" numFmtId="0" xfId="0" applyBorder="1" applyFont="1"/>
    <xf borderId="0" fillId="0" fontId="7" numFmtId="0" xfId="0" applyAlignment="1" applyFont="1">
      <alignment readingOrder="0" shrinkToFit="0" vertical="bottom" wrapText="0"/>
    </xf>
    <xf borderId="0" fillId="5" fontId="2" numFmtId="0" xfId="0" applyFill="1" applyFont="1"/>
    <xf borderId="1" fillId="4" fontId="2" numFmtId="0" xfId="0" applyBorder="1" applyFont="1"/>
    <xf borderId="0" fillId="4" fontId="2" numFmtId="0" xfId="0" applyFont="1"/>
    <xf borderId="0" fillId="4" fontId="3" numFmtId="0" xfId="0" applyFont="1"/>
    <xf quotePrefix="1" borderId="0" fillId="0" fontId="2" numFmtId="0" xfId="0" applyAlignment="1" applyFont="1">
      <alignment readingOrder="0"/>
    </xf>
    <xf borderId="0" fillId="0" fontId="4" numFmtId="14" xfId="0" applyFont="1" applyNumberFormat="1"/>
    <xf borderId="0" fillId="4" fontId="2" numFmtId="164" xfId="0" applyAlignment="1" applyFont="1" applyNumberFormat="1">
      <alignment readingOrder="0"/>
    </xf>
    <xf borderId="0" fillId="0" fontId="2" numFmtId="165" xfId="0" applyFont="1" applyNumberFormat="1"/>
    <xf borderId="0" fillId="6" fontId="8" numFmtId="0" xfId="0" applyAlignment="1" applyFill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3" numFmtId="166" xfId="0" applyAlignment="1" applyFont="1" applyNumberFormat="1">
      <alignment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2" numFmtId="4" xfId="0" applyFont="1" applyNumberFormat="1"/>
    <xf borderId="2" fillId="0" fontId="4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top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2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0" fillId="7" fontId="3" numFmtId="0" xfId="0" applyAlignment="1" applyFill="1" applyFont="1">
      <alignment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O293" sheet="SLBs"/>
  </cacheSource>
  <cacheFields>
    <cacheField name="ID" numFmtId="0">
      <sharedItems containsSemiMixedTypes="0" containsString="0" containsNumber="1" containsInteger="1">
        <n v="61.0"/>
        <n v="54.0"/>
        <n v="55.0"/>
        <n v="22.0"/>
        <n v="23.0"/>
        <n v="24.0"/>
        <n v="20.0"/>
        <n v="19.0"/>
        <n v="21.0"/>
        <n v="245.0"/>
        <n v="204.0"/>
        <n v="205.0"/>
        <n v="56.0"/>
        <n v="57.0"/>
        <n v="58.0"/>
        <n v="59.0"/>
        <n v="60.0"/>
        <n v="131.0"/>
        <n v="236.0"/>
        <n v="265.0"/>
        <n v="200.0"/>
        <n v="199.0"/>
        <n v="10.0"/>
        <n v="11.0"/>
        <n v="40.0"/>
        <n v="157.0"/>
        <n v="158.0"/>
        <n v="250.0"/>
        <n v="251.0"/>
        <n v="252.0"/>
        <n v="239.0"/>
        <n v="238.0"/>
        <n v="214.0"/>
        <n v="213.0"/>
        <n v="216.0"/>
        <n v="215.0"/>
        <n v="183.0"/>
        <n v="184.0"/>
        <n v="276.0"/>
        <n v="46.0"/>
        <n v="47.0"/>
        <n v="119.0"/>
        <n v="120.0"/>
        <n v="147.0"/>
        <n v="146.0"/>
        <n v="150.0"/>
        <n v="148.0"/>
        <n v="149.0"/>
        <n v="253.0"/>
        <n v="255.0"/>
        <n v="254.0"/>
        <n v="202.0"/>
        <n v="159.0"/>
        <n v="201.0"/>
        <n v="122.0"/>
        <n v="268.0"/>
        <n v="123.0"/>
        <n v="190.0"/>
        <n v="191.0"/>
        <n v="192.0"/>
        <n v="193.0"/>
        <n v="153.0"/>
        <n v="30.0"/>
        <n v="9.0"/>
        <n v="224.0"/>
        <n v="127.0"/>
        <n v="130.0"/>
        <n v="128.0"/>
        <n v="129.0"/>
        <n v="257.0"/>
        <n v="141.0"/>
        <n v="140.0"/>
        <n v="256.0"/>
        <n v="69.0"/>
        <n v="136.0"/>
        <n v="267.0"/>
        <n v="44.0"/>
        <n v="45.0"/>
        <n v="121.0"/>
        <n v="164.0"/>
        <n v="99.0"/>
        <n v="114.0"/>
        <n v="115.0"/>
        <n v="112.0"/>
        <n v="113.0"/>
        <n v="76.0"/>
        <n v="98.0"/>
        <n v="97.0"/>
        <n v="145.0"/>
        <n v="144.0"/>
        <n v="71.0"/>
        <n v="230.0"/>
        <n v="42.0"/>
        <n v="41.0"/>
        <n v="43.0"/>
        <n v="187.0"/>
        <n v="186.0"/>
        <n v="280.0"/>
        <n v="279.0"/>
        <n v="198.0"/>
        <n v="172.0"/>
        <n v="195.0"/>
        <n v="197.0"/>
        <n v="171.0"/>
        <n v="196.0"/>
        <n v="243.0"/>
        <n v="223.0"/>
        <n v="222.0"/>
        <n v="1.0"/>
        <n v="80.0"/>
        <n v="82.0"/>
        <n v="86.0"/>
        <n v="81.0"/>
        <n v="87.0"/>
        <n v="83.0"/>
        <n v="84.0"/>
        <n v="85.0"/>
        <n v="203.0"/>
        <n v="262.0"/>
        <n v="291.0"/>
        <n v="292.0"/>
        <n v="133.0"/>
        <n v="135.0"/>
        <n v="134.0"/>
        <n v="242.0"/>
        <n v="270.0"/>
        <n v="269.0"/>
        <n v="151.0"/>
        <n v="228.0"/>
        <n v="229.0"/>
        <n v="117.0"/>
        <n v="89.0"/>
        <n v="90.0"/>
        <n v="88.0"/>
        <n v="165.0"/>
        <n v="72.0"/>
        <n v="33.0"/>
        <n v="31.0"/>
        <n v="32.0"/>
        <n v="185.0"/>
        <n v="48.0"/>
        <n v="49.0"/>
        <n v="51.0"/>
        <n v="50.0"/>
        <n v="174.0"/>
        <n v="126.0"/>
        <n v="189.0"/>
        <n v="217.0"/>
        <n v="219.0"/>
        <n v="220.0"/>
        <n v="237.0"/>
        <n v="118.0"/>
        <n v="207.0"/>
        <n v="208.0"/>
        <n v="209.0"/>
        <n v="210.0"/>
        <n v="246.0"/>
        <n v="247.0"/>
        <n v="248.0"/>
        <n v="249.0"/>
        <n v="17.0"/>
        <n v="110.0"/>
        <n v="106.0"/>
        <n v="105.0"/>
        <n v="107.0"/>
        <n v="175.0"/>
        <n v="176.0"/>
        <n v="225.0"/>
        <n v="104.0"/>
        <n v="266.0"/>
        <n v="160.0"/>
        <n v="124.0"/>
        <n v="125.0"/>
        <n v="155.0"/>
        <n v="156.0"/>
        <n v="6.0"/>
        <n v="3.0"/>
        <n v="4.0"/>
        <n v="5.0"/>
        <n v="178.0"/>
        <n v="177.0"/>
        <n v="179.0"/>
        <n v="182.0"/>
        <n v="173.0"/>
        <n v="163.0"/>
        <n v="154.0"/>
        <n v="152.0"/>
        <n v="226.0"/>
        <n v="227.0"/>
        <n v="73.0"/>
        <n v="74.0"/>
        <n v="116.0"/>
        <n v="212.0"/>
        <n v="206.0"/>
        <n v="211.0"/>
        <n v="278.0"/>
        <n v="221.0"/>
        <n v="218.0"/>
        <n v="27.0"/>
        <n v="28.0"/>
        <n v="25.0"/>
        <n v="29.0"/>
        <n v="26.0"/>
        <n v="108.0"/>
        <n v="109.0"/>
        <n v="261.0"/>
        <n v="259.0"/>
        <n v="260.0"/>
        <n v="258.0"/>
        <n v="35.0"/>
        <n v="79.0"/>
        <n v="77.0"/>
        <n v="78.0"/>
        <n v="240.0"/>
        <n v="241.0"/>
        <n v="289.0"/>
        <n v="281.0"/>
        <n v="282.0"/>
        <n v="283.0"/>
        <n v="290.0"/>
        <n v="284.0"/>
        <n v="285.0"/>
        <n v="286.0"/>
        <n v="287.0"/>
        <n v="288.0"/>
        <n v="277.0"/>
        <n v="101.0"/>
        <n v="100.0"/>
        <n v="18.0"/>
        <n v="271.0"/>
        <n v="272.0"/>
        <n v="264.0"/>
        <n v="263.0"/>
        <n v="2.0"/>
        <n v="162.0"/>
        <n v="161.0"/>
        <n v="111.0"/>
        <n v="38.0"/>
        <n v="39.0"/>
        <n v="36.0"/>
        <n v="68.0"/>
        <n v="34.0"/>
        <n v="231.0"/>
        <n v="194.0"/>
        <n v="70.0"/>
        <n v="132.0"/>
        <n v="96.0"/>
        <n v="37.0"/>
        <n v="143.0"/>
        <n v="142.0"/>
        <n v="15.0"/>
        <n v="16.0"/>
        <n v="7.0"/>
        <n v="8.0"/>
        <n v="13.0"/>
        <n v="14.0"/>
        <n v="12.0"/>
        <n v="232.0"/>
        <n v="233.0"/>
        <n v="235.0"/>
        <n v="234.0"/>
        <n v="244.0"/>
        <n v="138.0"/>
        <n v="139.0"/>
        <n v="137.0"/>
        <n v="188.0"/>
        <n v="75.0"/>
        <n v="52.0"/>
        <n v="53.0"/>
        <n v="102.0"/>
        <n v="103.0"/>
        <n v="273.0"/>
        <n v="275.0"/>
        <n v="274.0"/>
        <n v="93.0"/>
        <n v="94.0"/>
        <n v="95.0"/>
        <n v="166.0"/>
        <n v="167.0"/>
        <n v="169.0"/>
        <n v="168.0"/>
        <n v="170.0"/>
        <n v="181.0"/>
        <n v="180.0"/>
        <n v="91.0"/>
        <n v="92.0"/>
        <n v="62.0"/>
        <n v="63.0"/>
        <n v="64.0"/>
        <n v="65.0"/>
        <n v="66.0"/>
        <n v="67.0"/>
      </sharedItems>
    </cacheField>
    <cacheField name="Issuer Name" numFmtId="0">
      <sharedItems>
        <s v="Duerr AG"/>
        <s v="Aurubis AG"/>
        <s v="Tauron Polska Energia SA"/>
        <s v="Puma SE"/>
        <s v="Holcim Finance Luxembourg SA"/>
        <s v="Schneider Electric SE"/>
        <s v="Veneziana Energia Risorse Idriche Territorio Ambiente Servizi SpA"/>
        <s v="Polski Koncern Naftowy ORLEN SA"/>
        <s v="Pikolin SL"/>
        <s v="Albioma SA"/>
        <s v="Chargeurs SA"/>
        <s v="Klabin Austria GmbH"/>
        <s v="Traton SE"/>
        <s v="Simpar Europe SA"/>
        <s v="Regit Eins GmbH"/>
        <s v="Movida Europe SA"/>
        <s v="Vossloh AG"/>
        <s v="Constellium SE"/>
        <s v="Grupo Pikolin SL"/>
        <s v="H&amp;M Finance BV"/>
        <s v="Jenoptik AG"/>
        <s v="Public Power Corp SA"/>
        <s v="Koninklijke Ahold Delhaize NV"/>
        <s v="Hapag-Lloyd AG"/>
        <s v="Verbund AG"/>
        <s v="PCF GmbH"/>
        <s v="Kelag-Kaerntner Elektrizitaets AG"/>
        <s v="Berlin Hyp AG"/>
        <s v="Aeroporti di Roma SpA"/>
        <s v="Rexel SA"/>
        <s v="Herens Holdco Sarl"/>
        <s v="Herens Midco Sarl"/>
        <s v="UBM Development AG"/>
        <s v="Iochpe-Maxion Austria GmbH / Maxion Wheels de Mexico S de RL de CV"/>
        <s v="EQT AB"/>
        <s v="Imerys SA"/>
        <s v="Verallia SA"/>
        <s v="Hammerson Ireland Finance DAC"/>
        <s v="Lakers Group AB"/>
        <s v="Eni SpA"/>
        <s v="Fritz Draexlmaier GmbH &amp; Co KG"/>
        <s v="Enel Finance International NV"/>
        <s v="JBS Finance Luxembourg Sarl"/>
        <s v="Edenred"/>
        <s v="SSAB AB"/>
        <s v="Constantia Flexibles GmbH"/>
        <s v="Nobian Finance BV"/>
        <s v="Zeppelin GmbH"/>
        <s v="Picard Groupe SAS"/>
        <s v="Lion/Polaris Lux 4 SA"/>
        <s v="Picard Bondco SA"/>
        <s v="Suzano Austria GmbH"/>
        <s v="Repsol Europe Finance Sarl"/>
        <s v="A2A SpA"/>
        <s v="Valeo"/>
        <s v="ista International GmbH"/>
        <s v="Holcim US Finance Sarl &amp; Cie SCS"/>
        <s v="Holding d'Infrastructures des Metiers de l'Environnement"/>
        <s v="Verde Bidco SpA"/>
        <s v="Johnson Controls International plc / Tyco Fire &amp; Security Finance SCA"/>
        <s v="Rumo Luxembourg Sarl"/>
        <s v="Granges AB"/>
        <s v="Legrand SA"/>
        <s v="Elecnor SA"/>
        <s v="Biesterfeld AG"/>
        <s v="Nederlandse Gasunie NV"/>
        <s v="Cullinan Holdco Scsp"/>
        <s v="Louis Dreyfus Co BV"/>
        <s v="Hera SpA"/>
        <s v="OVS SpA"/>
        <s v="Renolit SE"/>
        <s v="Seche Environnement SA"/>
        <s v="Greenfood AB"/>
        <s v="RHI Magnesita GmbH"/>
        <s v="Teva Pharmaceutical Finance Netherlands II BV"/>
        <s v="Teva Pharmaceutical Finance Netherlands III BV"/>
        <s v="Atos SE"/>
        <s v="Faurecia SE"/>
        <s v="Lune Holdings Sarl"/>
        <s v="Koninklijke KPN NV"/>
        <s v="Henkel AG &amp; Co KGaA"/>
        <s v="Kinnevik AB"/>
        <s v="Accor SA"/>
        <s v="ASTM SpA"/>
        <s v="M FINANCE SASU"/>
        <s v="Mota-Engil SGPS SA"/>
        <s v="Loomis AB"/>
        <s v="LANXESS AG"/>
        <s v="Kerry Group Financial Services Unltd Co"/>
        <s v="Kahrs BondCo AB"/>
        <s v="Rimini Bidco SpA"/>
        <s v="Elekta AB"/>
        <s v="GEK Terna Holding Real Estate Construction SA"/>
        <s v="YA Holding AB"/>
        <s v="BayWa AG"/>
        <s v="VZ Secured Financing BV"/>
        <s v="CPI Property Group SA"/>
        <s v="Snam SpA"/>
        <s v="degewo AG"/>
        <s v="Webuild SpA"/>
        <s v="FIS Fabbrica Italiana Sintetici SpA"/>
        <s v="Atrium Ljungberg AB"/>
        <s v="Vestas Wind Systems Finance BV"/>
        <s v="Varta AG"/>
        <s v="L'Oreal SA"/>
        <s v="Carrefour SA"/>
        <s v="Cabonline Group Holding AB"/>
        <s v="CEZ AS"/>
        <s v="Sanofi"/>
        <s v="Pernod Ricard SA"/>
        <s v="CapMan Oyj"/>
        <s v="JAB Holdings BV"/>
        <s v="Arcos Dorados BV"/>
        <s v="Aegea Finance Sarl"/>
        <s v="Arcadis NV"/>
        <s v="Saria SE &amp; Co KG"/>
        <s v="Indus Holding AG"/>
        <s v="Novartis Finance SA"/>
        <s v="Draegerwerk AG &amp; Co KGaA"/>
        <s v="Faber-Castell AG"/>
        <s v="Voith GmbH &amp; Co KGaA"/>
        <s v="Lenzing AG"/>
        <s v="Maire Tecnimont SpA"/>
      </sharedItems>
    </cacheField>
    <cacheField name="ISIN" numFmtId="0">
      <sharedItems>
        <s v="#N/A Field Not Applicable"/>
        <s v="PLO144500017"/>
        <s v="XS2261215011"/>
        <s v="FR0014000OG2"/>
        <s v="XS2254184547"/>
        <s v="PLPKN0000208"/>
        <s v="ES0205072020"/>
        <s v="FR0014000X03"/>
        <s v="FR0014000X11"/>
        <s v="FR0014000SC2"/>
        <s v="US49836AAC80"/>
        <s v="USA35155AE99"/>
        <s v="US82883PAA21"/>
        <s v="USL8449RAA79"/>
        <s v="US62459LAA70"/>
        <s v="USL65266AA36"/>
        <s v="DE000A3H2VA6"/>
        <s v="US21039CAB00"/>
        <s v="USF21107AB74"/>
        <s v="ES0305072011"/>
        <s v="XS2303070911"/>
        <s v="XS2314265237"/>
        <s v="XS2317288301"/>
        <s v="PLO037100016"/>
        <s v="XS2326550899"/>
        <s v="XS2320746394"/>
        <s v="XS2326548562"/>
        <s v="XS2333301757"/>
        <s v="XS2333302722"/>
        <s v="XS2333301674"/>
        <s v="XS2333302052"/>
        <s v="XS2328873463"/>
        <s v="DE000BHY0SL9"/>
        <s v="XS2337326727"/>
        <s v="XS2332306344"/>
        <s v="US427169AA59"/>
        <s v="XS2340137426"/>
        <s v="USL47909AA11"/>
        <s v="XS2340137343"/>
        <s v="AT0000A2QS11"/>
        <s v="US46188AAA25"/>
        <s v="USA3R74HAA50"/>
        <s v="XS2355161956"/>
        <s v="XS2338570331"/>
        <s v="FR0014003GX7"/>
        <s v="FR0014003G27"/>
        <s v="XS2335148701"/>
        <s v="XS2335148024"/>
        <s v="XS2344772426"/>
        <s v="NO0011017113"/>
        <s v="XS2344735811"/>
        <s v="XS2353182020"/>
        <s v="XS2353182293"/>
        <s v="XS2353182376"/>
        <s v="US46592QAA76"/>
        <s v="USL5S59NAA30"/>
        <s v="FR0014003YP6"/>
        <s v="XS2353270239"/>
        <s v="XS2358383896"/>
        <s v="XS2358383466"/>
        <s v="XS2361343267"/>
        <s v="XS2361343770"/>
        <s v="XS2361345478"/>
        <s v="XS2361342889"/>
        <s v="XS2361343697"/>
        <s v="XS2361344315"/>
        <s v="US86964WAK80"/>
        <s v="XS2361358299"/>
        <s v="XS2361358539"/>
        <s v="XS2364001078"/>
        <s v="US29278GAM06"/>
        <s v="US29278GAN88"/>
        <s v="US29278GAP37"/>
        <s v="US29278GAQ10"/>
        <s v="USN30706VC11"/>
        <s v="USN30706VD93"/>
        <s v="USN30706VE76"/>
        <s v="USN30706VF42"/>
        <s v="XS2359929812"/>
        <s v="FR0014004UE6"/>
        <s v="XS2382209125"/>
        <s v="XS2385389551"/>
        <s v="XS2385390724"/>
        <s v="US86964WAL63"/>
        <s v="XS2389120325"/>
        <s v="XS2389112736"/>
        <s v="US47837RAD26"/>
        <s v="US781467AE54"/>
        <s v="USL79090AD51"/>
        <s v="SE0013360476"/>
        <s v="XS2390400633"/>
        <s v="XS2390400716"/>
        <s v="XS2390400807"/>
        <s v="FR0014005OK3"/>
        <s v="ES0229743002"/>
        <s v="XS2393539593"/>
        <s v="XS2397355095"/>
        <s v="XS2397354288"/>
        <s v="XS2397354528"/>
        <s v="XS2397354015"/>
        <s v="XS2395419844"/>
        <s v="XS2399933386"/>
        <s v="XS2393520734"/>
        <s v="XS2399981435"/>
        <s v="SE0017072457"/>
        <s v="XS2406607098"/>
        <s v="XS2406607171"/>
        <s v="US88167AAQ40"/>
        <s v="US88167AAP66"/>
        <s v="FR0014006G24"/>
        <s v="XS2406727409"/>
        <s v="XS2406727151"/>
        <s v="XS2403428472"/>
        <s v="XS2405483301"/>
        <s v="FR0014006EG0"/>
        <s v="XS2406890066"/>
        <s v="XS2407955827"/>
        <s v="XS2407954002"/>
        <s v="SE0013360534"/>
        <s v="SE0013360542"/>
        <s v="FR0014006ND8"/>
        <s v="XS2412267358"/>
        <s v="XS2412267515"/>
        <s v="XS2412267788"/>
        <s v="FR0014004UD8"/>
        <s v="FR0014004UB2"/>
        <s v="FR0014004UC0"/>
        <s v="PTMENYOM0005"/>
        <s v="SE0013360559"/>
        <s v="XS2415386726"/>
        <s v="XS2414830963"/>
        <s v="SE0017085285"/>
        <s v="XS2417499832"/>
        <s v="XS2417486771"/>
        <s v="SE0016274260"/>
        <s v="SE0016274278"/>
        <s v="GRC145121CD2"/>
        <s v="SE0016831150"/>
        <s v="XS2431016034"/>
        <s v="XS2431015655"/>
        <s v="USN9T19KAA74"/>
        <s v="US91845AAA34"/>
        <s v="XS2432162654"/>
        <s v="XS2432293673"/>
        <s v="XS2432293756"/>
        <s v="XS2432293913"/>
        <s v="XS2433211310"/>
        <s v="XS2433226854"/>
        <s v="XS2437324333"/>
        <s v="XS2436585355"/>
        <s v="XS2436586247"/>
        <s v="SE0013883428"/>
        <s v="XS2449928543"/>
        <s v="XS2449929517"/>
        <s v="XS2457496359"/>
        <s v="XS2459163619"/>
        <s v="FR0014009EJ8"/>
        <s v="FR0014009DZ6"/>
        <s v="FR0014009E07"/>
        <s v="SE0017767346"/>
        <s v="XS2463988795"/>
        <s v="XS2461786829"/>
        <s v="FR0014009KQ0"/>
        <s v="FR0014009L57"/>
        <s v="XS2463990775"/>
        <s v="XS2463497201"/>
        <s v="XS2466363202"/>
        <s v="FI4000519178"/>
        <s v="US46653KAC27"/>
        <s v="USN4717KBG06"/>
        <s v="US03965TAB98"/>
        <s v="USP04568AB06"/>
        <s v="US00775CAB28"/>
        <s v="USL01343AA79"/>
        <s v="US86964WAJ18"/>
        <s v="XS2235996217"/>
        <s v="XS2244418609"/>
        <s v="XS2066706818"/>
        <s v="XS2066706909"/>
        <s v="XS2066706735"/>
        <s v="US29278GAL23"/>
        <s v="USN30707AM05"/>
      </sharedItems>
    </cacheField>
    <cacheField name="Bloomberg ID" numFmtId="0">
      <sharedItems>
        <s v="BG4373653"/>
        <s v="BG5616522"/>
        <s v="BG5616605"/>
        <s v="BJ4743974"/>
        <s v="BJ4744352"/>
        <s v="BJ4744360"/>
        <s v="BK2300865"/>
        <s v="BK2300873"/>
        <s v="BK2300881"/>
        <s v="BM1904754"/>
        <s v="BM2548139"/>
        <s v="BM2549186"/>
        <s v="BM3493996"/>
        <s v="BM3494424"/>
        <s v="BM3494432"/>
        <s v="BM3494457"/>
        <s v="BM3494465"/>
        <s v="BM6017461"/>
        <s v="BM6028963"/>
        <s v="BM8015802"/>
        <s v="BM9487067"/>
        <s v="BM9791419"/>
        <s v="BN0249456"/>
        <s v="BN0253896"/>
        <s v="BN0834745"/>
        <s v="BN3697297"/>
        <s v="BN3697396"/>
        <s v="BN4942759"/>
        <s v="BN4943351"/>
        <s v="BN4943443"/>
        <s v="BN5372337"/>
        <s v="BN5372345"/>
        <s v="BN6486508"/>
        <s v="BN6486912"/>
        <s v="BN6486920"/>
        <s v="BN6486938"/>
        <s v="BN7992819"/>
        <s v="BN7992835"/>
        <s v="BN9200765"/>
        <s v="BN9953066"/>
        <s v="BN9953165"/>
        <s v="BO0411690"/>
        <s v="BO0866331"/>
        <s v="BO2270474"/>
        <s v="BO2287999"/>
        <s v="BO2288013"/>
        <s v="BO2288021"/>
        <s v="BO2288039"/>
        <s v="BO4001745"/>
        <s v="BO4001760"/>
        <s v="BO4001778"/>
        <s v="BO4570236"/>
        <s v="BO5182908"/>
        <s v="BO6681916"/>
        <s v="BO7346857"/>
        <s v="BO7653054"/>
        <s v="BO8025047"/>
        <s v="BP0490451"/>
        <s v="BP0490469"/>
        <s v="BP0490477"/>
        <s v="BP0490485"/>
        <s v="BP0568710"/>
        <s v="BP0671035"/>
        <s v="BP2016262"/>
        <s v="BP2664129"/>
        <s v="BP2693730"/>
        <s v="BP2693748"/>
        <s v="BP2693755"/>
        <s v="BP2693763"/>
        <s v="BP3002782"/>
        <s v="BP3021477"/>
        <s v="BP3021485"/>
        <s v="BP3490789"/>
        <s v="BP3855841"/>
        <s v="BP3866681"/>
        <s v="BP4319292"/>
        <s v="BP5467942"/>
        <s v="BP5467959"/>
        <s v="BP7949749"/>
        <s v="BP8607064"/>
        <s v="BP8798616"/>
        <s v="BP9767255"/>
        <s v="BP9768873"/>
        <s v="BP9785794"/>
        <s v="BP9786156"/>
        <s v="BP9829774"/>
        <s v="BP9829808"/>
        <s v="BP9829816"/>
        <s v="BP9865349"/>
        <s v="BP9865356"/>
        <s v="BP9946271"/>
        <s v="BQ0031691"/>
        <s v="BQ1161117"/>
        <s v="BQ1161786"/>
        <s v="BQ1161794"/>
        <s v="BQ1586537"/>
        <s v="BQ1586552"/>
        <s v="BQ2320183"/>
        <s v="BQ2321892"/>
        <s v="BQ2953850"/>
        <s v="BQ2953868"/>
        <s v="BQ2953876"/>
        <s v="BQ2953892"/>
        <s v="BQ2954189"/>
        <s v="BQ2954205"/>
        <s v="BQ2995893"/>
        <s v="BQ3131753"/>
        <s v="BQ3131761"/>
        <s v="BQ3956720"/>
        <s v="BQ4396710"/>
        <s v="BQ4396728"/>
        <s v="BQ4396736"/>
        <s v="BQ4396744"/>
        <s v="BQ4396769"/>
        <s v="BQ4396777"/>
        <s v="BQ4396785"/>
        <s v="BQ4396793"/>
        <s v="BQ5041802"/>
        <s v="BQ6920418"/>
        <s v="BR0363092"/>
        <s v="BR0363373"/>
        <s v="BR1756716"/>
        <s v="BR3184446"/>
        <s v="BR3193496"/>
        <s v="BR3636874"/>
        <s v="BR4160098"/>
        <s v="BR4193255"/>
        <s v="BR4231683"/>
        <s v="BR4709829"/>
        <s v="BR4709845"/>
        <s v="BR5281596"/>
        <s v="BR5522767"/>
        <s v="BR5522783"/>
        <s v="BR5522809"/>
        <s v="BR6431919"/>
        <s v="BR6478951"/>
        <s v="BR6744469"/>
        <s v="BR6752157"/>
        <s v="BR6756869"/>
        <s v="BR7204091"/>
        <s v="BR7695454"/>
        <s v="BR7695462"/>
        <s v="BR7695512"/>
        <s v="BR7695538"/>
        <s v="BR8722620"/>
        <s v="BR8975129"/>
        <s v="BS0195161"/>
        <s v="BS0343308"/>
        <s v="BS0344702"/>
        <s v="BS0345642"/>
        <s v="BS1023271"/>
        <s v="BS1439477"/>
        <s v="BS1742383"/>
        <s v="BS1742524"/>
        <s v="BS1742532"/>
        <s v="BS1742540"/>
        <s v="BS1759346"/>
        <s v="BS1759429"/>
        <s v="BS1759452"/>
        <s v="BS1775391"/>
        <s v="BS1954855"/>
        <s v="BS2203120"/>
        <s v="BS2205612"/>
        <s v="BS2206420"/>
        <s v="BS2209622"/>
        <s v="BS2397401"/>
        <s v="BS2397476"/>
        <s v="BS2667019"/>
        <s v="BS2687603"/>
        <s v="BS2913736"/>
        <s v="BS3080196"/>
        <s v="BS3838106"/>
        <s v="BS3838114"/>
        <s v="BS4766942"/>
        <s v="BS4766959"/>
        <s v="BS4767460"/>
        <s v="BS4792864"/>
        <s v="BS4792872"/>
        <s v="BS4792906"/>
        <s v="BS4845456"/>
        <s v="BS4847320"/>
        <s v="BS4848583"/>
        <s v="BS5188310"/>
        <s v="BS5495509"/>
        <s v="BS5948655"/>
        <s v="BS5958647"/>
        <s v="BS6174186"/>
        <s v="BS6180258"/>
        <s v="BS6180290"/>
        <s v="BS8106574"/>
        <s v="BS8106590"/>
        <s v="BS8796234"/>
        <s v="BS8814508"/>
        <s v="BS8816255"/>
        <s v="BS8816669"/>
        <s v="BS9540193"/>
        <s v="BS9926319"/>
        <s v="BS9926327"/>
        <s v="BT2413768"/>
        <s v="BT2413925"/>
        <s v="BT2413933"/>
        <s v="BT2413941"/>
        <s v="BT2413966"/>
        <s v="BT2751928"/>
        <s v="BT2751951"/>
        <s v="BT3367682"/>
        <s v="BT3367799"/>
        <s v="BT3408114"/>
        <s v="BT3408833"/>
        <s v="BT3966533"/>
        <s v="BT4292533"/>
        <s v="BT4292558"/>
        <s v="BT4292566"/>
        <s v="BT4343112"/>
        <s v="BT4343138"/>
        <s v="BT5670141"/>
        <s v="BT5673616"/>
        <s v="BT5673632"/>
        <s v="BT5673640"/>
        <s v="BT5673665"/>
        <s v="BT5673673"/>
        <s v="BT5673681"/>
        <s v="BT5673699"/>
        <s v="BT5673707"/>
        <s v="BT5673772"/>
        <s v="BT5681023"/>
        <s v="BT9871315"/>
        <s v="BT9871331"/>
        <s v="BU3126846"/>
        <s v="BU6749503"/>
        <s v="BU6749586"/>
        <s v="BU9302615"/>
        <s v="BU9303993"/>
        <s v="BV1138858"/>
        <s v="BV2249076"/>
        <s v="BV4081634"/>
        <s v="BV4095907"/>
        <s v="BV4439030"/>
        <s v="BV4439048"/>
        <s v="BV5219233"/>
        <s v="BV5722137"/>
        <s v="BV5734215"/>
        <s v="BV6300149"/>
        <s v="BV6300610"/>
        <s v="BV6301808"/>
        <s v="BV6871503"/>
        <s v="BV7154339"/>
        <s v="BV7160799"/>
        <s v="BV7511991"/>
        <s v="BV7512007"/>
        <s v="BW0558104"/>
        <s v="BW0558112"/>
        <s v="BW1911534"/>
        <s v="BW1912169"/>
        <s v="ZO2068393"/>
        <s v="ZO2076883"/>
        <s v="ZO2076966"/>
        <s v="ZO4338356"/>
        <s v="ZO4339248"/>
        <s v="ZO4339677"/>
        <s v="ZO4339917"/>
        <s v="ZO4406484"/>
        <s v="ZO4853784"/>
        <s v="ZO4854253"/>
        <s v="ZO4854261"/>
        <s v="ZO5119995"/>
        <s v="ZO9275116"/>
        <s v="ZO9796350"/>
        <s v="ZO9796368"/>
        <s v="ZP4289051"/>
        <s v="ZP4289689"/>
        <s v="ZP5663015"/>
        <s v="ZP5670580"/>
        <s v="ZP5670671"/>
        <s v="ZQ0626247"/>
        <s v="ZQ0626254"/>
        <s v="ZQ0626262"/>
        <s v="ZQ3524308"/>
        <s v="ZQ3724734"/>
        <s v="ZQ3724742"/>
        <s v="ZQ3724759"/>
        <s v="ZQ3724767"/>
        <s v="ZQ3885113"/>
        <s v="ZQ3885279"/>
        <s v="ZR4855485"/>
        <s v="ZR4855493"/>
        <s v="ZS6974621"/>
        <s v="ZS6974936"/>
        <s v="ZS6974944"/>
        <s v="ZS6974969"/>
        <s v="ZS6974977"/>
        <s v="ZS6974985"/>
      </sharedItems>
    </cacheField>
    <cacheField name="FIGI" numFmtId="0">
      <sharedItems>
        <s v="BBG00S419B98"/>
        <s v="BBG00S5JHCR7"/>
        <s v="BBG00S5JHD04"/>
        <s v="BBG00TTCWZ96"/>
        <s v="BBG00TTCXCM1"/>
        <s v="BBG00TTCXCN0"/>
        <s v="BBG00VPKM8T6"/>
        <s v="BBG00VPKM8W2"/>
        <s v="BBG00VPKM8X1"/>
        <s v="BBG00Y1BMBQ2"/>
        <s v="BBG00Y2G8KT3"/>
        <s v="BBG00Y2G9VM5"/>
        <s v="BBG00Y48C8Y5"/>
        <s v="BBG00Y48CQV8"/>
        <s v="BBG00Y48CQX6"/>
        <s v="BBG00Y48CR37"/>
        <s v="BBG00Y48CRC7"/>
        <s v="BBG00Y709383"/>
        <s v="BBG00Y70L1G4"/>
        <s v="BBG00YCLMZT2"/>
        <s v="BBG00YG2BZ58"/>
        <s v="BBG00YGB1X09"/>
        <s v="BBG00YHHWJT1"/>
        <s v="BBG00YHJ1FQ2"/>
        <s v="BBG00YJHNG42"/>
        <s v="BBG00YS3VZM2"/>
        <s v="BBG00YS3W048"/>
        <s v="BBG00YVH5S33"/>
        <s v="BBG00YVH6LR1"/>
        <s v="BBG00YVH6M44"/>
        <s v="BBG00YXM2H28"/>
        <s v="BBG00YXM2HB8"/>
        <s v="BBG00YZBXP73"/>
        <s v="BBG00YZBY9K3"/>
        <s v="BBG00YZBY9M1"/>
        <s v="BBG00YZBY9S5"/>
        <s v="BBG00Z2XHXL3"/>
        <s v="BBG00Z2XHXQ8"/>
        <s v="BBG00Z5H8Z12"/>
        <s v="BBG00Z6PNZ07"/>
        <s v="BBG00Z6PNZG0"/>
        <s v="BBG00Z82GV30"/>
        <s v="BBG00Z8WZ932"/>
        <s v="BBG00ZF12DL9"/>
        <s v="BBG00ZF1CX70"/>
        <s v="BBG00ZF1CXH9"/>
        <s v="BBG00ZF1CXT6"/>
        <s v="BBG00ZF1CY41"/>
        <s v="BBG00ZJXLT93"/>
        <s v="BBG00ZJXLTD8"/>
        <s v="BBG00ZJXLTH4"/>
        <s v="BBG00ZKVGW85"/>
        <s v="BBG00ZLG9PY1"/>
        <s v="BBG00ZQYMVS6"/>
        <s v="BBG00ZS90181"/>
        <s v="BBG00ZSJDM98"/>
        <s v="BBG00ZTHF257"/>
        <s v="BBG0100PLMM6"/>
        <s v="BBG0100PLMX4"/>
        <s v="BBG0100PLMZ2"/>
        <s v="BBG0100PLN62"/>
        <s v="BBG0100RC7S9"/>
        <s v="BBG01015BGG0"/>
        <s v="BBG0107S0918"/>
        <s v="BBG010FN1YC2"/>
        <s v="BBG010FNLMS9"/>
        <s v="BBG010FNLMV5"/>
        <s v="BBG010FNLMW4"/>
        <s v="BBG010FNLN07"/>
        <s v="BBG010H4YJT1"/>
        <s v="BBG010HFB1N6"/>
        <s v="BBG010HFB1Q3"/>
        <s v="BBG010M9V7V0"/>
        <s v="BBG010RS38Y9"/>
        <s v="BBG010RS9RW3"/>
        <s v="BBG010TZBC19"/>
        <s v="BBG01135D1W9"/>
        <s v="BBG01135D1X8"/>
        <s v="BBG01173G6X5"/>
        <s v="BBG0118SLG25"/>
        <s v="BBG0118XV0B8"/>
        <s v="BBG011C1XWN8"/>
        <s v="BBG011C1YDB2"/>
        <s v="BBG011C3DB61"/>
        <s v="BBG011C40W12"/>
        <s v="BBG011C64FX5"/>
        <s v="BBG011C64G81"/>
        <s v="BBG011C64GK7"/>
        <s v="BBG011C76BK4"/>
        <s v="BBG011C76BN1"/>
        <s v="BBG011CBFPK4"/>
        <s v="BBG011CHC5T9"/>
        <s v="BBG011FRHKS7"/>
        <s v="BBG011FRJ928"/>
        <s v="BBG011FRJ937"/>
        <s v="BBG011JF2HL9"/>
        <s v="BBG011JF2HN7"/>
        <s v="BBG011KPDX29"/>
        <s v="BBG011KPH6F0"/>
        <s v="BBG011MCTKM5"/>
        <s v="BBG011MCTKR0"/>
        <s v="BBG011MCTL07"/>
        <s v="BBG011MCTL43"/>
        <s v="BBG011MCTM50"/>
        <s v="BBG011MCTMK3"/>
        <s v="BBG011MF43T6"/>
        <s v="BBG011MLK4J4"/>
        <s v="BBG011MLK4P7"/>
        <s v="BBG011PLBMH3"/>
        <s v="BBG011Q3W835"/>
        <s v="BBG011Q3W871"/>
        <s v="BBG011Q3W8Z0"/>
        <s v="BBG011Q3W942"/>
        <s v="BBG011Q3W9H8"/>
        <s v="BBG011Q3WB56"/>
        <s v="BBG011Q3WB83"/>
        <s v="BBG011Q3WBF5"/>
        <s v="BBG011RFPD70"/>
        <s v="BBG011XTZZP3"/>
        <s v="BBG01252KSY3"/>
        <s v="BBG01252LV66"/>
        <s v="BBG0129MLJ01"/>
        <s v="BBG012F0DHN0"/>
        <s v="BBG012F0KZS7"/>
        <s v="BBG012FD1XF9"/>
        <s v="BBG012HPF995"/>
        <s v="BBG012HQDNP6"/>
        <s v="BBG012HR2FX4"/>
        <s v="BBG012JJ8R40"/>
        <s v="BBG012JJ8RD0"/>
        <s v="BBG012MYMBX0"/>
        <s v="BBG012NHN0K3"/>
        <s v="BBG012NHN0Q7"/>
        <s v="BBG012NHN0W0"/>
        <s v="BBG012Q9B4H7"/>
        <s v="BBG012QBV2N7"/>
        <s v="BBG012QT8QL3"/>
        <s v="BBG012QTFC18"/>
        <s v="BBG012QTJF26"/>
        <s v="BBG012RXZWC0"/>
        <s v="BBG012T90WR3"/>
        <s v="BBG012T90X73"/>
        <s v="BBG012T91029"/>
        <s v="BBG012T910Q3"/>
        <s v="BBG012WWV5T1"/>
        <s v="BBG012XGD551"/>
        <s v="BBG0132T5YC3"/>
        <s v="BBG013347KZ0"/>
        <s v="BBG01334G0G5"/>
        <s v="BBG01334KXV1"/>
        <s v="BBG0135GHFL6"/>
        <s v="BBG013686HY7"/>
        <s v="BBG0136SDTT5"/>
        <s v="BBG0136SGRY0"/>
        <s v="BBG0136SGSG8"/>
        <s v="BBG0136SGTV9"/>
        <s v="BBG0136TNNQ8"/>
        <s v="BBG0136TNQ18"/>
        <s v="BBG0136TNRY0"/>
        <s v="BBG0136VL8H8"/>
        <s v="BBG0137X2DH3"/>
        <s v="BBG0138Z47N1"/>
        <s v="BBG0138ZCGC4"/>
        <s v="BBG0138ZHWX1"/>
        <s v="BBG0138ZPQG4"/>
        <s v="BBG0139H02R1"/>
        <s v="BBG0139H03V4"/>
        <s v="BBG0139YKRB4"/>
        <s v="BBG0139ZT3Q9"/>
        <s v="BBG013BM8ZQ7"/>
        <s v="BBG013CM0VJ1"/>
        <s v="BBG013FWQB84"/>
        <s v="BBG013FWQBQ4"/>
        <s v="BBG013JMFLL7"/>
        <s v="BBG013JMFMF2"/>
        <s v="BBG013JMPMT6"/>
        <s v="BBG013JP2L70"/>
        <s v="BBG013JP2M23"/>
        <s v="BBG013JP2PY1"/>
        <s v="BBG013JRK0H1"/>
        <s v="BBG013JRMJP9"/>
        <s v="BBG013JRSQR5"/>
        <s v="BBG013KN1016"/>
        <s v="BBG013MYTH22"/>
        <s v="BBG013PNCKN1"/>
        <s v="BBG013PPDGW4"/>
        <s v="BBG013Q9QBL8"/>
        <s v="BBG013QBJTC2"/>
        <s v="BBG013QBJTQ7"/>
        <s v="BBG013WMFZX8"/>
        <s v="BBG013WMG064"/>
        <s v="BBG013XYWMK5"/>
        <s v="BBG013Y0QG55"/>
        <s v="BBG013Y0W6J5"/>
        <s v="BBG013Y0WJV3"/>
        <s v="BBG01404GG62"/>
        <s v="BBG01412D5S8"/>
        <s v="BBG01412D5V4"/>
        <s v="BBG0149BVYS7"/>
        <s v="BBG0149BW6B5"/>
        <s v="BBG0149BW6F1"/>
        <s v="BBG0149BW6J7"/>
        <s v="BBG0149BW6P0"/>
        <s v="BBG014BFCLJ4"/>
        <s v="BBG014BFCLP7"/>
        <s v="BBG014D43343"/>
        <s v="BBG014D438Q8"/>
        <s v="BBG014D6F318"/>
        <s v="BBG014D6JTZ0"/>
        <s v="BBG014G3F2J5"/>
        <s v="BBG014GTTYY6"/>
        <s v="BBG014GTV031"/>
        <s v="BBG014GTV0J4"/>
        <s v="BBG014GXZ207"/>
        <s v="BBG014GXZ4M9"/>
        <s v="BBG014LKY8R8"/>
        <s v="BBG014LL3NG9"/>
        <s v="BBG014LL3NX0"/>
        <s v="BBG014LL3PM7"/>
        <s v="BBG014LL3Q36"/>
        <s v="BBG014LL3QG2"/>
        <s v="BBG014LL3QX3"/>
        <s v="BBG014LL3R52"/>
        <s v="BBG014LL3RM3"/>
        <s v="BBG014LL45K2"/>
        <s v="BBG014LLWV97"/>
        <s v="BBG014ZYYJ44"/>
        <s v="BBG014ZYYKB3"/>
        <s v="BBG01561W2S8"/>
        <s v="BBG015JQWQ42"/>
        <s v="BBG015JQWRH6"/>
        <s v="BBG015R5V118"/>
        <s v="BBG015R60762"/>
        <s v="BBG015XJG305"/>
        <s v="BBG0160XMH28"/>
        <s v="BBG0167XVGD1"/>
        <s v="BBG0167Z1CR3"/>
        <s v="BBG0168SHTJ3"/>
        <s v="BBG0168SHW06"/>
        <s v="BBG016C519Z1"/>
        <s v="BBG016DGDJP2"/>
        <s v="BBG016DHPQP1"/>
        <s v="BBG016FVB8G3"/>
        <s v="BBG016FVKCG4"/>
        <s v="BBG016FVV522"/>
        <s v="BBG016J5TZT3"/>
        <s v="BBG016K63167"/>
        <s v="BBG016K6QTV3"/>
        <s v="BBG016LBJ5Y8"/>
        <s v="BBG016LBJ8B7"/>
        <s v="BBG016Z4HQP5"/>
        <s v="BBG016Z4HSV4"/>
        <s v="BBG01730QSH1"/>
        <s v="BBG01730RH48"/>
        <s v="BBG00X02PN86"/>
        <s v="BBG00X02SWM7"/>
        <s v="BBG00X02SWZ3"/>
        <s v="BBG00X7YRF48"/>
        <s v="BBG00X7YSFH3"/>
        <s v="BBG00X7YT0S3"/>
        <s v="BBG00X7YTD87"/>
        <s v="BBG00X8QXQM3"/>
        <s v="BBG00XCC7X52"/>
        <s v="BBG00XCC88Z3"/>
        <s v="BBG00XCC8927"/>
        <s v="BBG00XDG9M27"/>
        <s v="BBG00XV18BH9"/>
        <s v="BBG00XWYFNT9"/>
        <s v="BBG00XWYFNX4"/>
        <s v="BBG00RCG6FQ3"/>
        <s v="BBG00RCG77L5"/>
        <s v="BBG00RFBZ7G8"/>
        <s v="BBG00RFC2D88"/>
        <s v="BBG00RFC2F01"/>
        <s v="BBG00QK2SJL0"/>
        <s v="BBG00QK2SJQ5"/>
        <s v="BBG00QK2SJW8"/>
        <s v="BBG00QQ5FGN5"/>
        <s v="BBG00QQ85TV3"/>
        <s v="BBG00QQ85TX1"/>
        <s v="BBG00QQ85TZ9"/>
        <s v="BBG00QQ85V02"/>
        <s v="BBG00QQFC3T9"/>
        <s v="BBG00QQFC8P2"/>
        <s v="BBG00Q69ZX05"/>
        <s v="BBG00Q69ZX78"/>
        <s v="BBG00P5B86Q4"/>
        <s v="BBG00P5B8G19"/>
        <s v="BBG00P5B8G28"/>
        <s v="BBG00P5B8G46"/>
        <s v="BBG00P5B8G64"/>
        <s v="BBG00P5B8G73"/>
      </sharedItems>
    </cacheField>
    <cacheField name="Ticker" numFmtId="0">
      <sharedItems>
        <s v="DUEGR"/>
        <s v="NDAGR"/>
        <s v="TPEPW"/>
        <s v="PUMGR"/>
        <s v="HOLNSW"/>
        <s v="SUFP"/>
        <s v="VRITAS"/>
        <s v="PKNPW"/>
        <s v="PIKLIN"/>
        <s v="ABIOFP"/>
        <s v="CRIFP"/>
        <s v="KLAB"/>
        <s v="TRAGR"/>
        <s v="SIMHBZ"/>
        <s v="TMVGR"/>
        <s v="MOVIBZ"/>
        <s v="VOSGR"/>
        <s v="CSTM"/>
        <s v="HMBSS"/>
        <s v="JENGR"/>
        <s v="PPCGA"/>
        <s v="ADNA"/>
        <s v="HPLGR"/>
        <s v="VERAV"/>
        <s v="PFLEID"/>
        <s v="KELAGG"/>
        <s v="BHH"/>
        <s v="ADRIT"/>
        <s v="RXLFP"/>
        <s v="LNZING"/>
        <s v="UBSAV"/>
        <s v="IOCMXW"/>
        <s v="EQTSS"/>
        <s v="NK"/>
        <s v="VRLAFP"/>
        <s v="HMSOLN"/>
        <s v="LAKGRP"/>
        <s v="ENIIM"/>
        <s v="DRAEXL"/>
        <s v="ENELIM"/>
        <s v="JBSSBZ"/>
        <s v="EDENFP"/>
        <s v="SSABAS"/>
        <s v="COFAV"/>
        <s v="NOHOLB"/>
        <s v="ZEPPEL"/>
        <s v="PICSUR"/>
        <s v="SUZANO"/>
        <s v="REPSM"/>
        <s v="AEMSPA"/>
        <s v="FRFP"/>
        <s v="ISTAGR"/>
        <s v="SAUR"/>
        <s v="ITLYUM"/>
        <s v="JCI"/>
        <s v="RAILBZ"/>
        <s v="GRNGSS"/>
        <s v="LRFP"/>
        <s v="ENOSM"/>
        <s v="BIFELD"/>
        <s v="NEGANV"/>
        <s v="GRAANU"/>
        <s v="LOUDRE"/>
        <s v="HERIM"/>
        <s v="GCNIM"/>
        <s v="RENODE"/>
        <s v="SCHPFP"/>
        <s v="GREFOD"/>
        <s v="RHIMLN"/>
        <s v="TEVA"/>
        <s v="ATOFP"/>
        <s v="EOFP"/>
        <s v="KEMONE"/>
        <s v="KPN"/>
        <s v="HENKEL"/>
        <s v="KINVB"/>
        <s v="ACFP"/>
        <s v="ATIM"/>
        <s v="MONNOY"/>
        <s v="EGLPL"/>
        <s v="LOOMBS"/>
        <s v="LXSGR"/>
        <s v="KYGID"/>
        <s v="KAHRSB"/>
        <s v="SAFFA"/>
        <s v="EKTAB"/>
        <s v="GEKTER"/>
        <s v="YDHDG"/>
        <s v="BYWGR"/>
        <s v="ZIGGO"/>
        <s v="CPIPGR"/>
        <s v="SRGIM"/>
        <s v="DEGEWO"/>
        <s v="IPGIM"/>
        <s v="FISITA"/>
        <s v="ATRLJB"/>
        <s v="VWSDC"/>
        <s v="VARGR"/>
        <s v="ORFP"/>
        <s v="CAFP"/>
        <s v="CABONL"/>
        <s v="CEZCP"/>
        <s v="SANFP"/>
        <s v="RIFP"/>
        <s v="CPMBV"/>
        <s v="JABHOL"/>
        <s v="ARCO"/>
        <s v="AEGEBZ"/>
        <s v="ARCAD"/>
        <s v="SARIAS"/>
        <s v="INHGR"/>
        <s v="NOVNVX"/>
        <s v="DRAGER"/>
        <s v="FABCAS"/>
        <s v="VOITGR"/>
        <s v="LNZAV"/>
        <s v="MTIM"/>
      </sharedItems>
    </cacheField>
    <cacheField name="Country/Region ISO Code" numFmtId="0">
      <sharedItems>
        <s v="DE"/>
        <s v="PL"/>
        <s v="LU"/>
        <s v="FR"/>
        <s v="IT"/>
        <s v="ES"/>
        <s v="AT"/>
        <s v="NL"/>
        <s v="GR"/>
        <s v="SE"/>
        <s v="IE"/>
        <s v="PT"/>
        <s v="CZ"/>
        <s v="FI"/>
      </sharedItems>
    </cacheField>
    <cacheField name="Cntry of Incorp" numFmtId="0">
      <sharedItems>
        <s v="DE"/>
        <s v="PL"/>
        <s v="LU"/>
        <s v="FR"/>
        <s v="IT"/>
        <s v="ES"/>
        <s v="AT"/>
        <s v="NL"/>
        <s v="GR"/>
        <s v="SE"/>
        <s v="IE"/>
        <s v="PT"/>
        <s v="CZ"/>
        <s v="FI"/>
      </sharedItems>
    </cacheField>
    <cacheField name="Cntry of Risk" numFmtId="0">
      <sharedItems>
        <s v="DE"/>
        <s v="PL"/>
        <s v="CH"/>
        <s v="US"/>
        <s v="IT"/>
        <s v="ES"/>
        <s v="FR"/>
        <s v="BR"/>
        <s v="SE"/>
        <s v="GR"/>
        <s v="NL"/>
        <s v="AT"/>
        <s v="LU"/>
        <s v="GB"/>
        <s v="NO"/>
        <s v="IL"/>
        <s v="PT"/>
        <s v="IE"/>
        <s v="CZ"/>
        <s v="FI"/>
      </sharedItems>
    </cacheField>
    <cacheField name="Cpn" numFmtId="0">
      <sharedItems containsSemiMixedTypes="0" containsString="0" containsNumber="1">
        <n v="0.0"/>
        <n v="7.45"/>
        <n v="0.5"/>
        <n v="3.25"/>
        <n v="3.56"/>
        <n v="5.15"/>
        <n v="2.85"/>
        <n v="3.0"/>
        <n v="3.2"/>
        <n v="5.2"/>
        <n v="5.25"/>
        <n v="4.0"/>
        <n v="3.75"/>
        <n v="0.25"/>
        <n v="3.875"/>
        <n v="0.375"/>
        <n v="2.875"/>
        <n v="2.5"/>
        <n v="0.9"/>
        <n v="4.75"/>
        <n v="1.15"/>
        <n v="1.75"/>
        <n v="2.125"/>
        <n v="3.125"/>
        <n v="5.0"/>
        <n v="5.5"/>
        <n v="0.875"/>
        <n v="1.0"/>
        <n v="1.625"/>
        <n v="6.79"/>
        <n v="3.625"/>
        <n v="1.8960000000000001"/>
        <n v="5.375"/>
        <n v="0.625"/>
        <n v="1.375"/>
        <n v="1.875"/>
        <n v="2.25"/>
        <n v="3.375"/>
        <n v="2.24"/>
        <n v="0.125"/>
        <n v="4.625"/>
        <n v="2.0"/>
        <n v="4.2"/>
        <n v="1.266"/>
        <n v="3.025"/>
        <n v="0.75"/>
        <n v="0.89"/>
        <n v="7.0"/>
        <n v="0.5629999999999998"/>
        <n v="0.363"/>
        <n v="0.313"/>
        <n v="4.375"/>
        <n v="5.125"/>
        <n v="5.625"/>
        <n v="2.75"/>
        <n v="0.627"/>
        <n v="0.8270000000000001"/>
        <n v="2.375"/>
        <n v="1.5"/>
        <n v="2.6"/>
        <n v="2.475"/>
        <n v="2.95"/>
        <n v="4.25"/>
        <n v="1.29"/>
        <n v="6.0"/>
        <n v="0.9209999999999999"/>
        <n v="1.925"/>
        <n v="2.3"/>
        <n v="1.277"/>
        <n v="0.213"/>
        <n v="0.85"/>
        <n v="8.801"/>
        <n v="3.5"/>
        <n v="1.25"/>
        <n v="1.332"/>
        <n v="9.572000000000001"/>
        <n v="4.5"/>
        <n v="6.125"/>
        <n v="6.75"/>
        <n v="1.125"/>
        <n v="2.65"/>
      </sharedItems>
    </cacheField>
    <cacheField name="Issue Date">
      <sharedItems containsDate="1" containsMixedTypes="1">
        <s v="2020-04-06"/>
        <s v="2020-06-23"/>
        <s v="2020-10-30"/>
        <s v="2020-12-16"/>
        <s v="2021-01-14"/>
        <s v="2020-11-23"/>
        <s v="2020-11-24"/>
        <s v="2020-12-09"/>
        <s v="2020-12-22"/>
        <s v="2020-12-04"/>
        <s v="2020-12-07"/>
        <s v="2020-12-14"/>
        <s v="2021-01-12"/>
        <s v="2021-03-03"/>
        <s v="2021-01-20"/>
        <s v="2021-03-04"/>
        <s v="2021-02-08"/>
        <s v="2021-02-23"/>
        <s v="2021-02-24"/>
        <s v="2021-02-25"/>
        <s v="2021-03-31"/>
        <s v="2021-03-18"/>
        <s v="2021-03-25"/>
        <s v="2021-04-06"/>
        <s v="2021-04-01"/>
        <s v="2021-04-22"/>
        <s v="2021-04-16"/>
        <s v="2021-04-21"/>
        <s v="2021-04-30"/>
        <s v="2021-05-05"/>
        <s v="2021-05-14"/>
        <s v="2021-05-21"/>
        <s v="2021-05-07"/>
        <s v="2021-06-18"/>
        <s v="2021-06-02"/>
        <s v="2021-06-03"/>
        <s v="2021-06-09"/>
        <s v="2021-06-14"/>
        <s v="2021-07-06"/>
        <s v="2021-06-17"/>
        <s v="2021-06-15"/>
        <s v="2021-06-16"/>
        <s v="2021-08-04"/>
        <s v="2021-07-01"/>
        <s v="2021-08-06"/>
        <s v="2021-07-07"/>
        <s v="2021-07-15"/>
        <s v="2021-07-12"/>
        <s v="2021-07-21"/>
        <s v="2021-08-03"/>
        <s v="2021-09-23"/>
        <s v="2021-09-02"/>
        <s v="2021-09-16"/>
        <s v="2021-09-13"/>
        <s v="2021-10-01"/>
        <s v="2021-09-22"/>
        <s v="2021-09-29"/>
        <s v="2021-09-28"/>
        <s v="2021-10-06"/>
        <s v="2021-09-30"/>
        <s v="2021-11-10"/>
        <s v="2021-10-13"/>
        <s v="2021-10-12"/>
        <s v="2021-10-25"/>
        <s v="2021-12-13"/>
        <s v="2021-11-04"/>
        <s v="2021-12-07"/>
        <s v="2021-11-09"/>
        <s v="2021-11-12"/>
        <s v="2021-12-22"/>
        <s v="2021-11-18"/>
        <s v="2021-11-15"/>
        <s v="2021-11-17"/>
        <s v="2021-11-23"/>
        <s v="2021-11-29"/>
        <s v="2021-11-25"/>
        <d v="2021-11-25T00:00:00Z"/>
        <s v="2021-10-04"/>
        <s v="2021-12-02"/>
        <s v="2021-11-30"/>
        <s v="2021-12-01"/>
        <s v="2021-12-14"/>
        <s v="2021-12-17"/>
        <s v="2021-12-21"/>
        <s v="2022-01-20"/>
        <s v="2022-01-14"/>
        <s v="2022-01-17"/>
        <s v="2022-02-24"/>
        <s v="2022-01-28"/>
        <s v="2022-02-10"/>
        <s v="2022-02-22"/>
        <s v="2022-03-15"/>
        <s v="2022-03-30"/>
        <s v="2022-03-16"/>
        <s v="2022-03-22"/>
        <s v="2022-03-29"/>
        <s v="2022-02-25"/>
        <s v="2022-04-19"/>
        <s v="2022-04-06"/>
        <s v="2022-04-07"/>
        <s v="2022-04-01"/>
        <s v="2022-04-11"/>
        <s v="2022-04-13"/>
        <s v="2022-04-08"/>
        <s v="2022-04-27"/>
        <s v="2022-05-06"/>
        <s v="2020-10-14"/>
        <s v="2020-11-30"/>
        <s v="2020-09-14"/>
        <s v="2020-09-15"/>
        <s v="2020-09-23"/>
        <s v="2020-10-20"/>
        <s v="2021-01-04"/>
        <s v="2020-02-19"/>
        <s v="2020-02-26"/>
        <s v="2019-10-17"/>
        <s v="2019-12-09"/>
        <s v="2019-12-11"/>
        <s v="2019-09-10"/>
        <s v="2019-07-04"/>
      </sharedItems>
    </cacheField>
    <cacheField name="Maturity" numFmtId="0">
      <sharedItems>
        <s v="2030-04-06"/>
        <s v="2027-04-06"/>
        <s v="2025-04-06"/>
        <s v="2027-06-23"/>
        <s v="2025-06-23"/>
        <s v="2023-06-23"/>
        <s v="2025-10-30"/>
        <s v="2025-12-16"/>
        <s v="2023-12-16"/>
        <s v="2031-01-14"/>
        <s v="2028-01-17"/>
        <s v="2027-01-14"/>
        <s v="2025-01-14"/>
        <s v="2024-01-14"/>
        <s v="2031-04-23"/>
        <s v="2026-06-15"/>
        <s v="2027-12-09"/>
        <s v="2025-12-22"/>
        <s v="2026-12-14"/>
        <s v="2027-12-07"/>
        <s v="2028-12-07"/>
        <s v="2028-12-14"/>
        <s v="2031-01-12"/>
        <s v="2028-03-03"/>
        <s v="2026-03-03"/>
        <s v="2024-03-03"/>
        <s v="2031-01-26"/>
        <s v="2031-03-04"/>
        <s v="2028-03-04"/>
        <s v="2026-03-04"/>
        <s v="2024-03-04"/>
        <s v="2031-02-08"/>
        <s v="#N/A Field Not Applicable"/>
        <s v="2029-04-15"/>
        <s v="2025-02-25"/>
        <s v="2029-08-25"/>
        <s v="2031-03-31"/>
        <s v="2028-03-31"/>
        <s v="2026-03-31"/>
        <s v="2024-03-31"/>
        <s v="2026-03-30"/>
        <s v="2030-03-18"/>
        <s v="2031-03-25"/>
        <s v="2028-04-15"/>
        <s v="2041-04-01"/>
        <s v="2026-04-15"/>
        <s v="2041-04-16"/>
        <s v="2031-04-21"/>
        <s v="2031-07-30"/>
        <s v="2028-06-15"/>
        <s v="2028-05-15"/>
        <s v="2029-05-15"/>
        <s v="2026-05-21"/>
        <s v="2028-05-07"/>
        <s v="2031-05-14"/>
        <s v="2031-07-15"/>
        <s v="2028-05-14"/>
        <s v="2029-07-15"/>
        <s v="2027-06-03"/>
        <s v="2025-06-09"/>
        <s v="2028-06-14"/>
        <s v="2025-07-06"/>
        <s v="2026-07-06"/>
        <s v="2028-07-06"/>
        <s v="2031-07-06"/>
        <s v="2027-06-17"/>
        <s v="2030-06-17"/>
        <s v="2036-06-17"/>
        <s v="2032-01-15"/>
        <s v="2026-06-16"/>
        <s v="2028-08-04"/>
        <s v="2026-08-04"/>
        <s v="2024-08-04"/>
        <s v="2026-07-15"/>
        <s v="2031-08-06"/>
        <s v="2028-08-06"/>
        <s v="2026-07-01"/>
        <s v="2027-07-01"/>
        <s v="2029-07-06"/>
        <s v="2033-07-06"/>
        <s v="2026-07-12"/>
        <s v="2028-07-12"/>
        <s v="2031-07-12"/>
        <s v="2041-07-12"/>
        <s v="2028-07-31"/>
        <s v="2028-08-03"/>
        <s v="2026-09-23"/>
        <s v="2024-09-23"/>
        <s v="2031-10-15"/>
        <s v="2025-09-16"/>
        <s v="2028-09-16"/>
        <s v="2028-09-15"/>
        <s v="2026-10-01"/>
        <s v="2031-09-16"/>
        <s v="2032-01-18"/>
        <s v="2026-09-29"/>
        <s v="2026-05-28"/>
        <s v="2029-05-28"/>
        <s v="2034-09-28"/>
        <s v="2031-10-06"/>
        <s v="2035-09-30"/>
        <s v="2031-11-10"/>
        <s v="2028-11-10"/>
        <s v="2026-11-10"/>
        <s v="2036-10-13"/>
        <s v="2026-10-15"/>
        <s v="2026-10-13"/>
        <s v="2034-04-25"/>
        <s v="2027-11-10"/>
        <s v="2028-12-13"/>
        <s v="2024-12-13"/>
        <s v="2026-12-13"/>
        <s v="2028-11-15"/>
        <s v="2025-11-04"/>
        <s v="2031-12-07"/>
        <s v="2029-12-07"/>
        <s v="2026-06-07"/>
        <s v="2027-05-09"/>
        <s v="2030-05-09"/>
        <s v="2029-05-09"/>
        <s v="2029-11-12"/>
        <s v="2024-07-12"/>
        <s v="2026-01-12"/>
        <s v="2027-01-12"/>
        <s v="2028-01-12"/>
        <s v="2028-12-15"/>
        <s v="2027-02-15"/>
        <s v="2033-11-15"/>
        <s v="2032-11-17"/>
        <s v="2026-11-17"/>
        <s v="2026-11-23"/>
        <s v="2028-11-23"/>
        <s v="2028-11-29"/>
        <s v="2026-11-25"/>
        <s v="2030-01-25"/>
        <s v="2033-11-25"/>
        <s v="2029-10-04"/>
        <s v="2028-10-04"/>
        <s v="2031-10-04"/>
        <s v="2026-12-02"/>
        <s v="2026-11-30"/>
        <s v="2029-12-01"/>
        <s v="2031-12-01"/>
        <s v="2026-12-07"/>
        <s v="2024-12-17"/>
        <s v="2027-12-13"/>
        <s v="2025-12-13"/>
        <s v="2031-12-22"/>
        <s v="2028-12-21"/>
        <s v="2026-12-21"/>
        <s v="2030-01-14"/>
        <s v="2025-11-17"/>
        <s v="2031-01-17"/>
        <s v="2035-01-17"/>
        <s v="2029-06-20"/>
        <s v="2034-06-20"/>
        <s v="2062-02-24"/>
        <s v="2057-02-24"/>
        <s v="2052-02-24"/>
        <s v="2047-02-24"/>
        <s v="2042-02-24"/>
        <s v="2037-02-24"/>
        <s v="2032-02-24"/>
        <s v="2029-02-24"/>
        <s v="2027-02-24"/>
        <s v="2025-02-24"/>
        <s v="2026-07-28"/>
        <s v="2027-08-01"/>
        <s v="2027-02-22"/>
        <s v="2029-06-15"/>
        <s v="2034-06-15"/>
        <s v="2029-03-30"/>
        <s v="2027-03-30"/>
        <s v="2028-03-16"/>
        <s v="2028-03-22"/>
        <s v="2026-06-29"/>
        <s v="2030-02-25"/>
        <s v="2026-10-30"/>
        <s v="2029-10-30"/>
        <s v="2026-04-19"/>
        <s v="2028-04-06"/>
        <s v="2029-04-06"/>
        <s v="2029-04-07"/>
        <s v="2032-04-06"/>
        <s v="2026-05-07"/>
        <s v="2029-04-11"/>
        <s v="2027-04-13"/>
        <s v="2052-04-08"/>
        <s v="2029-05-27"/>
        <s v="2029-05-20"/>
        <s v="2027-10-14"/>
        <s v="2025-10-14"/>
        <s v="2023-10-16"/>
        <s v="2023-11-30"/>
        <s v="2030-11-30"/>
        <s v="2027-11-30"/>
        <s v="2031-01-15"/>
        <s v="2030-09-15"/>
        <s v="2027-09-15"/>
        <s v="2025-09-15"/>
        <s v="2028-09-23"/>
        <s v="2027-10-20"/>
        <s v="2028-01-04"/>
        <s v="2026-01-04"/>
        <s v="2027-02-19"/>
        <s v="2025-02-19"/>
        <s v="2030-02-26"/>
        <s v="2027-02-26"/>
        <s v="2025-02-26"/>
        <s v="2024-06-17"/>
        <s v="2034-10-17"/>
        <s v="2029-12-09"/>
        <s v="2026-12-09"/>
        <s v="2024-12-09"/>
        <s v="2024-12-11"/>
        <s v="2022-12-11"/>
        <s v="2024-09-10"/>
        <s v="2029-07-04"/>
        <s v="2027-07-04"/>
        <s v="2025-07-04"/>
        <s v="2024-07-04"/>
      </sharedItems>
    </cacheField>
    <cacheField name="Yield at Issue (manual)">
      <sharedItems containsMixedTypes="1" containsNumber="1">
        <s v="N/A"/>
        <n v="1.5762"/>
        <n v="0.5156"/>
        <n v="-1.5368"/>
        <n v="3.4587"/>
        <n v="1.1267"/>
        <n v="4.8481"/>
        <n v="3.1999999999999997"/>
        <n v="5.2"/>
        <n v="5.25"/>
        <n v="4.0"/>
        <n v="3.75"/>
        <n v="0.0193"/>
        <n v="0.4834"/>
        <n v="3.875"/>
        <n v="0.4046"/>
        <n v="2.9098"/>
        <n v="2.5"/>
        <n v="0.9001"/>
        <n v="4.7591"/>
        <n v="4.6886"/>
        <n v="4.6369"/>
        <n v="4.6187"/>
        <n v="1.224"/>
        <n v="0.4154"/>
        <n v="1.8186"/>
        <n v="2.1088"/>
        <n v="4.75"/>
        <n v="9.7329"/>
        <n v="2.4873"/>
        <n v="1.0294"/>
        <n v="1.0572"/>
        <n v="1.8558"/>
        <n v="3.125"/>
        <n v="1.8707"/>
        <n v="5.4231"/>
        <n v="0.305"/>
        <n v="0.151"/>
        <n v="0.4878"/>
        <n v="0.9231"/>
        <n v="-0.12"/>
        <n v="1.6949"/>
        <n v="3.625"/>
        <n v="3.7443"/>
        <n v="3.7775"/>
        <n v="5.3267"/>
        <n v="3.7554"/>
        <n v="3.81"/>
        <n v="5.3221"/>
        <n v="3.28"/>
        <n v="0.3793"/>
        <n v="0.8014"/>
        <n v="0.621"/>
        <n v="1.4769999999999999"/>
        <n v="1.937"/>
        <n v="2.32"/>
        <n v="2.957"/>
        <n v="3.375"/>
        <n v="1.0090000000000001"/>
        <n v="2.3795"/>
        <n v="0.0939"/>
        <n v="0.659"/>
        <n v="2.6999999999999997"/>
        <n v="4.625"/>
        <n v="2.0909999999999997"/>
        <n v="4.25"/>
        <n v="1.081"/>
        <n v="0.06400000000000002"/>
        <n v="0.388"/>
        <n v="0.9379"/>
        <n v="0.395"/>
        <n v="0.763"/>
        <n v="4.6976"/>
        <n v="4.739"/>
        <n v="4.6477"/>
        <n v="4.8159"/>
        <n v="0.8584"/>
        <n v="1.077"/>
        <n v="2.2769"/>
        <n v="2.1872"/>
        <n v="6.8084"/>
        <n v="0.0398"/>
        <n v="4.375"/>
        <n v="5.125"/>
        <n v="1.109"/>
        <n v="5.6561"/>
        <n v="5.6367"/>
        <n v="2.125"/>
        <n v="2.75"/>
        <n v="2.0"/>
        <n v="0.984"/>
        <n v="0.5644"/>
        <n v="1.815"/>
        <n v="0.7851"/>
        <n v="0.5858"/>
        <n v="1.054"/>
        <n v="1.675"/>
        <n v="2.3946"/>
        <n v="0.5684"/>
        <n v="0.4525"/>
        <n v="0.8032"/>
        <n v="4.1914"/>
        <n v="1.29"/>
        <n v="0.738"/>
        <n v="0.931"/>
        <n v="5.8059"/>
        <n v="5.4771"/>
        <n v="5.1709"/>
        <n v="0.7458"/>
        <n v="1.8956"/>
        <n v="2.3151"/>
        <n v="1.2446"/>
        <n v="0.1957"/>
        <n v="7.6839"/>
        <n v="3.5"/>
        <n v="2.017"/>
        <n v="0.2773"/>
        <n v="1.027"/>
        <n v="1.306"/>
        <n v="1.2725"/>
        <n v="1.2710000000000001"/>
        <n v="3.879"/>
        <n v="5.8301"/>
        <n v="5.8429"/>
        <n v="1.4698"/>
        <n v="1.524"/>
        <n v="2.119"/>
        <n v="1.622"/>
        <n v="1.813"/>
        <n v="0.901"/>
        <n v="1.8644"/>
        <n v="2.471"/>
        <n v="9.148"/>
        <n v="2.46"/>
        <n v="2.462"/>
        <n v="1.302"/>
        <n v="1.563"/>
        <n v="2.944"/>
        <n v="1.4582"/>
        <n v="3.0616"/>
        <n v="4.5"/>
        <n v="4.6080000000000005"/>
        <n v="6.125"/>
        <n v="7.0"/>
        <n v="3.9499999999999997"/>
        <n v="0.0509"/>
        <n v="0.9503"/>
        <n v="0.6763"/>
        <n v="0.8893"/>
        <n v="1.3556"/>
        <n v="2.676"/>
      </sharedItems>
    </cacheField>
    <cacheField name="Mty Type" numFmtId="0">
      <sharedItems>
        <s v="AT MATURITY"/>
        <s v="CALLABLE"/>
        <s v="CONVERTIBLE"/>
        <s v="PERP/CALL"/>
        <s v="SINKABLE"/>
      </sharedItems>
    </cacheField>
    <cacheField name="Has Call Provision" numFmtId="0">
      <sharedItems>
        <s v="N"/>
        <s v="Y"/>
      </sharedItems>
    </cacheField>
    <cacheField name="Series" numFmtId="0">
      <sharedItems>
        <s v="10Y"/>
        <s v="7Y"/>
        <s v="5Y"/>
        <s v="7YFL"/>
        <s v="5YFL"/>
        <s v="3YFL"/>
        <s v="7YFX"/>
        <s v="5YFX"/>
        <s v="3YFX"/>
        <s v="A"/>
        <s v="3Y"/>
        <s v="6Y"/>
        <s v="4Y"/>
        <s v="#N/A Field Not Applicable"/>
        <s v="C"/>
        <s v="EMTN"/>
        <s v="144A"/>
        <s v="REGS"/>
        <s v="5YUS"/>
        <s v="D"/>
        <s v="."/>
        <s v="EDEN"/>
        <s v="DMTN"/>
        <s v="DM3N"/>
        <s v="8Y"/>
        <s v="5.5Y"/>
        <s v="2.5Y"/>
        <s v="4YFL"/>
        <s v="6YFL"/>
        <s v="GMTN"/>
        <s v="10YF"/>
        <s v="5.5"/>
        <s v="6YFX"/>
        <s v="4YFX"/>
        <s v="40Y"/>
        <s v="35Y"/>
        <s v="30Y"/>
        <s v="25Y"/>
        <s v="20Y"/>
        <s v="15Y"/>
        <s v="7YEU"/>
        <s v="5YEU"/>
        <s v="7YUS"/>
        <s v="8YFX"/>
      </sharedItems>
    </cacheField>
    <cacheField name="Payment Rank" numFmtId="0">
      <sharedItems>
        <s v="Sr Unsecured"/>
        <s v="Unsecured"/>
        <s v="Subordinated"/>
        <s v="Secured"/>
        <s v="Sr Preferred"/>
        <s v="Jr Subordinated"/>
      </sharedItems>
    </cacheField>
    <cacheField name="Currency" numFmtId="0">
      <sharedItems>
        <s v="EUR"/>
        <s v="PLN"/>
        <s v="USD"/>
        <s v="NOK"/>
        <s v="SEK"/>
        <s v="JPY"/>
        <s v="GBP"/>
      </sharedItems>
    </cacheField>
    <cacheField name="BBG Composite" numFmtId="0">
      <sharedItems>
        <s v="#N/A N/A"/>
        <s v="BBB"/>
        <s v="NR"/>
        <s v="BB+"/>
        <s v="BB-"/>
        <s v="B"/>
        <s v="B+"/>
        <s v="A-"/>
        <s v="AA-"/>
        <s v="BBB-"/>
        <s v="CCC"/>
        <s v="BBB+"/>
        <s v="CCC+"/>
        <s v="BB"/>
        <s v="n/a"/>
        <s v="A"/>
        <s v="AA"/>
        <s v="A+"/>
      </sharedItems>
    </cacheField>
    <cacheField name="ESG Rating" numFmtId="0">
      <sharedItems>
        <s v="N.S."/>
        <s v="AAA"/>
        <s v="BBB"/>
        <s v="AA"/>
        <s v="A"/>
        <s v="BB"/>
      </sharedItems>
    </cacheField>
    <cacheField name="Coupon Type" numFmtId="0">
      <sharedItems>
        <s v="FIXED"/>
        <s v="FLOATING"/>
        <s v="VARIABLE"/>
        <s v="ZERO COUPON"/>
      </sharedItems>
    </cacheField>
    <cacheField name="Cpn Freq Des" numFmtId="0">
      <sharedItems>
        <s v="Annual"/>
        <s v="S/A"/>
        <s v="Qtrly"/>
        <s v="#N/A Field Not Applicable"/>
      </sharedItems>
    </cacheField>
    <cacheField name="Amt Issued" numFmtId="0">
      <sharedItems containsSemiMixedTypes="0" containsString="0" containsNumber="1">
        <n v="1.24223E8"/>
        <n v="4.52352E8"/>
        <n v="2.52336E8"/>
        <n v="3.0422E8"/>
        <n v="2.43312E8"/>
        <n v="1.0065105E9"/>
        <n v="7.71725523365E8"/>
        <n v="1.20724E8"/>
        <n v="2.70133E8"/>
        <n v="2.185848E7"/>
        <n v="6.06655E7"/>
        <n v="1.21575E8"/>
        <n v="5.0E8"/>
        <n v="8.44921E8"/>
        <n v="6.25E8"/>
        <n v="3.5982E8"/>
        <n v="8.0E8"/>
        <n v="1.82193E8"/>
        <n v="2.320375E7"/>
        <n v="6.10625E8"/>
        <n v="4.7E8"/>
        <n v="4.1125E8"/>
        <n v="5.9E7"/>
        <n v="9.2452075E8"/>
        <n v="7.15758E8"/>
        <n v="2.54011E8"/>
        <n v="3.55671E8"/>
        <n v="5.88655E8"/>
        <n v="4.80348E8"/>
        <n v="4.203045E8"/>
        <n v="1.437672E8"/>
        <n v="6.01385E8"/>
        <n v="6.01335E8"/>
        <n v="4.79752E8"/>
        <n v="3.5E8"/>
        <n v="5.582974E8"/>
        <n v="1.82463E8"/>
        <n v="4.0E8"/>
        <n v="1.18745E8"/>
        <n v="6.06845E8"/>
        <n v="3.64107E8"/>
        <n v="3.66363E8"/>
        <n v="8.48428E8"/>
        <n v="1.1481225E8"/>
        <n v="1.21222E9"/>
        <n v="4.135145E8"/>
        <n v="1.18961E9"/>
        <n v="1.4870125E9"/>
        <n v="1.0E9"/>
        <n v="4.84887980217E8"/>
        <n v="2.39118E8"/>
        <n v="4.7352E8"/>
        <n v="6.2208825E8"/>
        <n v="5.87805E7"/>
        <n v="8.850225E8"/>
        <n v="7.670195E8"/>
        <n v="3.658093E8"/>
        <n v="7.679555E8"/>
        <n v="7.08882E8"/>
        <n v="5.90145E8"/>
        <n v="1.25E9"/>
        <n v="7.5E8"/>
        <n v="5.8966E8"/>
        <n v="8.30781E8"/>
        <n v="5.284845E8"/>
        <n v="1.0E8"/>
        <n v="5.29182E8"/>
        <n v="5.8798E8"/>
        <n v="5.91447E8"/>
        <n v="6.8178E7"/>
        <n v="1.46025E9"/>
        <n v="1.1682E9"/>
        <n v="6.92586E8"/>
        <n v="3.47121E7"/>
        <n v="1.15123E8"/>
        <n v="3.47337E8"/>
        <n v="4.380754E8"/>
        <n v="2.882075E8"/>
        <n v="8.81438E7"/>
        <n v="5.80285E8"/>
        <n v="1.841968E8"/>
        <n v="2.25864E8"/>
        <n v="3.46422E8"/>
        <n v="1.22136E8"/>
        <n v="2.810975E8"/>
        <n v="1.275076E9"/>
        <n v="1.73874E9"/>
        <n v="9.15936E8"/>
        <n v="7.590497E8"/>
        <n v="3.35E7"/>
        <n v="7.93037E8"/>
        <n v="5.11641E8"/>
        <n v="6.90738E8"/>
        <n v="1.381476E9"/>
        <n v="5.75615E8"/>
        <n v="7.96999E8"/>
        <n v="5.6595E8"/>
        <n v="2.5E8"/>
        <n v="1.65837E8"/>
        <n v="5.5279E7"/>
        <n v="7.88774E8"/>
        <n v="8.407125E8"/>
        <n v="1.4011875E9"/>
        <n v="1.12095E9"/>
        <n v="5.46093E7"/>
        <n v="1.103805E8"/>
        <n v="9295200.0"/>
        <n v="1.49192434875E8"/>
        <n v="1.658085E8"/>
        <n v="6.79416E8"/>
        <n v="8.4927E8"/>
        <n v="1.58862E8"/>
        <n v="5.015951E8"/>
        <n v="1.25879E8"/>
        <n v="3.8311E7"/>
        <n v="3.38154E8"/>
        <n v="5.2704E7"/>
        <n v="3.94352E8"/>
        <n v="4.5882855E8"/>
        <n v="8.4954E8"/>
        <n v="1.525E9"/>
        <n v="7.98147E8"/>
        <n v="1.426475E9"/>
        <n v="8.55885E8"/>
        <n v="9.62812E8"/>
        <n v="7.36268E8"/>
        <n v="5.5833E8"/>
        <n v="4.46048E8"/>
        <n v="4.012785E8"/>
        <n v="1.07087E8"/>
        <n v="5.4692E8"/>
        <n v="2.789325E8"/>
        <n v="5.49215E8"/>
        <n v="6.61404E8"/>
        <n v="1.3850375E9"/>
        <n v="5.62035E7"/>
        <n v="8.367975E8"/>
        <n v="1.726659E8"/>
        <n v="8.18115E8"/>
        <n v="6.54492E8"/>
        <n v="7.09033E8"/>
        <n v="8.157825E8"/>
        <n v="1.656045E8"/>
        <n v="9.768675E8"/>
        <n v="4.35284E7"/>
        <n v="1.76271E8"/>
        <n v="1.19544E8"/>
        <n v="7.11168E7"/>
        <n v="2.1610405E9"/>
        <n v="6.46985E8"/>
        <n v="1.22531E8"/>
        <n v="5.935545E7"/>
        <n v="4.35148E8"/>
        <n v="1.11262E9"/>
        <n v="5.5631E8"/>
        <n v="5.52845000287E8"/>
        <n v="4.8760929E8"/>
        <n v="6.5E7"/>
        <n v="6.9326875E7"/>
        <n v="1.5E9"/>
        <n v="2.25626E8"/>
      </sharedItems>
    </cacheField>
    <cacheField name="BICS Level 1" numFmtId="0">
      <sharedItems>
        <s v="Industrials"/>
        <s v="Materials"/>
        <s v="Utilities"/>
        <s v="Consumer Discretionary"/>
        <s v="Energy"/>
        <s v="Communications"/>
        <s v="Technology"/>
        <s v="Consumer Staples"/>
        <s v="Financials"/>
        <s v="Health Care"/>
      </sharedItems>
    </cacheField>
    <cacheField name="BICS Level 2" numFmtId="0">
      <sharedItems>
        <s v="Machinery Manufacturing"/>
        <s v="Metals &amp; Mining"/>
        <s v="Utilities"/>
        <s v="Apparel &amp; Textile Products"/>
        <s v="Construction Materials Manufacturing"/>
        <s v="Electrical Equipment Manufacturing"/>
        <s v="Refining &amp; Marketing"/>
        <s v="Home &amp; Office Products Manufacturing"/>
        <s v="Power Generation"/>
        <s v="Containers &amp; Packaging"/>
        <s v="Transportation &amp; Logistics"/>
        <s v="Internet Media"/>
        <s v="Retail - Consumer Discretionary"/>
        <s v="Hardware"/>
        <s v="Supermarkets &amp; Pharmacies"/>
        <s v="Consumer Finance"/>
        <s v="Industrial Other"/>
        <s v="Chemicals"/>
        <s v="Travel &amp; Lodging"/>
        <s v="Auto Parts Manufacturing"/>
        <s v="Financial Services"/>
        <s v="Real Estate"/>
        <s v="Integrated Oils"/>
        <s v="Food &amp; Beverage"/>
        <s v="Consumer Services"/>
        <s v="Restaurants"/>
        <s v="Forest &amp; Paper Products Manufacturing"/>
        <s v="Waste &amp; Environment Services &amp; Equipment"/>
        <s v="Railroad"/>
        <s v="Renewable Energy"/>
        <s v="Retail - Consumer Staples"/>
        <s v="Pharmaceuticals"/>
        <s v="Software &amp; Services"/>
        <s v="Wireless Telecommunications Services"/>
        <s v="Consumer Products"/>
        <s v="Home Improvement"/>
        <s v="Medical Equipment &amp; Devices Manufacturing"/>
        <s v="Educational Services"/>
        <s v="Cable &amp; Satellite"/>
        <s v="Manufactured Goods"/>
      </sharedItems>
    </cacheField>
    <cacheField name="BCLASS Level 1" numFmtId="0">
      <sharedItems>
        <s v="Corporate"/>
        <s v="Government-Related"/>
      </sharedItems>
    </cacheField>
    <cacheField name="BCLASS Level 2" numFmtId="0">
      <sharedItems>
        <s v="Industrial"/>
        <s v="Utility"/>
        <s v="Local Authority"/>
        <s v="Agency"/>
        <s v="Financial Institutions"/>
      </sharedItems>
    </cacheField>
    <cacheField name="BCLASS Level 3" numFmtId="0">
      <sharedItems>
        <s v="Other Industrial"/>
        <s v="Basic Industry"/>
        <s v="Electric"/>
        <s v="Consumer Cyclical"/>
        <s v="Capital Goods"/>
        <s v="Local Authority"/>
        <s v="Energy"/>
        <s v="Consumer Non-Cyclical"/>
        <s v="Transportation"/>
        <s v="Technology"/>
        <s v="Government Owned, No Guarantee"/>
        <s v="Banking"/>
        <s v="Brokerage Assetmanagers Exchanges"/>
        <s v="REITs"/>
        <s v="Other Utility"/>
        <s v="Government Sponsored"/>
        <s v="Communications"/>
        <s v="Other Financial"/>
        <s v="Natural Gas"/>
      </sharedItems>
    </cacheField>
    <cacheField name="BCLASS Level 4" numFmtId="0">
      <sharedItems>
        <s v="Other Industrial"/>
        <s v="Metals and Mining"/>
        <s v="Electric"/>
        <s v="Retailers"/>
        <s v="Building Materials"/>
        <s v="Diversified Manufacturing"/>
        <s v="Local Authority"/>
        <s v="Refining"/>
        <s v="Consumer Products"/>
        <s v="Paper"/>
        <s v="Transportation Services"/>
        <s v="Consumer Cyc Services"/>
        <s v="Technology"/>
        <s v="Government Owned, No Guarantee"/>
        <s v="Supermarkets"/>
        <s v="Banking"/>
        <s v="Chemicals"/>
        <s v="Automotive"/>
        <s v="Brokerage Assetmanagers Exchanges"/>
        <s v="Packaging"/>
        <s v="Retail REITs"/>
        <s v="Integrated"/>
        <s v="Food and Beverage"/>
        <s v="Construction Machinery"/>
        <s v="Restaurants"/>
        <s v="Other Utility"/>
        <s v="Environmental"/>
        <s v="Railroads"/>
        <s v="Government Sponsored"/>
        <s v="Pharmaceuticals"/>
        <s v="Wirelines"/>
        <s v="Other Financial"/>
        <s v="Lodging"/>
        <s v="Healthcare"/>
        <s v="Cable Satellite"/>
        <s v="Natural Gas"/>
      </sharedItems>
    </cacheField>
    <cacheField name="Step up desc" numFmtId="0">
      <sharedItems>
        <s v="PRICING STEPS UP BY 2BPS IF SUSTAINABILITY SCORE &lt;=40. PRICING STEPS DOWN BY 2BPS IF &gt;=62"/>
        <s v="ESG-LINKED SCHULDSCHEIN. PRICING TIED TO ESG RATING FROM ECOVADIS +5BPS IF ESG RATING &lt;=44; -5BPS IF &gt;=66."/>
        <s v="SUSTAINABILITY-LINKED SCHULDSCHEIN.SUSTAINABILITY PRICING ADJUSTMENT +5BPS IF ESG SCORE &lt;=56; -5BPS IF ESG SCORE &gt;=80."/>
        <s v="STEP-UP MARGIN: 5BP (IF ONE TARGET NOT MET), 10BP (IF BOTH TARGETS NOT MET), STEP-UP EVENT: CO2 EMISSIONS, RENEWABLE ENERGY INSTALLED CAPACITY"/>
        <s v="ESG-LINKED SCHULDSCHEIN. TWO SETTLEMENT DATES: FIRST SETTLEMENT 12/16/20 FOR 15MM AND SECOND SETTLEMENT 01/12/21 FOR 235MM."/>
        <s v="ESG-LINKED SCHULDSCHEIN. TWO SETTLEMENT DATES: FIRST SETTLEMENT 12/16/20 AND SECOND SETTLEMENT 01/12/21."/>
        <s v="STEP-UP MARGIN: 75BP, STEP-UP EVENT: DEC 2030 CO2 EMISSIONS"/>
        <s v="15% CLEAN-UP CALL. SUSTAINABILITY PRICING ADJUSTMENT"/>
        <s v="STEP-UP MARGIN: 10BP, STEP-UP EVENT: 2024 ESG RATING"/>
        <s v="STEP UP: +5BPS IF ESG RATING(MSCI) FALLS TO BBB, +10BPS IF ESG RATING (MSCI) FALLS TO BB"/>
        <s v="STEP-UP MARGIN: 25BP, STEP-UP EVENT: DEC 2025 PERCENTAGE OF GREEN ENERGY CONSUMED IN OPERATIONS"/>
        <s v="NO"/>
        <s v="PENALTY: ADDITIONAL COUPON TO CHARITABLE ORGANIZATIONS, EVENT: FAILURE TO REDUCE WORK ACCIDENT FREQUENCY, INCREASE SUSTAINABLE PRODUCT REVENUE"/>
        <s v="STEP-UP MARGIN: 12.5BP; 6.25BP; 6.25BP, STEP-UP EVENT: DEC 2025 WATER CONSUMPTION INTENSITY; WATER REUSE; BIODIVERSITY PRESERVATION"/>
        <s v="SUSTAINABILITY-LINKED SCHULDSCHEIN. TWO SETTLEMENT DATES: EUR 275MM ON 3/3/21 &amp; EUR 425MM ON  6/23/21."/>
        <s v="SUSTAINABILITY-LINKED SCHULDSCHEIN. TWO SETTLEMENT DATES: EUR 275MM ON 3/3/21 &amp; EUR 425MM ON 6/23/21."/>
        <s v="STEP-UP MARGIN: 25BP, STEP-UP EVENT: MISSING THE SUSTAINABILITY PERFORMANCE TARGET. QIB/QP ONLY-SEE RESTRICTIONS IN OM. NON-COMPLIANT PURCH"/>
        <s v="STEP-UP MARGIN: 25BP, STEP-UP EVENT: MISSING THE SUSTAINABILITY PERFORMANCE TARGET.ISS'D UNDER 3C7. QIB/QP ONLY-SEE RESTRICTIONS IN OM. NON-COMPLIANT PURCH"/>
        <s v="ESG-LINKED SCHULDSCHEIN. SUSTAINABILITY PRICING ADJUSTMENT: -5BPS IF ESG SCORE &gt;60.3; +5BPS IF ESG SCORE &lt;51.5"/>
        <s v="STEP-UP MARGIN: 25BP, STEP-UP EVENT: DEC 2025 GREENHOUSE GAS EMISSIONS"/>
        <s v="N/A"/>
        <s v="STEP-UP MARGIN: 12.5BP(04/2026), 12.5BP(04/2027), STEP-UP EVENT: FAILURE TO MEET 04/2026 AND 04/2027 SUSTAINABILITY PERFORMACE TARGET"/>
        <s v="STEP-UP MARGIN: AUG 2026 MAX 25BP, STEP-UP EVENT: REF YEAR 2025 RECYCLED MATERIALS PERCENTAGE"/>
        <s v="ESG-LINKED &amp; MULTI-CURRENCY SCHULDSCHEIN EUR350MM/USD 59MM. DEAL SIZE EQUIV TO EUR 400MM. TWO SETTLEMENT DATES: 03/31/21 FOR EUR 130MM &amp; 09/30/21 FOR EUR270MM."/>
        <s v="ESG-LINKED &amp; MULTI-CURRENCY SCHULDSCHEIN EUR350MM/USD59MM. DEAL SIZE EQUIV TO EUR 400MM. TWO SETTLEMENT DATES: 03/31/21 FOR EUR 130MM &amp; 09/30/21 FOR EUR270MM."/>
        <s v="SUSTAINABILITY-LINKED SCHULDSCHEIN. DEAL SIZE EUR 700MM. TWO SETTLEMENT DATES: EUR 275MM ON 3/3/21 &amp; EUR 425MM ON 06/23/21."/>
        <s v="STEP-UP MARGIN: 50BP, STEP-UP EVENT: FAILURE TO REDUCE ISSUER'S CO2 EMISSIONS BY 40% BY DEC-22, FROM 2019 BASE YEAR."/>
        <s v="STEP-UP MARGIN: 25 BP FROM MARCH 2026, STEP-UP EVENT: CARBON EMISSION REDUCTION - CO2 EMISSION REDUCTION - FOOD WASTE REDUCTION"/>
        <s v="STEP UP: +10BPS IF ESG RATING(MSCI) FALLS TO BBB, +20BPS IF ESG RATING (MSCI) FALLS TO BB OR LOWER"/>
        <s v="STEP-UP MARGIN: 25BP, STEP-UP EVENT: RENEWABLES INSTALLED CAPACITY"/>
        <s v="STEP-UP MARGIN: 12.5BP, STEP-UP EVENT: DEC 2022 USE RECYCLED WOOD PRODUCTS 44% AND STEP-UP MARGIN: 12.5BP, EVENT: DEC 2022 REDUCTION GAS EMISSION TO 201670 TONS"/>
        <s v="STEP-UP MARGIN: 50 BPS, STEP UP EVENT; ESG RATING &lt;68 IN REPORT 2026 &amp;/OR &lt;70 IN REPORT 2031, COUPON INCREASES ONCE IN AND FOR PERIOD ONLY"/>
        <s v="SUSTAINABILITY-LINKED BOND, STEP-UP COUPON: 25BP, STEP-UP EVENT: CARBON REDUCTION UNTIL DEC 2030"/>
        <s v="STEP-UP MARGIN: 12.5BP (1 SPT NOT MET) OR 19BP (2 SPTs NOT MET) OR 25BP (3 SPTs NOT MET). STEP-UP EVENT: CO2 EMISSIONS, ACA LEVEL 4+ MAINTENANCE"/>
        <s v="STEP-UP MARGIN: 25BP. SPT 1: 23% REDUCTION IN SCOPE 3 GHG EMISSIONS; SPT 2: 23.7% REDUCTION IN SCOPE 1 &amp; 2 GHG EMISISONS BY 2023."/>
        <s v="STEP-UP MARGIN: 25BP, STEP-UP EVENT: MAY 2025 GREENHOUSE GAS EMISSIONS AND WASTE INTENSITY PERCENTAGE"/>
        <s v="STEP-UP MARGIN 15 BP TO REDEMPTION AMT, STEP-UP EVENT: ESG RATING BELOW C+."/>
        <s v="STEP-UP MARGIN: 25BP, STEP-UP EVENT: DEC 2025"/>
        <s v="FOR EVERY YEAR THAT THE ISSUER'S ESG RATINGS BY BOTH ISS ESG AND ECOVADIS ARE BELOW CERTAIN THRESHOLDS, 0.10% PREMIUM ON THE REDEMPTION AMOUNT AT MATURITY."/>
        <s v="STEP UP MARGIN: 7.5BPS, 7.5BPS, 10 BPS, STEP UP EVENT: BOARD DIVERSITY, INVESTMENT ADVISORY PROFESSIONALS DIVERSITY, SCIENCE BASED TARGETS EVENT"/>
        <s v="ADJ TRIGGER PREMIUM STEP UP +25BPS IN 2026 IF 2025 TARGET NOT REACHED , +50BPS IN 2031 IF 2030 TARGET NOT REACHED"/>
        <s v="STEP UP MARGIN: 10BPS, 20BPS. STEP UP EVENT: CO2 EMISSIONS MORE THAN 2,625KT, EXTERNAL CULLET SHARE LESS THAN 59% IN 2025."/>
        <s v="- 12.5BPS STEP-UP IN PRICING STARTING AFTER JULY 15, 2026, IF SPT 1 NOT MET; - 12.5BPS STEP-UP IN PRICING STARTING AFTER JULY 15, 2027, IF SPT 2 NOT MET."/>
        <s v="STEP-UP MARGIN : 75 BP IN FINAL PERIOD IF GHG KPI NOT MET"/>
        <s v="REDEEMS AT 100.5% AT MATURITY IF SUSTAINABILITY PERFORMANCE TARGETs NOT MET (CO2: REDUCTION/TOP 5 SUPPLIER CONTRIBUTORS/EMPLOYEE EFFICIENCY."/>
        <s v="STEP-UP MARGIN: 25BP (IF ONE OR BOTH TARGETS MISSED), STEP-UP EVENTS: 2025 RENEWABLES INSTALLED CAPACITY, 2024 CO2 EMISSIONS."/>
        <s v="ESG-LINKED. KPI'S: SELF-POWER POTENTIAL, RECYCLING QUOTA, APPRENTICESHIP QUOTA. 0-1 OF 3 KPI MET +5BPS, 2 OF 3 0BPS, 3 OF 3 -5BPS."/>
        <s v="STEP-UP MARGIN: 25BP, STEP-UP EVENT: 12/31/2023 GREENHOUSE GAS EMISSIONS ABOVE 148G/KWHEQ"/>
        <s v="STEP-UP MARGIN: 25BP, STEP-UP EVENT: 12/31/2031 GREENHOUSE GAS EMISSIONS ABOVE 82G/KWHEQ"/>
        <s v="FROM 01/15/2027 CPN STEP UP BY 25BPS UNLESS SUSTAINABILITY PERFORMANCE TARGET MET"/>
        <s v="90 DAYS LOCK-UP. STEP UP MARGIN: 50BP, STEP UP EVENTS: KPI 1 AT LEAST 34 % WOMEN EXECUTIVE POSITIONS, KPI 2: 15% LESS GREENHOUSE EMISSIONS, KPI 3: AT LEAST 64%"/>
        <s v="REDEEMED AT 101% IF CO2 EMISSIONS NOT REDUCED BY 10%"/>
        <s v="ESG-LINKED SCHULDSCHEIN. SUSTAINABILITY PRICING ADJUSTMENT: +2.5BPS IF ESG SCORE &lt;=65;   -2.5BPS IF &gt;=75."/>
        <s v="STEP-UP MARGIN: 12.5, STEP-UP EVENT: INCREASE RENEWABLE ENERGY USE BY 29% BY 12/22 AND REDUCTION CO2 EMISSIONS BY 4%"/>
        <s v="SUSTAINABILITY-LINKED SCHULDSCHEIN. SUSTAINABILITY PRICING ADJUSTMENT: +/- 2.5BPS DEPENDING ON FINAL KPIS MET."/>
        <s v="STEP-UP MARGIN: 12.5 BPS PER KPI, STEP-UP EVENTS: CO2 EMISSIONS, ENERGY CONSUMPTION"/>
        <s v="STEP-UP MARGIN: 12.5 BP PER KPI, STEP-UP EVENTS: CO2 EMISSIONS, ENERGY CONSUMPTION"/>
        <s v="STEP-UP MARGIN: 12.5 BPS IF INDUSTRIAL WATER TARGET OR WOMEN IN LEADERSHIP TARGET NOT MET OR 25 BPS IF NEITHER IS MET."/>
        <s v="25bps/annum step up in 2027-2029 if the group fails to reduce its Carbon Intensity Indicator (CII) by 12% by 2025"/>
        <s v="37.5bps/annum step up in 2032-2033 if the group fails to reduce its Carbon Intensity Indicator (CII) by 25% by 2030"/>
        <s v="STEP-UP MARGIN: 25BP, STEP-UP EVENT: EMISSION INTENSITY ABOVE 296 gCO2/kWh (REFERENCE DATE 31 Dec 2025)"/>
        <s v="STEP-UP MARGIN: 25BP, STEP-UP EVENT: 12/31/23 DIRECT GHG EMISSIONS BEING ABOVE 148G/KWHEQ"/>
        <s v="STEP-UP MARGIN: 25BP, STEP-UP EVENTS: DEC 2023, GHG EMISSIONS &gt;148G/KWHEQ"/>
        <s v="STEP-UP MARGIN: 25BP, STEP-UP EVENTS: DEC 2030, GHG EMISSIONS &gt;82G/KWHEQ"/>
        <s v="STEP-UP MARGIN: 50BP, STEP-UP EVENT: 57% REDUCTION IN C02 EMISSIONS BY 12/2023, 2019 BASE YEAR"/>
        <s v="STEP-UP MARGIN: 37.5 BP, STEP-UP EVENT: CO2 EMISSIONS"/>
        <s v="ESG-LINKED SCHULDSCHEIN:+/- UP TO 5BPS DEPENDING ON KPIS ACHIEVED OUT OF 5. ADDITIONAL ISSUER: TRIONISTA TOPCO, TRIONISTA HOLDCO &amp; ISTA DEUTSCHLAND."/>
        <s v="STEP-UP MARGIN: 1.50%, STEP-UP EVENT: DEC 2030 CO2 EMISSIONS"/>
        <s v="STEP-UP MARGIN: 12.5 BP PER KPI, STEP-UP EVENT: WATER WITHDRAWALS, CARBON INTENSITY 3-YR ROLLING AVERAGE"/>
        <s v="STEP-UP MARGIN: 25BP, STEP-UP EVENT: GREENHOUSE GAS EMISSIONS"/>
        <s v="STEP-UP PREMIUM: REDEMPTION 0.3% (A) + 0.3% (B) OF PRINCIPAL AMOUNT OF THE NOTES UNLESS ACHIEVED (A) CO2 AVOIDED EMISSIONS TARGET AND (B) QUANT. OF WASTE TARGET"/>
        <s v="STEP UP MARGIN: 12.5BPS IF THE ISSUER DOES NOT SATISFY SCOPE 1 AND SCOPE 2 SPTS, ADDITIONAL 12.5BPS STEP-UP IF ISSUER DOES NOT SATISFY SCOPE 3 SPT"/>
        <s v="STEP-UP MARGIN: 25BP, STEP-UP EVENTS: DECEMBER 2026 17.6% REDUCTION OF GHG EMISSIONS."/>
        <s v="STEP-UP MARGIN: 25BP, STEP-UP EVENTS: DECEMBER 2026 REDUCTION OF GHG EMISSIONS."/>
        <s v="BOND REDEEMED AT 101.20% IF SPTs NOT MET (40 BPS PER SPT). SPTs 1,2 = CARBON EMISSIONS INTENSITY, SPT 3 = SHARE OF RECYCLED ALUMINIUM"/>
        <s v="STEP-UP MARGIN: 25BP, STEP-UP EVENT: 12/31/30 DIRECT GHG EMISSIONS BEING ABOVE 82G/KWHEQ"/>
        <s v="STEP-UP MARGIN: 25BPS PER SPT; SPT1, SPT2 GHG EMISSIONS REDUCTION"/>
        <s v="COUPON STEP-UP: 2.5BPS PER KPI1: GREEN HOUSE GAS EMISSION KPI2: LABOR"/>
        <s v="SUSTAINABILITY PRICING ADJUSTMENT: +/- 5BPS IF ESG SCORE &lt;=53 / &gt;=63 UP TO 2025; +/- 5BPS IF &lt;=58 / &gt;=68 FROM 2026."/>
        <s v="STEP-UP MARGIN: 10BPS PER KPI. STEP-UP EVENTS: REDUCTION OF METHANE EMISSIONS, GREENHOUSE GAS EMISSIONS"/>
        <s v="STEP-UP MARGIN: 75BPS, STEP-UP EVENT: FAILURE TO TO REDUCE GRAMS OF CO2 EQUIVALENTS PER MEGAJOULE OF ENERGY CONTAINED IN PELLETS (GCO2-EQ/MJ) BY 5% BY DEC-2024"/>
        <s v="STEP-UP/STEP-DOWN MARGIN: 1BP PER KPI; KPIs: GHG EMISSIONS, ELECTRICITY CONSUMPTION, WATER CONSUMPTION, SOLID WASTE REDUCTION"/>
        <s v="STEP-UP MARGIN: 20, 15BPS. STEP-UP DEVENTS: REDUCTION GREENHOUSE GAS EMISSIONS, INCREASE IN PLASTIC RECYCLING"/>
        <s v="SUSTAINABILITY PRICING ADJUSTMENT: MARGIN STEP-UP UP TO 25BPS IF KPI ARE NOT MET.  SCOPE 1, 2 AND 3 GHG EMISSIONS."/>
        <s v="ESG-LINKED SCHULDSCHEIN. SUSTAINABILITY PRICING ADJUSTMENT: +/- 2BPS PER KPI. KPIS: ENERGY EFFICIENCY; RECYCLING; DIVERSITY."/>
        <s v="SUSTBLTY PRFM TGTS: REDUCE GHG EMIS BY 10% BY 2025 WITH 2020 BASE YEAR; GHG EMISSIONS BY 40% BY 2025. ZERO SPT MET: +25 BPS / ONE SPT MET: +12.5 BPS"/>
        <s v="SUSTAINABILITY PRICING ADJUSTMENT:-3BPS IF ESG SCORE +4 POINTS; +3BPS IF ESG SCORE -6 POINTS."/>
        <s v="CPN STEP-UP 0.125% IF SUSTAINABILITY PERF TARGET NOT ACHIEVED BY 12/31/2025"/>
        <s v="STEP-UP MARGIN: 15 BPS. STEP-UP DEVENTS: REGULATORY SUBMISSIONS TARGET, PRODUCT VOLUME TARGET, REDUCTION GREENHOUSE GAS EMISSIONS"/>
        <s v="SUSTAINABILITY-LINKED-STEP-UP 12.5 bps IF 2025 REGULATORY SUBMISSIONS TARGET NOT MET AND ANOTHER 12.5 BPS IF PRODUCT VOLUME TARGET AS OF TESTING DATE NOT MET."/>
        <s v="STEP-UP MARGIN: 0.175%. STEP UP DEPEND ON THE ACHIEVEMENT BY ATOS SE OF THE SUSTAINABILITY PERFORMANCE TARGET (SPT) BASED ON THE ATOS SE KPI ON 12/31/25."/>
        <s v="MULTICURRENCY DEAL EQUIV TO EUR 700MM. SETTLE DATES: 12/22/21 AND 1/12/22. ADJ +10BPS. GHG EMISSIONS INTENSITY -20% IN 2023 ABSOLUTE GHG EMISSION 80% IN 2025."/>
        <s v="MULTICURRENCY DEAL EQUIV TO EUR 700MM. USD SPLIT: $33.5MM. ADJ +10BPS. GHG EMISSIONS INTENSITY -20% IN 2023 ABSOLUTE GHG EMISSION 80% IN 2025."/>
        <s v="STEP-UP MARGIN: 25 BPS; STEP-UP EVENT: FAILING TO MEET CO2 EMISSIONS TARGET"/>
        <s v="+25BPS IF SBT NOT MET TO REDUCE SCOPE 1 AND 2 GHG EMISSIONS INTENSITY BY 20% BY 2023 &amp; REDUCE ABSOLUTE SCOPE 1 AND 2 GHG EMISSIONS BY 80% BY 2025"/>
        <s v="STEP-UP MARGIN: 25BP (ZERO SPT MET)/12.5BP (ONE SPT MET), STEP UP EVENTS: CO2 EMISSIONS (2025), EXTERNAL CULLET SHARE IS LESS THAN 59% (2025)"/>
        <s v="STEP-UP MARGIN: 37.5 BP FROM 11/15/31; SPT: REDUCE ABSOLUTE VALUE CHAIN CO2 EMISSIONS (SCOPE 3) BY 30% BY 2030 AGAINST THE 2014 BASELINE"/>
        <s v="STEP-UP BY 37.5BP PER KPI (MAX. 75BP CUMULATIVE) IF HENKEL FAILS TO ACHIEVE SPT 1 2030 AND SPT 2. TEST DATES SPT1 2030 / SPT2 31/12/2030."/>
        <s v="PRINCIPAL PREMIUM AT MATURITY OF 25BP PER KPI (MAX. 50BP CUMULATIVE) IF HENKEL FAILS TO ACHIEVE SPT 1 2025 AND SPT 3. TEST DATES SPT1 2025 / SPT3 31/12/2025."/>
        <s v="SLB CPN STEP-UP: 7.5BPTS/SPT ANNUALLY STARTING 2022; SPT1: GHG; SPT2: GENDER EQUALITY; SPT3: ESG SCORE"/>
        <s v="STEP-UP MARGIN: 12.5BPS PER KPI; KPI1: SCOPE 1,2 GHG EMISSIONS REDUCTION BY 25.2% BY 2025, KPI2: SCOPE 3 GHG EMISSIONS REDUCTION BY 15% BY 2025"/>
        <s v="SLB STP-UP: 50BPTS/ANNUM; STP DATE: 07/2025; KPI1: GHG (20BPTS)"/>
        <s v="SLB STP-UP: 50BPTS/ANNUM; STP DATE: 07/2028; KPI1: GHG (28BPTS) ; KPI2: GHG (42BPTS)"/>
        <s v="SLB STP-UP: 50BPTS/ANNUM; STP DATE: 07/2031; KPI1: GHG (20BPTS) ; KPI2: GHG (30BPTS)"/>
        <s v="SLB STEP-UP/DOWN: 50bpts MAX; SPT DATE: 2023, 2025, 2027; KPI1: GREEN HOUSE GASES; KPI2: GENDER EQUALITY"/>
        <s v="ISSD IN EXCH FOR PTMENWOM0007,PTMENUOM0009. STEP-UP MARGIN: EUR 1.25 REDEMP INC PER BOND. STEP-UP EVENT: LTIFR (SEE SPO) &gt; 3.3 BY 12/31/2025."/>
        <s v="REDEMPTION PRICE TO INCREASE TO 101% IF THE ISSUER DOES NOT REDUCE CO2 EMISSIONS BY 20% BY END OF 2025 VS 2019 BASELINE"/>
        <s v="STEP-UP MARGIN BY 0.25% IF SPT NOT ACHIEVED ON 12/31/25. REDUCTION OF GHG EMISSIONS (SCOPE 1+2) BY 600KT TO 2,600KT (81.250% OF THE 2018 BASELINE) BY 2025."/>
        <s v="SLB COUPON STEP-UP: 50BPTs/KPI; SPT DATE: 2030; KPI1: GHG; KPI2: FOOD WASTE"/>
        <s v="STEP-UP MARGIN: 50BPS ADDED TO NOTIONAL AMOUNT UPON MATURITY OR CALL OPTION PRICE; STEP-UP EVENT: MISSING ALL SPTs"/>
        <s v="STEP-UP MARGIN: 25BP PER SPT; SPTs: REDUCTION OF GHG BY 15%, WATER SENT TO RECOVERY TO 81.5%, WATER DISCHARGE PER TON BY 10% BY 12/31/25, ALL VS 2020 BASELINE"/>
        <s v="STEP-UP REDEMPTION: 101%, SPT: 825 UNIT INCREASE OF LINAC INSTALLED BASE BY 04/30/2025 VS 04/30/2020 (BASELINE)"/>
        <s v="STEP-UP CPN: 35BPS, SPT: 825 UNIT INCREASE OF LINAC INSTALLED BASE BY 04/30/2025 VS 04/30/2020 (BASELINE)"/>
        <s v="SLB CPN STEP-UP: 20BPTS/ANNUM; SPT DATE: ANNUALLY ON 06/30; KPI: GHG"/>
        <s v="BOND REDEEMED AT 100.75 IF THE ISSUER FAILS TO ACHIEVE SPT"/>
        <s v="SUSTAINABILITY-LINKED SCHULDSCHEIN TIED TO ESG RATING BY MSCI."/>
        <s v="STEP MARGIN: 12.5BPS, STEP EVENT: CPN INC IF SPT A OR B MISS BY 12/31/2025, REDEMP INC/DEC IF SPT A &amp; B MISS/ACHIEVED, NO LESS THAN 100%"/>
        <s v="STEP-UP MARGIN: 25BPS, STEP-UP EVENT: GHG EMISSION INTENSITY &gt; 0.095T CO2EQ/M2 OF CPIPG PROPERTY PORTFOLIO FOR FY 2027."/>
        <s v="STEP-UP MARGIN: 25BP, STEP-UP EVENT: 12/31/24 DIRECT GHG EMISSIONS BEING ABOVE 140G/KWHEQ"/>
        <s v="STEP-UP MARGIN: 25bpts, STEP-UP EVENT: FAIL TO REDUCE SCOPE 1/2 GHG EMISSIONS BY 50% BY DEC 2030."/>
        <s v="CLEAN-UP CALL 80%. STEP-UP MARGIN: 25bpts, STEP-UP EVENT: FAIL TO REDUCE NATURAL GAS/SCOPE 1/2 GHG EMISSIONS BY 55%/40% BY DEC 2025/2027."/>
        <s v="PRICING ADJ: +1.5BPS IF KPIS NOT ACHIEVED. KPIS: NEW RENTALS TO HOUSEHOLDS UNDER RESIDENTIAL ENTITLEMENT CERTIFICATE PROGRAM; CO2 EMISSIONS FOR ENTIRE PORTFOLIO"/>
        <s v="STEP-UP MARGIN: 75BPS AT REDEMPTION, STEP-UP EVENT: FAILURE TO REDUCE SUM OF SCOPE 1 &amp; 2 GHG EMISSIONS BY 50% BY 12/31/2025 OR AT REDEMPTION."/>
        <s v="STEP-UP MARGIN: 0.2% REDEMPTION PRICE PER SPT. STEP-UP EVENT: FAILURE TO MEET YEARLY SPT 1/2/3 BY YEAR-END 2021-2026."/>
        <s v="SUSTAIN. LINKD. KPI 1-4 &amp; SPT 1-4 AS PER SUSTAIN. FRAMEWRK. REDMPT PX INCREASE BY 0.25% PER SPT IF NOT FULFLLD BY 12/31/25. MAX REDMPT 101"/>
        <s v="STEP-UP MARGIN: UP TO 25BP; STEP-UP EVENT: SCOPE 1, 2 AND 3 CO2 EMISSIONS"/>
        <s v="ESG LINKED +/-2.5 BPS BASED ON SUSTAINALYTICS ESG RATING."/>
        <s v="RENEWABLE ENERGY SLB. SPT: INSTALLATION &lt; 3,000MW on 12/31/2024. STEP-UP: 25bpts"/>
        <s v="STEP-UP MARGIN: 25BPS, STEP-UP EVENT: REDUCTION OF GHG EMISSIONS (SCOPE 1+2) BY 600KT TO 2,600KT (81.25% OF THE 2018 BASELINE) BY 2025"/>
        <s v="STEP-UP MARGIN: 12.5BP PER SPT (2025); SPT1: 0 ABSOLUTE SCOPES 1,2 GHG, SPT2: 14% REDUCTION OF SCOPES 1,2,3; SPT3: USE 50% OF RECYCLED PLASTICS IN PACKAGING"/>
        <s v="SLB. SPT1/SPT2: SUSTAINABLE FARMING AND FOOD. STEP-UP: 25BPTS IF BOTH SPT NOT SATISFIED ON 10/2026"/>
        <s v="SLB. SPT1/SPT2: SUSTAINABLE FARMING AND FOOD. STEP-UP: 25BPTS EACH YEAR IF BOTH SPT NOT SATISFIED ON 10/2026, 2027, 2028 AND 2029"/>
        <s v="STEP-UP MARGIN: 75BPS, STEP-UP EVENT: FAIL TO INC % NON-FOSSIL VEHICLES TO 50%, ALCOHOL IGNITION INTERLOCKS TO 87%, SBTi ALIGNMENT BY END 2025"/>
        <s v="STEP-UP MARGIN: 25BPS, STEP-UP EVENT: &lt;40% BY EUR INVESTED OF EQT ELIGIBLE EQUITY PORTFOLIO COMPANIES SET SBTs APPROVED BY SBTi BY 2025"/>
        <s v="STEP-UP MARGIN: 75BPS UPON LAST COUPON DATE; SPT: GHG EMISSION INTENSITY (SCOPE 1) 0.26 tCO2e/MWh BY 12/31/2025, 30.8% REDUCTION VS 2019 BASELINE"/>
        <s v="STEP-UP MARGIN: 25 BPS (12/31/2026); SPT: PROVISION OF ESSENTIAL MEDICINES TO AT LEAST 1.5 MILLION PATIENTS IN LOW/LOWER-MIDDLE INCOME COUNTRIES"/>
        <s v="SLB BOND. SPT1: GHG EMISSIONS; SPT2: WATER CONSUMPTION. OBSERVATION DATE: 06/30/2025. STEP-UP: 25BPTS IF SPT1 OR SPT2 NOT ACHIEVED."/>
        <s v="STEP-UP MARGIN: 20BPS, STEP-UP EVENT: &lt;40% BY EUR INVESTED OF EQT ELIGIBLE EQUITY PORTFOLIO COMPANIES SET SBTs APPROVED BY SBTi BY 2025"/>
        <s v="STEP-UP MARGIN: 12.5BP PER SPT (12/31/2025) 2018 BASELINE; SPT1: CARBON INTENSITY REDUCTION 9.7%; SPT2: FRESHWATER WITHDRAWAL 25%"/>
        <s v="STEP-UP MARGIN: 25BPS; STEP-UP EVENT: DIRECT GHG EMISSIONS AS OF 31 DECEMBER 2024 BEING ABOVE 140G/KWHEQ, AS CONFIRMED BY EXTERNAL VERIFIER"/>
        <s v="STEP-UP MARGIN: 25BPS PER SPT; SPT1: REDUCE GHG EMISSIONS BY 12/2023; SPT2: INTEGRATE SUST. OBJECTIVIES INTO MANAGEMENT'S RENUMERATION BY 12/2023"/>
        <s v="STEP-UP MARGIN: UP TO 25 BPS; KPIs: (i,ii) 46.2% SCOPE 1,2 GHG EMISSIONS REDUCTION, (iii) GENDER EQUALITY"/>
        <s v="STEP-UP MARGIN: 12.5BPS/25BPS, STEP-UP EVENT: FAIL TO ACHIEVE EITHER SPT1 OR SPT2/FAIL TO ACHIEVE BOTH SPT1 AND SPT2 BY 12/31/2025."/>
        <s v="SUSTAINABILITY-LINKED SCHULDSCHEIN. SUSTAINABILITY PRICING ADJUSTMENT: +5BPS IF DEVELOPMENT OF MANAGEMENT SCORE &lt;=53.4; -5BPS IF SCORE &gt;=65."/>
        <s v="PRICING STEPS UP BY 50BPS IF NET DEBT/EBITDA &gt;3.75X. MARGIN INCREASES 2BPS IF ESG SCORE IS BELOW 45. DECREASES 2BPS WITH ESG SCORE ABOVE 53."/>
        <s v="STEP-UP MARGIN: 25 BPS.STEP-UP EVENT: 09/16/2027. &lt;=15%. WOMEN ON BOARD&gt;=30% 12/31/2025."/>
        <s v="STEP-UP MARGIN: 25BP, STEP-UP EVENT: 2025 PATIENT ACCESS TARGETS"/>
        <s v="STEP-UP MARGIN: 25BP, STEP-UP EVENT: DEC 2022 RENEWABLES INSTALLED CAPACITY"/>
        <s v="ESG-LINKED SCHULDSCHEIN. TWO SETTLEMENT DATES: FIRST SETTLEMENT 01/04/21 FOR EUR 40MM; SECOND SETTLEMENT 03/10/21 FOR EUR 60MM."/>
        <s v="ESG-LINKED SCHULDSCHEIN. SUSTAINABILITY PRICING ADJUSTMENT: +2BPS IF SUSTAINABILITY SCORE &lt;=49; -2BPS IF &gt;=69."/>
        <s v="ESG-LINKED SCHULDSCHEIN. SUSTAINABILITY PRICING ADJUSTMENT: +2.5BPS IF ESG; RATING &lt;C+ BY ISS ESG; -2.5BPS IF &gt;C+."/>
        <s v="STEP-UP MARGIN: 25BP, STEP-UP EVENT: DIRECT GREEN HOUSE GAS EMISSIONS"/>
        <s v="MULTI-CURRENCY DEAL. TOTAL DEAL SIZE EQUIV TO EUR 500MM. CURRENCY SPLIT EUR 441MM AND USD 65MM. TWO SETTLEMENT DATES: 12/09/2019 AND 01/10/2020."/>
        <s v="SUSTAINABILITY-LINKED SCHULDSCHEIN. STEPS UP BY 75BPS IF NET DEBT/EBITDA &gt;2.5X. SUSTAINABILITY-TIED PRICING REVISION."/>
        <s v="STEP-UP MARGIN: 25 BP, STEP-UP EVENT: RENEWABLES INSTALLED CAPACITY"/>
      </sharedItems>
    </cacheField>
    <cacheField name="Step up">
      <sharedItems containsBlank="1" containsMixedTypes="1" containsNumber="1">
        <n v="2.0"/>
        <n v="5.0"/>
        <s v="multi"/>
        <s v="n/a"/>
        <n v="75.0"/>
        <s v="%"/>
        <n v="10.0"/>
        <n v="25.0"/>
        <n v="12.5"/>
        <n v="50.0"/>
        <n v="15.0"/>
        <n v="2.5"/>
        <n v="37.5"/>
        <n v="3.0"/>
        <m/>
        <n v="7.5"/>
        <n v="35.0"/>
        <n v="20.0"/>
        <n v="1.5"/>
      </sharedItems>
    </cacheField>
    <cacheField name="Step down">
      <sharedItems containsBlank="1" containsMixedTypes="1" containsNumber="1">
        <n v="2.0"/>
        <n v="5.0"/>
        <m/>
        <n v="2.5"/>
        <s v="%"/>
        <s v="multi"/>
        <n v="3.0"/>
        <n v="50.0"/>
        <n v="1.5"/>
      </sharedItems>
    </cacheField>
    <cacheField name="Step-up&amp;down?" numFmtId="0">
      <sharedItems>
        <s v="yes"/>
        <s v=""/>
      </sharedItems>
    </cacheField>
    <cacheField name="SPT " numFmtId="0">
      <sharedItems containsBlank="1">
        <s v="ESG SCORE"/>
        <s v="ENVIRONMENT"/>
        <s v="?"/>
        <m/>
        <s v="SOCIAL"/>
        <s v="ESG"/>
      </sharedItems>
    </cacheField>
    <cacheField name="Lead Manager(s)" numFmtId="0">
      <sharedItems>
        <s v="Bookrunner DZ Bank DZBK JLMB Joint Lead Managers-Books 38333.33 1 2020-04-06 Bookrunner Landesbank Baden-Wuerttemberg LBBW JLMB Joint Lead Managers-Books 38333.33 1 2020-04-06 Bookrunner UniCredit Bank AG UNICRD JLMB Joint Lead Managers-Books 38333.33 1 2"/>
        <s v="Bookrunner DZ Bank DZBK JLMB Joint Lead Managers-Books 0 1 2020-04-06 Bookrunner Landesbank Baden-Wuerttemberg LBBW JLMB Joint Lead Managers-Books 0 1 2020-04-06 Bookrunner UniCredit Bank AG UNICRD JLMB Joint Lead Managers-Books 0 1 2020-04-06"/>
        <s v="Bookrunner Commerzbank COBA JLMB Joint Lead Managers-Books 0 1 2020-06-23 Bookrunner DZ Bank DZBK JLMB Joint Lead Managers-Books 0 1 2020-06-23 Bookrunner Landesbank Hessen-Thuringen Gi HELABA JLMB Joint Lead Managers-Books 0 1 2020-06-23"/>
        <s v="Bookrunner Bank Pekao SA PEKAO JLMB Joint Lead Managers-Books 0 1 2020-10-29 Bookrunner Erste Group Bank ERSTE JLMB Joint Lead Managers-Books 0 1 2020-10-29 Bookrunner PKO Bank Polski SA PKOBP JLMB Joint Lead Managers-Books 0 1 2020-10-29 Bookrunner Santa"/>
        <s v="Bookrunner BNP Paribas/Frankfurt BNP JLMB Joint Lead Managers-Books 0 4 2021-01-12 Bookrunner HSBC Trinkaus &amp; Burkhardt AG H-TRNK JLMB Joint Lead Managers-Books 0 4 2021-01-12 Bookrunner ING Bank NV Niederlassung ING JLMB Joint Lead Managers-Books 0 4 202"/>
        <s v="Bookrunner DZ Bank DZBK JLMB Joint Lead Managers-Books 0 1 2021-01-14 Bookrunner Landesbank Baden-Wuerttemberg LBBW JLMB Joint Lead Managers-Books 0 1 2021-01-14 Bookrunner UniCredit Bank AG UNICRD JLMB Joint Lead Managers-Books 0 1 2021-01-14"/>
        <s v="Bookrunner Banco Bilbao Vizcaya Argentari BBVA JLMB Joint Lead Managers-Books 0 1 2020-11-17 Bookrunner Banco Santander SANT JLMB Joint Lead Managers-Books 0 1 2020-11-17 Bookrunner BNP Paribas BNPP JLMB Joint Lead Managers-Books 0 1 2020-11-17 Bookrunner"/>
        <s v="Bookrunner Barclays Bank Ireland PLC BARCBK JLMB Joint Lead Managers-Books 0 1 2020-11-17 Bookrunner BNP Paribas BNPP JLMB Joint Lead Managers-Books 0 1 2020-11-17 Bookrunner Citigroup Global Markets Europ CITI JLMB Joint Lead Managers-Books 0 1 2020-11-1"/>
        <s v="Bookrunner UniCredit UNICRD SOLE Sole Manager 0 1 2020-11-27"/>
        <s v="Bookrunner Bank Pekao SA PEKAO JLMB Joint Lead Managers-Books 0 1 2020-12-11 Bookrunner Santander Bank Polska SA SANT JLMB Joint Lead Managers-Books 0 1 2020-12-11 Trustee Bank Pekao SA PEKAO CALC Calculation Agent(s) 0 7 2020-12-11"/>
        <s v="Bookrunner PKF (UK) LLP PKFUK SOLE Sole Manager 18000 1 2020-12-04 Trustee Not Available N/A PLAG Placement Agent(s) 0 7 2020-12-04 Trustee Banco de Sabadell SA/Spain BANSAB PAAG Paying Agent(s) 0 7 2020-12-04 Trustee Not Available N/A GLCO Global Coordin"/>
        <s v="Bookrunner Natixis NATIX JLMB Joint Lead Managers-Books 0 1 2020-11-30 Bookrunner Societe Generale SG JLMB Joint Lead Managers-Books 0 1 2020-11-30 Trustee Societe Generale Securities Se SGSECS PAAG Paying Agent(s) 0 7 2020-11-30 Trustee Societe Generale "/>
        <s v="Bookrunner Kepler Cheuvreux KEPCAP LMGR Lead Manager(s) 0 1 2020-12-08 Trustee BNP Paribas Securities Service BNPPAR AGNT Agent(s) 0 7 2020-12-08"/>
        <s v="Bookrunner Banco Itau SA ITAU JLMB Joint Lead Managers-Books 83333 1 2021-01-06 Bookrunner BofA Securities BofA JLMB Joint Lead Managers-Books 83334 1 2021-01-06 Bookrunner Bradesco BBI SA BRADSC JLMB Joint Lead Managers-Books 83334 1 2021-01-06 Bookrunne"/>
        <s v="Bookrunner Banco Itau SA ITAU JLMB Joint Lead Managers-Books 83334 1 2021-01-06 Bookrunner BofA Securities BofA JLMB Joint Lead Managers-Books 83334 1 2021-01-06 Bookrunner Bradesco BBI SA BRADSC JLMB Joint Lead Managers-Books 83333 1 2021-01-06 Bookrunne"/>
        <s v="Bookrunner Landesbank Baden-Wuerttemberg LBBW JLMB Joint Lead Managers-Books 0 4 2021-06-23 Bookrunner SEB SEB JLMB Joint Lead Managers-Books 0 4 2021-06-23 Bookrunner UniCredit Bank AG UNICRD JLMB Joint Lead Managers-Books 0 4 2021-06-23 Bookrunner Lande"/>
        <s v="Bookrunner Banco Santander (US) SANTAN JLMB Joint Lead Managers-Books 0 1 2021-01-14 Bookrunner BTG Pactual US Capital Corp BTGPAC JLMB Joint Lead Managers-Books 0 1 2021-01-14 Bookrunner JP Morgan JPM JLMB Joint Lead Managers-Books 0 1 2021-01-14 Bookrun"/>
        <s v="Bookrunner Commerzbank COBA JLMB Joint Lead Managers-Books 0 1 2021-03-04 Bookrunner ING Bank NV Niederlassung ING JLMB Joint Lead Managers-Books 0 1 2021-03-04 Bookrunner Landesbank Baden-Wuerttemberg LBBW JLMB Joint Lead Managers-Books 0 1 2021-03-04 Tr"/>
        <s v="Bookrunner Commerzbank COBA JLMB Joint Lead Managers-Books 0 1 2021-03-04 Bookrunner ING Bank NV Niederlassung ING JLMB Joint Lead Managers-Books 0 1 2021-03-04 Bookrunner Landesbank Baden-Wuerttemberg LBBW JLMB Joint Lead Managers-Books 0 1 2021-03-04"/>
        <s v="Bookrunner Banco BTG Pactual SA/Cayman Is BTG JLMB Joint Lead Managers-Books 0 4 2021-09-08 Bookrunner Citigroup Global Markets Inc CITI JLMB Joint Lead Managers-Books 0 4 2021-09-08 Bookrunner Itau BBA USA Securities Inc ITAU JLMB Joint Lead Managers-Boo"/>
        <s v="Bookrunner Banco BTG Pactual SA/Cayman Is BTG JLMB Joint Lead Managers-Books 62500 1 2021-01-28 Bookrunner Citigroup Global Markets Inc CITI JLMB Joint Lead Managers-Books 62500 1 2021-01-28 Bookrunner Itau BBA USA Securities Inc ITAU JLMB Joint Lead Mana"/>
        <s v="Bookrunner Jefferies International Ltd JEFF JLMB Joint Lead Managers-Books 0 1 2021-02-15 Bookrunner MM Warburg &amp; CO KGaA MMWARB JLMB Joint Lead Managers-Books 0 1 2021-02-15 Trustee White &amp; Case LLP W&amp;C LAM Legal Adviser(s) to the Manage 0 16 2021-02-15"/>
        <s v="Bookrunner Barclays Capital BCLY JLMB Joint Lead Managers-Books 0 1 2021-02-09 Bookrunner BNP Paribas/New York BNPPAR JLMB Joint Lead Managers-Books 0 1 2021-02-09 Bookrunner Citigroup Global Markets Inc CITI JLMB Joint Lead Managers-Books 0 1 2021-02-09 "/>
        <s v="Bookrunner Beka Finance SV SA BEKA JLMB Joint Lead Managers-Books 0 4 2021-11-24 Bookrunner Sociedad de Valores SOCVAL JLMB Joint Lead Managers-Books 0 4 2021-11-24 NonBookrunner PKF Attest Debt Capital Market PKFATT GLCO Global Coordinator(s) 0 4 2021-11"/>
        <s v="Bookrunner BNP Paribas BNPP JLMB Joint Lead Managers-Books 0 1 2021-02-18 Bookrunner Commerzbank COBA JLMB Joint Lead Managers-Books 0 1 2021-02-18 Bookrunner Danske Bank DANSKE JLMB Joint Lead Managers-Books 0 1 2021-02-18 Bookrunner SEB SEB JLMB Joint L"/>
        <s v="Bookrunner BNP Paribas/Frankfurt BNP JLMB Joint Lead Managers-Books 0 4 2021-09-30 Bookrunner DZ Bank DZBK JLMB Joint Lead Managers-Books 0 4 2021-09-30 Bookrunner Landesbank Hessen-Thuringen Gi HELABA JLMB Joint Lead Managers-Books 0 4 2021-09-30 Bookrun"/>
        <s v="Bookrunner BNP Paribas/Frankfurt BNP JLMB Joint Lead Managers-Books 0 1 2021-03-31 Bookrunner DZ Bank DZBK JLMB Joint Lead Managers-Books 0 1 2021-03-31 Bookrunner Landesbank Hessen-Thuringen Gi HELABA JLMB Joint Lead Managers-Books 0 1 2021-03-31"/>
        <s v="Bookrunner Alpha Bank AE ALPHA JLMB Joint Lead Managers-Books 0 4 2021-03-22 Bookrunner Ambrosia Capital Ltd/United Ki AMBCAP JLMB Joint Lead Managers-Books 0 4 2021-03-22 Bookrunner Axia Advisors LLC AXIA JLMB Joint Lead Managers-Books 0 4 2021-03-22 Boo"/>
        <s v="Bookrunner BNP Paribas BNPP JLMB Joint Lead Managers-Books 0 1 2021-03-11 Bookrunner BofA Securities BofA JLMB Joint Lead Managers-Books 0 1 2021-03-11 Bookrunner Deutsche Bank DB JLMB Joint Lead Managers-Books 0 1 2021-03-11 Bookrunner Goldman Sachs Bank"/>
        <s v="Bookrunner Bank Pekao SA PEKAO LMGR Lead Manager(s) 0 1 2021-03-18 Trustee Bank Pekao SA PEKAO CALC Calculation Agent(s) 0 7 2021-03-18"/>
        <s v="Bookrunner Credit Agricole CIB CACIB JLMB Joint Lead Managers-Books 0 1 2021-03-25 Bookrunner Deutsche Bank DB JLMB Joint Lead Managers-Books 0 1 2021-03-25 Bookrunner DZ Bank DZBK JLMB Joint Lead Managers-Books 0 1 2021-03-25 Bookrunner Goldman Sachs Int"/>
        <s v="Bookrunner BofA Securities Europe SA BOFAS JLMB Joint Lead Managers-Books 0 1 2021-03-24 Bookrunner Erste Group Bank ERSTE JLMB Joint Lead Managers-Books 0 1 2021-03-24 Bookrunner JP Morgan Securities PLC JPM JLMB Joint Lead Managers-Books 0 1 2021-03-24 "/>
        <s v="Bookrunner BofA Securities Europe SA BOFAS JLMB Joint Lead Managers-Books 0 1 2021-04-15 Bookrunner Credit Suisse Securities (Euro CS JLMB Joint Lead Managers-Books 0 1 2021-04-15 Bookrunner Deutsche Bank DB JLMB Joint Lead Managers-Books 0 1 2021-04-15 B"/>
        <s v="Bookrunner UniCredit Bank Austria AG UCBA LMGR Lead Manager(s) 0 1 2021-04-12 Trustee Citibank Europe PLC CITIFS PAAG Paying Agent(s) 0 7 2021-04-12"/>
        <s v="Bookrunner Commerzbank COBA JLMB Joint Lead Managers-Books 0 1 2021-04-13 Bookrunner Credit Agricole CIB CACIB JLMB Joint Lead Managers-Books 0 1 2021-04-13 Bookrunner DZ BANK AG Deutsche Zentral-Ge DZBKGE JLMB Joint Lead Managers-Books 0 1 2021-04-13 Boo"/>
        <s v="Bookrunner Barclays BARCS JLMB Joint Lead Managers-Books 0 1 2021-04-22 Bookrunner BofA Securities BofA JLMB Joint Lead Managers-Books 0 1 2021-04-22 Bookrunner Credit Agricole CIB CACIB JLMB Joint Lead Managers-Books 0 1 2021-04-22 Bookrunner Goldman Sac"/>
        <s v="Bookrunner Barclays BARCS JLMB Joint Lead Managers-Books 0 4 2021-05-07 Bookrunner Credit Agricole CIB CACIB JLMB Joint Lead Managers-Books 0 4 2021-05-07 Bookrunner HSBC HSBC JLMB Joint Lead Managers-Books 0 4 2021-05-07 Bookrunner Societe Generale SG JL"/>
        <s v="Bookrunner Credit Agricole Corporate &amp; In CACIB JLMB Joint Lead Managers-Books 0 1 2021-04-30 Bookrunner Credit Suisse Securities (Euro CS JLMB Joint Lead Managers-Books 0 1 2021-04-30 Bookrunner Deutsche Bank Securities Inc DB JLMB Joint Lead Managers-Bo"/>
        <s v="Bookrunner Credit Agricole Securities USA CASECS JLMB Joint Lead Managers-Books 0 1 2021-04-30 Bookrunner Credit Suisse CS JLMB Joint Lead Managers-Books 0 1 2021-04-30 Bookrunner Deutsche Bank Securities Inc DB JLMB Joint Lead Managers-Books 0 1 2021-04-"/>
        <s v="Bookrunner MM Warburg &amp; CO KGaA MMWARB JLMB Joint Lead Managers-Books 0 1 2021-05-11 Bookrunner Raiffeisen Bank International RAIINT JLMB Joint Lead Managers-Books 0 1 2021-05-11 NonBookrunner Raiffeisen Bank International RAIINT GLCO Global Coordinator(s"/>
        <s v="Bookrunner Banco Itau BBA ITABBA JLMB Joint Lead Managers-Books 57143 1 2021-04-27 Bookrunner Banco Santander SANT JLMB Joint Lead Managers-Books 57143 1 2021-04-27 Bookrunner Bradesco BBI SA BRADSC JLMB Joint Lead Managers-Books 57143 1 2021-04-27 Bookru"/>
        <s v="Bookrunner HSBC HSBC JLMB Joint Lead Managers-Books 0 1 2021-06-11 Bookrunner Raiffeisen Bank International RAIINT JLMB Joint Lead Managers-Books 0 1 2021-06-11 Trustee Clifford Chance LLP CHANCE LAM Legal Adviser(s) to the Manage 0 16 2021-06-11"/>
        <s v="Bookrunner BNP Paribas BNPP JLMB Joint Lead Managers-Books 0 1 2021-05-07 Bookrunner Goldman Sachs Bank Europe SE GS JLMB Joint Lead Managers-Books 0 1 2021-05-07 Bookrunner Morgan Stanley &amp; Co Internatio MS JLMB Joint Lead Managers-Books 0 1 2021-05-07 B"/>
        <s v="Bookrunner BNP Paribas BNPP JLMB Joint Lead Managers-Books 0 1 2021-05-06 Bookrunner Credit Industriel et Commercia CIC JLMB Joint Lead Managers-Books 0 1 2021-05-06 Bookrunner MUFG Securities EMEA PLC MUFG JLMB Joint Lead Managers-Books 0 1 2021-05-06 Bo"/>
        <s v="Bookrunner Banco Santander SANT JLMB Joint Lead Managers-Books 0 1 2021-05-06 Bookrunner Bank of America BA JLMB Joint Lead Managers-Books 0 1 2021-05-06 Bookrunner BNP Paribas BNPP JLMB Joint Lead Managers-Books 0 1 2021-05-06 Bookrunner Credit Agricole "/>
        <s v="Bookrunner Barclays BARCS JLMB Joint Lead Managers-Books 0 1 2021-05-17 Bookrunner BNP Paribas BNPP JLMB Joint Lead Managers-Books 0 1 2021-05-17 Bookrunner Citigroup C JLMB Joint Lead Managers-Books 0 1 2021-05-17 Bookrunner Credit Suisse CS JLMB Joint L"/>
        <s v="Bookrunner Bank of China Ltd/London BOCLON JLMB Joint Lead Managers-Books 0 1 2021-05-26 Bookrunner Barclays BARCS JLMB Joint Lead Managers-Books 0 1 2021-05-26 Bookrunner BNP Paribas BNPP JLMB Joint Lead Managers-Books 0 1 2021-05-26 Bookrunner ICBC Stan"/>
        <s v="Bookrunner Arctic Securities ARCTIC JLMB Joint Lead Managers-Books 0 4 2021-06-30 Bookrunner Pareto Securities PARETO JLMB Joint Lead Managers-Books 0 4 2021-06-30 Bookrunner Swedbank SWED JLMB Joint Lead Managers-Books 0 4 2021-06-30 Bookrunner Arctic Se"/>
        <s v="Bookrunner BNP Paribas/London BNPPAR JLMB Joint Lead Managers-Books 0 1 2021-06-07 Bookrunner BofA Securities BofA JLMB Joint Lead Managers-Books 0 1 2021-06-07 Bookrunner Credit Agricole CIB CACIB JLMB Joint Lead Managers-Books 0 1 2021-06-07 Bookrunner "/>
        <s v="Bookrunner Commerzbank COBA JLMB Joint Lead Managers-Books 0 4 2021-12-01 Bookrunner DZ Bank DZBK JLMB Joint Lead Managers-Books 0 4 2021-12-01 Bookrunner Landesbank Baden-Wuerttemberg LBBW JLMB Joint Lead Managers-Books 0 4 2021-12-01 Bookrunner Commerzb"/>
        <s v="Bookrunner Banca Akros SpA AKROS JLMB Joint Lead Managers-Books 0 1 2021-06-08 Bookrunner Banco Bilbao Vizcaya Argentari BBVA JLMB Joint Lead Managers-Books 0 1 2021-06-08 Bookrunner Banco Santander SANT JLMB Joint Lead Managers-Books 0 1 2021-06-08 Bookr"/>
        <s v="Bookrunner Banco Santander (US) SANTAN JLMB Joint Lead Managers-Books 0 1 2021-06-08 Bookrunner Barclays Capital BCLY JLMB Joint Lead Managers-Books 0 1 2021-06-08 Bookrunner Bradesco BBI SA BRADSC JLMB Joint Lead Managers-Books 0 1 2021-06-08 Bookrunner "/>
        <s v="Bookrunner Barclays BARCS JLMB Joint Lead Managers-Books 0 1 2021-06-09 Bookrunner BNP Paribas BNPP JLMB Joint Lead Managers-Books 0 1 2021-06-09 Bookrunner Citigroup Global Markets Ltd CITI JLMB Joint Lead Managers-Books 0 1 2021-06-09 Bookrunner Credit "/>
        <s v="Bookrunner DNB Markets DNB JLMB Joint Lead Managers-Books 0 1 2021-06-09 Bookrunner SEB SEB JLMB Joint Lead Managers-Books 0 1 2021-06-09 Trustee White &amp; Case LLP W&amp;C LAI Legal Adviser to the Issuer(s) 0 16 2021-06-09"/>
        <s v="Bookrunner Erste Group Bank ERSTE JLMB Joint Lead Managers-Books 0 1 2021-08-04 Bookrunner Landesbank Baden-Wuerttemberg LBBW JLMB Joint Lead Managers-Books 0 1 2021-08-04 Bookrunner UniCredit Bank Austria AG UCBA JLMB Joint Lead Managers-Books 0 1 2021-0"/>
        <s v="Bookrunner Barclays Bank PLC BARCBK JLMB Joint Lead Managers-Books 0 1 2021-06-24 Bookrunner Credit Suisse AG/London CS JLMB Joint Lead Managers-Books 0 1 2021-06-24 Bookrunner Deutsche Bank AG London DB JLMB Joint Lead Managers-Books 0 1 2021-06-24 Bookr"/>
        <s v="Bookrunner Landesbank Baden-Wuerttemberg LBBW JLMB Joint Lead Managers-Books 0 1 2021-08-06 Bookrunner UniCredit Bank AG UNICRD JLMB Joint Lead Managers-Books 0 1 2021-08-06"/>
        <s v="Bookrunner Credit Suisse Bank Europe SA CS JLMB Joint Lead Managers-Books 0 1 2021-06-30 Bookrunner Deutsche Bank AG/New York NY DB JLMB Joint Lead Managers-Books 0 1 2021-06-30 Bookrunner Goldman Sachs Bank Europe SE GS JLMB Joint Lead Managers-Books 0 1"/>
        <s v="Bookrunner BNP Paribas Securities Corp BNPPAR JLMB Joint Lead Managers-Books 100000 1 2021-06-28 Bookrunner BofA Securities BofA JLMB Joint Lead Managers-Books 100000 1 2021-06-28 Bookrunner Credit Agricole Securities USA CASECS JLMB Joint Lead Managers-B"/>
        <s v="Bookrunner Bank of America Securities Ltd BASL JLMB Joint Lead Managers-Books 0 1 2021-06-29 Bookrunner Barclays BARCS JLMB Joint Lead Managers-Books 0 1 2021-06-29 Bookrunner BBVA Securities Ltd BBVA JLMB Joint Lead Managers-Books 0 1 2021-06-29 Bookrunn"/>
        <s v="Bookrunner Banco Bilbao Vizcaya Argentari BBVA JLMB Joint Lead Managers-Books 0 1 2021-06-29 Bookrunner Barclays BARCS JLMB Joint Lead Managers-Books 0 1 2021-06-29 Bookrunner BNP Paribas BNPP JLMB Joint Lead Managers-Books 0 1 2021-06-29 Bookrunner BofA "/>
        <s v="Bookrunner Banco Bilbao Vizcaya London Br BBV JLMB Joint Lead Managers-Books 0 1 2021-07-07 Bookrunner Banco Santander SA/London SANTAN JLMB Joint Lead Managers-Books 0 1 2021-07-07 Bookrunner BNP Paribas/London BNPPAR JLMB Joint Lead Managers-Books 0 1 2"/>
        <s v="Bookrunner Barclays Capital BCLY JLMB Joint Lead Managers-Books 0 1 2021-07-07 Bookrunner BNP Paribas/New York BNPPAR JLMB Joint Lead Managers-Books 0 1 2021-07-07 Bookrunner BofA Securities BofA JLMB Joint Lead Managers-Books 0 1 2021-07-07 Bookrunner Ci"/>
        <s v="Bookrunner Alpha Bank AE ALPHA JLMB Joint Lead Managers-Books 0 1 2021-07-14 Bookrunner Ambrosia Capital Ltd/United Ki AMBCAP JLMB Joint Lead Managers-Books 0 1 2021-07-14 Bookrunner Axia Ventures Group Ltd AxiaVe JLMB Joint Lead Managers-Books 0 1 2021-0"/>
        <s v="Bookrunner BNP Paribas BNPP JLMB Joint Lead Managers-Books 0 1 2021-07-27 Bookrunner Credit Agricole CIB CACIB JLMB Joint Lead Managers-Books 0 1 2021-07-27 Bookrunner Credit Mutuel-CIC CM-CIC JLMB Joint Lead Managers-Books 0 1 2021-07-27 Bookrunner Mizuh"/>
        <s v="Bookrunner Landesbank Baden-Wuerttemberg LBBW JLMB Joint Lead Managers-Books 0 1 2021-09-23 Bookrunner Raiffeisen Bank International RAIINT JLMB Joint Lead Managers-Books 0 1 2021-09-23 Bookrunner UniCredit Bank AG UNICRD JLMB Joint Lead Managers-Books 0 "/>
        <s v="Bookrunner Morgan Stanley MS JLMB Joint Lead Managers-Books 0 1 2021-08-25 Bookrunner NatWest Markets NWM JLMB Joint Lead Managers-Books 0 1 2021-08-25 Trustee Citibank NA/London CITI PAAG Paying Agent(s) 0 7 2021-08-25 Trustee Citibank NA/London CITI FIS"/>
        <s v="Bookrunner BNP Paribas/London BNPPAR JLMB Joint Lead Managers-Books 0 1 2021-09-09 Bookrunner HSBC HSBC JLMB Joint Lead Managers-Books 0 1 2021-09-09 Bookrunner Morgan Stanley &amp; Co Internatio MS JLMB Joint Lead Managers-Books 0 1 2021-09-09 Bookrunner Nat"/>
        <s v="Bookrunner BNP Paribas BNPP JLMB Joint Lead Managers-Books 0 1 2021-09-09 Bookrunner BofA Securities Europe SA BOFAS JLMB Joint Lead Managers-Books 0 1 2021-09-09 Bookrunner CaixaBank CAIXA JLMB Joint Lead Managers-Books 0 1 2021-09-09 Bookrunner Credit A"/>
        <s v="Bookrunner BNP Paribas/New York BNPPAR JLMB Joint Lead Managers-Books 54054 1 2021-09-08 Bookrunner BofA Securities BofA JLMB Joint Lead Managers-Books 54054 1 2021-09-08 Bookrunner Bradesco BBI SA BRADSC JLMB Joint Lead Managers-Books 13514 1 2021-09-08 "/>
        <s v="Bookrunner BofA Securities Europe SA BOFAS SOLE Sole Manager 0 4 2021-11-26 Bookrunner Bank of America BA JLMB Joint Lead Managers-Books 0 4 2021-10-29 Bookrunner Credit Suisse CS JLMB Joint Lead Managers-Books 0 4 2021-10-29 #N/A N/A Latham &amp; Watkins LLP"/>
        <s v="Bookrunner Barclays Capital BCLY JLMB Joint Lead Managers-Books 116666 1 2021-09-13 Bookrunner Citigroup Global Markets Inc CITI JLMB Joint Lead Managers-Books 116666 1 2021-09-13 Bookrunner Credit Agricole Securities USA CASECS JLMB Joint Lead Managers-B"/>
        <s v="Bookrunner Banco Bradesco BBI SA BBBBI JLMB Joint Lead Managers-Books 50000 1 2021-09-15 Bookrunner Banco BTG Pactual SA/Cayman Is BTG JLMB Joint Lead Managers-Books 50000 1 2021-09-15 Bookrunner Citigroup Global Markets Inc CITI JLMB Joint Lead Managers-"/>
        <s v="Bookrunner Danske Bank DANSKE JLMB Joint Lead Managers-Books 0 1 2021-09-22 Bookrunner Nordea NORDEA JLMB Joint Lead Managers-Books 0 1 2021-09-22"/>
        <s v="Bookrunner Banco Bilbao Vizcaya Argentari BBVA JLMB Joint Lead Managers-Books 0 1 2021-09-21 Bookrunner Banco Santander SANT JLMB Joint Lead Managers-Books 0 1 2021-09-21 Bookrunner BNP Paribas BNPP JLMB Joint Lead Managers-Books 0 1 2021-09-21 Bookrunner"/>
        <s v="Bookrunner Banca IMI B.IMI JLMB Joint Lead Managers-Books 0 1 2021-09-21 Bookrunner Banco Bilbao Vizcaya Argentari BBVA JLMB Joint Lead Managers-Books 0 1 2021-09-21 Bookrunner Banco Santander SANT JLMB Joint Lead Managers-Books 0 1 2021-09-21 Bookrunner "/>
        <s v="Bookrunner Banca IMI B.IMI JLMB Joint Lead Managers-Books 0 1 2021-09-21 Bookrunner Banco Bilbao Vizcaya Argentari BBVA JLMB Joint Lead Managers-Books 0 1 2021-09-21 Bookrunner Banco Santander SA/London SANTAN JLMB Joint Lead Managers-Books 0 1 2021-09-21"/>
        <s v="Bookrunner BNP Paribas BNPP JLMB Joint Lead Managers-Books 0 1 2021-09-29 Bookrunner CM-CIC Securities SA CMCIC JLMB Joint Lead Managers-Books 0 1 2021-09-29 Bookrunner Credit Agricole CIB CACIB JLMB Joint Lead Managers-Books 0 1 2021-09-29 Bookrunner Gol"/>
        <s v="Bookrunner Banco Sabadell SABADL LMGR Lead Manager(s) 0 1 2021-09-27 Trustee Banco Sabadell SABADL PLAG Placement Agent(s) 0 7 2021-09-27 Trustee Banco de Sabadell SA/Spain BANSAB CALC Calculation Agent(s) 0 7 2021-09-27 Trustee Cuatrecasas CCP TRST Trust"/>
        <s v="Bookrunner Landesbank Baden-Wuerttemberg LBBW SOLE Sole Manager 0 1 2021-11-10"/>
        <s v="Bookrunner ABN Amro Bank NV ABN JLMB Joint Lead Managers-Books 0 1 2021-10-01 Bookrunner Credit Agricole CIB CACIB JLMB Joint Lead Managers-Books 0 1 2021-10-01 Bookrunner ING Groep ING JLMB Joint Lead Managers-Books 0 1 2021-10-01 NonBookrunner NatWest M"/>
        <s v="Bookrunner Barclays BARCS JLMB Joint Lead Managers-Books 0 1 2021-10-07 Bookrunner Goldman Sachs International GSI JLMB Joint Lead Managers-Books 0 1 2021-10-07 Bookrunner RBC Capital Markets RBCCM JLMB Joint Lead Managers-Books 0 1 2021-10-07 NonBookrunn"/>
        <s v="Bookrunner DBS Bank Ltd/London DBS LMGR Lead Manager(s) 0 1 2021-10-08 Trustee BNP Paribas Securities Service BNPPAR PAAG Paying Agent(s) 0 7 2021-10-08 Trustee BNP Paribas Securities Service BNPPAR FISC Fiscal Agent(s) 0 7 2021-10-08"/>
        <s v="Bookrunner Banco Santander SANT JLMB Joint Lead Managers-Books 0 1 2021-10-13 Bookrunner BNP Paribas/London BNPPAR JLMB Joint Lead Managers-Books 0 1 2021-10-13 Bookrunner Credit Agricole CIB CACIB JLMB Joint Lead Managers-Books 0 1 2021-10-13 Bookrunner "/>
        <s v="Bookrunner Not Available N/A LMGR Lead Manager(s) 0 1 2021-10-25 Trustee Equita SIM SpA EQUSIM PLAG Placement Agent(s) 0 7 2021-10-25 Trustee Bank of New York Mellon/London BNY PAAG Paying Agent(s) 0 7 2021-10-25 Trustee Bank of New York Mellon BNYM FISC "/>
        <s v="Bookrunner BNP Paribas/Frankfurt BNP JLMB Joint Lead Managers-Books 0 1 2021-12-13 Bookrunner Landesbank Hessen-Thuringen Gi HELABA JLMB Joint Lead Managers-Books 0 1 2021-12-13 Bookrunner Landesbank Baden-Wuerttemberg LBBW JLMB Joint Lead Managers-Books "/>
        <s v="Bookrunner BNP Paribas BNPP JLMB Joint Lead Managers-Books 0 1 2021-12-13 Bookrunner Landesbank Hessen-Thuringen Gi HELABA JLMB Joint Lead Managers-Books 0 1 2021-12-13 Bookrunner Landesbank Baden-Wuerttemberg LBBW JLMB Joint Lead Managers-Books 0 1 2021-"/>
        <s v="Bookrunner BNP Paribas BNPP JLMB Joint Lead Managers-Books 0 1 2021-10-28 NonBookrunner Credit Agricole CIB CACIB JLM Joint Lead Managers-No Books 0 1 2021-10-28 NonBookrunner Natixis NATIX JLM Joint Lead Managers-No Books 0 1 2021-10-28 Bookrunner BNP Pa"/>
        <s v="Bookrunner Pareto Securities PARETO JLMB Joint Lead Managers-Books 0 1 2021-10-28 Bookrunner Swedbank SWED JLMB Joint Lead Managers-Books 0 1 2021-10-28 Trustee Nordic Trustee AB NRDTRS TRST Trustee(s) 0 7 2021-10-28 Trustee White &amp; Case LLP W&amp;C LAI Legal"/>
        <s v="Bookrunner Landesbank Hessen-Thuringen Gi HELABA JLMB Joint Lead Managers-Books 0 1 2021-12-07 Bookrunner Raiffeisen Bank International RAIINT JLMB Joint Lead Managers-Books 0 1 2021-12-07 Trustee Clifford Chance LLP CHANCE LAI Legal Adviser to the Issuer"/>
        <s v="Bookrunner BNP Paribas/New York BNPPAR JLMB Joint Lead Managers-Books 154000 1 2021-11-02 Bookrunner BofA Securities BofA JLMB Joint Lead Managers-Books 154000 1 2021-11-02 Bookrunner Citigroup Global Markets Europ CITI JLMB Joint Lead Managers-Books 1540"/>
        <s v="Bookrunner BNP Paribas/New York BNPPAR JLMB Joint Lead Managers-Books 210000 1 2021-11-02 Bookrunner BofA Securities BofA JLMB Joint Lead Managers-Books 210000 1 2021-11-02 Bookrunner Citigroup Global Markets Inc CITI JLMB Joint Lead Managers-Books 210000"/>
        <s v="Bookrunner BNP Paribas/New York BNPPAR JLMB Joint Lead Managers-Books 140000 1 2021-11-02 Bookrunner BofA Securities BofA JLMB Joint Lead Managers-Books 140000 1 2021-11-02 Bookrunner Citigroup Global Markets Inc CITI JLMB Joint Lead Managers-Books 140000"/>
        <s v="Bookrunner Banco Bilbao Vizcaya Argentari BBVA JLMB Joint Lead Managers-Books 0 1 2021-11-04 Bookrunner Banco Santander SANT JLMB Joint Lead Managers-Books 0 1 2021-11-04 Bookrunner Bank of America BA JLMB Joint Lead Managers-Books 0 1 2021-11-04 Bookrunn"/>
        <s v="Bookrunner Commerzbank COBA JLMB Joint Lead Managers-Books 0 4 2022-01-12 Bookrunner Landesbank Hessen-Thuringen Gi HELABA JLMB Joint Lead Managers-Books 0 4 2022-01-12 NonBookrunner Australia &amp; New Zealand Bankin ANZ COAR Co-Arranger(s) 0 4 2022-01-12 No"/>
        <s v="Bookrunner Commerzbank COBA JLMB Joint Lead Managers-Books 0 1 2021-12-22 Bookrunner Landesbank Hessen-Thuringen Gi HELABA JLMB Joint Lead Managers-Books 0 1 2021-12-22 NonBookrunner Australia &amp; New Zealand Bankin ANZ COAR Co-Arranger(s) 0 1 2021-12-22 No"/>
        <s v="Bookrunner Barclays BARCS JLMB Joint Lead Managers-Books 0 1 2021-11-04 Bookrunner HSBC HSBC JLMB Joint Lead Managers-Books 0 1 2021-11-04 Bookrunner JP Morgan JPM JLMB Joint Lead Managers-Books 0 1 2021-11-04 Bookrunner RBC Capital Markets RBCCM JLMB Joi"/>
        <s v="Bookrunner Banco Bilbao Vizcaya Argentari BBVA JLMB Joint Lead Managers-Books 0 1 2021-11-03 Bookrunner Bayerische Landesbank (US) BAYER JLMB Joint Lead Managers-Books 0 1 2021-11-03 Bookrunner BNP Paribas BNPP JLMB Joint Lead Managers-Books 0 1 2021-11-0"/>
        <s v="Bookrunner Banca IMI B.IMI JLMB Joint Lead Managers-Books 0 1 2021-11-03 Bookrunner Commerzbank COBA JLMB Joint Lead Managers-Books 0 1 2021-11-03 Bookrunner Credit Agricole CIB CACIB JLMB Joint Lead Managers-Books 0 1 2021-11-03 Bookrunner Deutsche Bank "/>
        <s v="Bookrunner Banco Santander SANT JLMB Joint Lead Managers-Books 0 1 2021-11-03 Bookrunner BNP Paribas BNPP JLMB Joint Lead Managers-Books 0 1 2021-11-03 Bookrunner Credit Agricole CIB CACIB JLMB Joint Lead Managers-Books 0 1 2021-11-03 Bookrunner Deutsche "/>
        <s v="Bookrunner Barclays BARCS JLMB Joint Lead Managers-Books 0 1 2021-11-08 Bookrunner BNP Paribas BNPP JLMB Joint Lead Managers-Books 0 1 2021-11-08 Bookrunner Deutsche Bank DB JLMB Joint Lead Managers-Books 0 1 2021-11-08 Bookrunner ING Groep ING JLMB Joint"/>
        <s v="Bookrunner Deutsche Bank DB JLMB Joint Lead Managers-Books 0 1 2021-11-10 Bookrunner HSBC HSBC JLMB Joint Lead Managers-Books 0 1 2021-11-10 Bookrunner ING Groep ING JLMB Joint Lead Managers-Books 0 1 2021-11-10 Bookrunner Societe Generale SG JLMB Joint L"/>
        <s v="Bookrunner Deutsche Bank DB JLMB Joint Lead Managers-Books 0 1 2021-11-10 Bookrunner ING Groep ING JLMB Joint Lead Managers-Books 0 1 2021-11-10 Bookrunner Societe Generale SG JLMB Joint Lead Managers-Books 0 1 2021-11-10 Trustee Deutsche Bank AG DB PAAG "/>
        <s v="Bookrunner Nordea NORDEA JLMB Joint Lead Managers-Books 0 1 2021-11-15 Bookrunner SEB SEB JLMB Joint Lead Managers-Books 0 1 2021-11-15"/>
        <s v="Bookrunner Banco Santander SANT JLMB Joint Lead Managers-Books 0 1 2021-11-18 Bookrunner Commerzbank COBA JLMB Joint Lead Managers-Books 0 1 2021-11-18 Bookrunner Credit Agricole CIB CACIB JLMB Joint Lead Managers-Books 0 1 2021-11-18 Bookrunner HSBC HSBC"/>
        <s v="Bookrunner Banca Akros SpA AKROS JLMB Joint Lead Managers-Books 0 1 2021-11-18 Bookrunner Banco Santander SANT JLMB Joint Lead Managers-Books 0 1 2021-11-18 Bookrunner BNP Paribas BNPP JLMB Joint Lead Managers-Books 0 1 2021-11-18 Bookrunner CaixaBank CAI"/>
        <s v="Bookrunner Credit Agricole Corporate &amp; In CACIB JLMB Joint Lead Managers-Books 0 1 2021-09-27 Bookrunner Natixis NATIX JLMB Joint Lead Managers-Books 0 1 2021-09-27 Trustee BNP Paribas Securities Service BNPPAR PAAG Paying Agent(s) 0 7 2021-09-27 Trustee "/>
        <s v="Bookrunner Credit Agricole CIB CACIB JLMB Joint Lead Managers-Books 0 1 2021-09-27 Bookrunner Natixis NATIX JLMB Joint Lead Managers-Books 0 1 2021-09-27 Trustee BNP Paribas Securities Service BNPPAR PAAG Paying Agent(s) 0 7 2021-09-27 Trustee BNP Paribas"/>
        <s v="Bookrunner Banco Finantia BANFIN JLMB Joint Lead Managers-Books 0 4 2021-12-15 Bookrunner Caixa Banco de Investimento SA CXBI JLMB Joint Lead Managers-Books 0 4 2021-12-15 Bookrunner Haitong Bank SA HAITIB JLMB Joint Lead Managers-Books 0 4 2021-12-15 Boo"/>
        <s v="Bookrunner Danske Bank DANSKE JLMB Joint Lead Managers-Books 0 4 2022-04-11 Bookrunner Nordea NORDEA JLMB Joint Lead Managers-Books 0 4 2022-04-11 Bookrunner Danske Bank DANSKE JLMB Joint Lead Managers-Books 0 1 2021-11-23 Bookrunner Nordea NORDEA JLMB Jo"/>
        <s v="Bookrunner Banco Bilbao Vizcaya London Br BBV JLMB Joint Lead Managers-Books 0 1 2021-11-23 Bookrunner Citigroup Global Markets Ltd CITI JLMB Joint Lead Managers-Books 0 1 2021-11-23 Bookrunner Deutsche Bank DB JLMB Joint Lead Managers-Books 0 1 2021-11-2"/>
        <s v="Bookrunner Allied Irish Banks AIB JLMB Joint Lead Managers-Books 0 1 2021-11-24 Bookrunner Bank of Ireland BKIREL JLMB Joint Lead Managers-Books 0 1 2021-11-24 Bookrunner Barclays BARCS JLMB Joint Lead Managers-Books 0 1 2021-11-24 Bookrunner BNP Paribas/"/>
        <s v="Bookrunner DNB Markets DNB JLMB Joint Lead Managers-Books 483333.33 1 2021-11-23 Bookrunner Nordea Bank Abp NDASS JLMB Joint Lead Managers-Books 483333.33 1 2021-11-23 Bookrunner Pareto Securities PARETO JLMB Joint Lead Managers-Books 483333.33 1 2021-11-"/>
        <s v="Bookrunner Banca di Intermediazione Mobil INTMOB JLMB Joint Lead Managers-Books 0 1 2021-11-30 Bookrunner Barclays BARCS JLMB Joint Lead Managers-Books 0 1 2021-11-30 Bookrunner BNP Paribas BNPP JLMB Joint Lead Managers-Books 0 1 2021-11-30 Bookrunner Cre"/>
        <s v="Bookrunner Barclays BARCS JLMB Joint Lead Managers-Books 0 1 2021-11-30 Bookrunner BNP Paribas BNPP JLMB Joint Lead Managers-Books 0 1 2021-11-30 Bookrunner Credit Suisse CS JLMB Joint Lead Managers-Books 0 1 2021-11-30 Bookrunner Intesa Sanpaolo INTES JL"/>
        <s v="Bookrunner Danske Bank DANBNK JLMB Joint Lead Managers-Books 575000 1 2021-12-02 Bookrunner Skandinaviska Enskilda Banken SEB JLMB Joint Lead Managers-Books 575000 1 2021-12-02"/>
        <s v="Bookrunner Danske Bank DANSKE JLMB Joint Lead Managers-Books 0 1 2021-12-02 Bookrunner SEB SEB JLMB Joint Lead Managers-Books 0 1 2021-12-02"/>
        <s v="Bookrunner Alpha Bank AE ALPHA JLMB Joint Lead Managers-Books 0 1 2021-12-07 Bookrunner Eurobank SA EUROB JLMB Joint Lead Managers-Books 0 1 2021-12-07 Bookrunner Euroxx Securities SA EUROXX JLMB Joint Lead Managers-Books 0 1 2021-12-07 Bookrunner Nationa"/>
        <s v="Bookrunner Carnegie CARNEG SOLE Sole Manager 0 1 2021-12-09 Trustee Nordic Trustee AB NRDTRS AGNT Agent(s) 0 7 2021-12-09 Trustee Carnegie Investment Bank AB CARNGI ISAG Issuing Agent(s) 0 7 2021-12-09"/>
        <s v="Bookrunner Commerzbank COBA JLMB Joint Lead Managers-Books 0 1 2021-12-21 Bookrunner DZ Bank DZBK JLMB Joint Lead Managers-Books 0 1 2021-12-21 Bookrunner Landesbank Baden-Wuerttemberg LBBW JLMB Joint Lead Managers-Books 0 1 2021-12-21 Trustee Landesbank "/>
        <s v="Bookrunner BNP Paribas BNPP JLMB Joint Lead Managers-Books 0 1 2022-01-06 Bookrunner BofA Securities BofA JLMB Joint Lead Managers-Books 0 1 2022-01-06 Bookrunner Credit Suisse CS JLMB Joint Lead Managers-Books 0 1 2022-01-06 Bookrunner Deutsche Bank DB J"/>
        <s v="Bookrunner Bank of China International (U BCHINA JLMB Joint Lead Managers-Books 0 1 2022-01-10 Bookrunner Barclays BARCS JLMB Joint Lead Managers-Books 0 1 2022-01-10 Bookrunner Goldman Sachs International GSI JLMB Joint Lead Managers-Books 0 1 2022-01-10"/>
        <s v="Bookrunner Banca Akros SpA AKROS JLMB Joint Lead Managers-Books 0 1 2022-01-10 Bookrunner Banco Bilbao Vizcaya Argentari BBVA JLMB Joint Lead Managers-Books 0 1 2022-01-10 Bookrunner Banco Santander SANT JLMB Joint Lead Managers-Books 0 1 2022-01-10 Bookr"/>
        <s v="Bookrunner Banca Akros SpA AKROS JLMB Joint Lead Managers-Books 50000 1 2022-01-10 Bookrunner Banco Bilbao Vizcaya Argentari BBVA JLMB Joint Lead Managers-Books 50000 1 2022-01-10 Bookrunner Banco Santander SANT JLMB Joint Lead Managers-Books 50000 1 2022"/>
        <s v="Bookrunner Barclays BARCS JLMB Joint Lead Managers-Books 0 1 2022-01-12 Bookrunner BNP Paribas BNPP JLMB Joint Lead Managers-Books 0 1 2022-01-12 Bookrunner Goldman Sachs International GSI JLMB Joint Lead Managers-Books 0 1 2022-01-12 Bookrunner IMI - Int"/>
        <s v="Bookrunner Barclays Bank Ireland PLC BARCBK JLMB Joint Lead Managers-Books 0 1 2022-01-12 Bookrunner BNP Paribas BNPP JLMB Joint Lead Managers-Books 0 1 2022-01-12 Bookrunner BofA Securities Europe SA BOFAS JLMB Joint Lead Managers-Books 0 1 2022-01-12 Bo"/>
        <s v="Bookrunner BayernLB BAYLB JLMB Joint Lead Managers-Books 0 1 2022-02-24 Bookrunner UniCredit Bank AG UNICRD JLMB Joint Lead Managers-Books 0 1 2022-02-24"/>
        <s v="Bookrunner BofA Securities BofA JLMB Joint Lead Managers-Books 0 1 2022-01-19 Bookrunner Goldman Sachs International GSI JLMB Joint Lead Managers-Books 0 1 2022-01-19 Bookrunner IMI - Intesa Sanpaolo IMI JLMB Joint Lead Managers-Books 0 1 2022-01-19 Bookr"/>
        <s v="Bookrunner Banca Akros SpA AKROS JLMB Joint Lead Managers-Books 0 1 2022-02-03 Bookrunner BNP Paribas BNPP JLMB Joint Lead Managers-Books 0 1 2022-02-03 Bookrunner Credit Suisse CS JLMB Joint Lead Managers-Books 0 1 2022-02-03 Bookrunner IMI - Intesa Sanp"/>
        <s v="Bookrunner Handelsbanken Capital Markets HCM SOLE Sole Manager 1000000 1 2022-02-15 Trustee Handelsbanken Capital Markets HCM PAAG Paying Agent(s) 0 7 2022-02-15"/>
        <s v="Bookrunner Citi CITI JLMB Joint Lead Managers-Books 100000 1 2022-03-08 Bookrunner DNB Markets DNB JLMB Joint Lead Managers-Books 100000 1 2022-03-08 Bookrunner SEB SEB JLMB Joint Lead Managers-Books 100000 1 2022-03-08 Bookrunner Societe Generale SG JLMB"/>
        <s v="Bookrunner BayernLB BAYLB JLMB Joint Lead Managers-Books 0 1 2022-03-30 Bookrunner HSBC HSBC JLMB Joint Lead Managers-Books 0 1 2022-03-30 Bookrunner UniCredit UNICRD JLMB Joint Lead Managers-Books 0 1 2022-03-30"/>
        <s v="Bookrunner Banco Bilbao Vizcaya Argentari BBVA JLMB Joint Lead Managers-Books 0 1 2022-03-09 Bookrunner Banco Santander SA/London SANTAN JLMB Joint Lead Managers-Books 0 1 2022-03-09 Bookrunner BNP Paribas BNPP JLMB Joint Lead Managers-Books 0 1 2022-03-0"/>
        <s v="Bookrunner Bank of America Securities Ltd BASL JLMB Joint Lead Managers-Books 0 1 2022-03-14 Bookrunner Barclays BARCS JLMB Joint Lead Managers-Books 0 1 2022-03-14 Bookrunner Commerzbank COBA JLMB Joint Lead Managers-Books 0 1 2022-03-14 Bookrunner JP Mo"/>
        <s v="Bookrunner Banco Santander SANTAN JLMB Joint Lead Managers-Books 0 1 2022-03-22 Bookrunner BNP Paribas BNPP JLMB Joint Lead Managers-Books 0 1 2022-03-22 Bookrunner BofA Securities Europe SA BOFAS JLMB Joint Lead Managers-Books 0 1 2022-03-22 Bookrunner C"/>
        <s v="Bookrunner Commerzbank COBA JLMB Joint Lead Managers-Books 0 1 2022-02-25 Bookrunner Landesbank Hessen-Thuringen Gi HELABA JLMB Joint Lead Managers-Books 0 1 2022-02-25"/>
        <s v="Bookrunner Banco Bilbao Vizcaya Argentari BBVA JLMB Joint Lead Managers-Books 0 1 2022-03-23 Bookrunner BNP Paribas BNPP JLMB Joint Lead Managers-Books 0 1 2022-03-23 Bookrunner BofA Securities Europe SA BOFAS JLMB Joint Lead Managers-Books 0 1 2022-03-23"/>
        <s v="Bookrunner Pareto Securities PARETO SOLE Sole Manager 1650000 1 2022-03-24 Trustee Pareto Securities AB PARETO ISAG Issuing Agent(s) 0 7 2022-03-24"/>
        <s v="Bookrunner BNP Paribas BNPP JLMB Joint Lead Managers-Books 0 1 2022-03-30 Bookrunner Goldman Sachs Bank Europe SE GS JLMB Joint Lead Managers-Books 0 1 2022-03-30 Bookrunner JP Morgan SE JPM JLMB Joint Lead Managers-Books 0 1 2022-03-30 Bookrunner Morgan "/>
        <s v="Bookrunner Barclays Bank Ireland PLC BARCBK JLMB Joint Lead Managers-Books 0 1 2022-03-30 Bookrunner Citigroup Global Markets Ltd CITI JLMB Joint Lead Managers-Books 0 1 2022-03-30 Bookrunner Deutsche Bank DB JLMB Joint Lead Managers-Books 0 1 2022-03-30 "/>
        <s v="Bookrunner Barclays BARCS JLMB Joint Lead Managers-Books 0 1 2022-03-30 Bookrunner Morgan Stanley MS JLMB Joint Lead Managers-Books 0 1 2022-03-30 Bookrunner MUFG Securities EMEA PLC MUFG JLMB Joint Lead Managers-Books 0 1 2022-03-30 Bookrunner Natixis NA"/>
        <s v="Bookrunner Barclays BARCS JLMB Joint Lead Managers-Books 0 1 2022-03-31 Bookrunner BNP Paribas BNPP JLMB Joint Lead Managers-Books 0 1 2022-03-31 Bookrunner Deutsche Bank DB JLMB Joint Lead Managers-Books 0 1 2022-03-31 Bookrunner HSBC HSBC JLMB Joint Lea"/>
        <s v="Bookrunner NatWest Markets NWM SOLE Sole Manager 150000 1 2022-03-23 Trustee Citibank NA/London CITI PAAG Paying Agent(s) 0 7 2022-03-23 Trustee Citibank NA/London CITI FISC Fiscal Agent(s) 0 7 2022-03-23 Trustee Citibank NA/London CITI TRNS Transfer Agen"/>
        <s v="Bookrunner Banco Santander SANT JLMB Joint Lead Managers-Books 0 1 2022-04-04 Bookrunner BNP Paribas BNPP JLMB Joint Lead Managers-Books 0 1 2022-04-04 Bookrunner Credit Agricole CIB CACIB JLMB Joint Lead Managers-Books 0 1 2022-04-04 Bookrunner Goldman S"/>
        <s v="Bookrunner OP Corporate Bank PLC OPBANK SOLE Sole Manager 0 1 2022-04-06 Trustee OP Corporate Bank PLC OPBANK PAAG Paying Agent(s) 0 7 2022-04-06 ESG Assurance Provider ISS-oekom ISSOEK SNPC 2nd Party Consultant 0 30 2022-04-06"/>
        <s v="Bookrunner Banco Santander (US) SANTAN JLMB Joint Lead Managers-Books 0 1 2022-04-05 Bookrunner BMO Capital Markets Corp BMO JLMB Joint Lead Managers-Books 0 1 2022-04-05 Bookrunner BNP Paribas/New York BNPPAR JLMB Joint Lead Managers-Books 0 1 2022-04-05"/>
        <s v="Bookrunner Banco Itau SA ITAU JLMB Joint Lead Managers-Books 0 1 2022-04-21 Bookrunner Banco Santander SANT JLMB Joint Lead Managers-Books 0 1 2022-04-21 Bookrunner Citi CITI JLMB Joint Lead Managers-Books 0 1 2022-04-21 Bookrunner JP Morgan JPM JLMB Join"/>
        <s v="Bookrunner Banco BTG Pactual BTG JLMB Joint Lead Managers-Books 0 1 2022-04-27 Bookrunner Banco Itau BBA ITABBA JLMB Joint Lead Managers-Books 0 1 2022-04-27 Bookrunner Bradesco BBI SA BRADSC JLMB Joint Lead Managers-Books 0 1 2022-04-27 Bookrunner JP Mor"/>
        <s v="Bookrunner Banco BTG Pactual BTG JLMB Joint Lead Managers-Books 0 1 2022-04-27 Bookrunner Banco Itau BBA ITABBA JLMB Joint Lead Managers-Books 0 1 2022-04-27 Bookrunner JP Morgan JPM JLMB Joint Lead Managers-Books 0 1 2022-04-27 Bookrunner Morgan Stanley "/>
        <s v="Bookrunner BayernLB BAYLB JLMB Joint Lead Managers-Books 0 1 2020-10-14 Bookrunner HSBC Trinkaus &amp; Burkhardt AG H-TRNK JLMB Joint Lead Managers-Books 0 1 2020-10-14 Bookrunner ING Bank NV Niederlassung ING JLMB Joint Lead Managers-Books 0 1 2020-10-14 Tru"/>
        <s v="Bookrunner Landesbank Baden-Wuerttemberg LBBW JLMB Joint Lead Managers-Books 0 1 2020-11-30 Bookrunner UniCredit Bank AG UNICRD JLMB Joint Lead Managers-Books 0 1 2020-11-30"/>
        <s v="Bookrunner Banco Bradesco BBI SA BBBBI JLMB Joint Lead Managers-Books 9615 4 2020-11-16 Bookrunner Banco Safra SA SAFRA JLMB Joint Lead Managers-Books 9615 4 2020-11-16 Bookrunner BNP Paribas Securities Corp BNPPAR JLMB Joint Lead Managers-Books 38461 4 2"/>
        <s v="Bookrunner Landesbank Hessen-Thuringen Gi HELABA LMGR Lead Manager(s) 0 1 2020-09-15"/>
        <s v="Bookrunner Barclays BARCS JLMB Joint Lead Managers-Books 0 1 2020-09-16 Bookrunner HSBC HSBC JLMB Joint Lead Managers-Books 0 1 2020-09-16 Bookrunner JP Morgan Securities PLC JPM JLMB Joint Lead Managers-Books 0 1 2020-09-16 Bookrunner Societe Generale SG"/>
        <s v="Bookrunner Bank of America BA JLMB Joint Lead Managers-Books 0 1 2020-10-13 Bookrunner Barclays BARCS JLMB Joint Lead Managers-Books 0 1 2020-10-13 Bookrunner BNP Paribas BNPP JLMB Joint Lead Managers-Books 0 1 2020-10-13 Bookrunner Citi CITI JLMB Joint L"/>
        <s v="Bookrunner Landesbank Hessen-Thuringen Gi HELABA LMGR Lead Manager(s) 0 4 2021-03-10 Bookrunner Landesbank Hessen-Thuringen Gi HELABA LMGR Lead Manager(s) 0 1 2021-01-04"/>
        <s v="Bookrunner DZ Bank DZBK JLMB Joint Lead Managers-Books 0 1 2020-02-19 Bookrunner UniCredit Bank AG UNICRD JLMB Joint Lead Managers-Books 0 1 2020-02-19"/>
        <s v="Bookrunner Landesbank Baden-Wuerttemberg LBBW JLMB Joint Lead Managers-Books 0 1 2020-02-26 Bookrunner UniCredit Bank AG UNICRD JLMB Joint Lead Managers-Books 0 1 2020-02-26"/>
        <s v="Bookrunner Bank of America Merrill Lynch BofAML JLMB Joint Lead Managers-Books 0 1 2019-10-10 Bookrunner BNP Paribas BNPP JLMB Joint Lead Managers-Books 0 1 2019-10-10 Bookrunner Credit Agricole CIB CACIB JLMB Joint Lead Managers-Books 0 1 2019-10-10 Book"/>
        <s v="Bookrunner Banco Bilbao Vizcaya Argentari BBVA JLMB Joint Lead Managers-Books 0 1 2019-10-10 Bookrunner Banco Santander SANT JLMB Joint Lead Managers-Books 0 1 2019-10-10 Bookrunner Bank of America Merrill Lynch BofAML JLMB Joint Lead Managers-Books 0 1 2"/>
        <s v="Bookrunner Banca IMI B.IMI JLMB Joint Lead Managers-Books 0 1 2019-10-10 Bookrunner Bank of America Merrill Lynch BofAML JLMB Joint Lead Managers-Books 0 1 2019-10-10 Bookrunner Barclays BARCS JLMB Joint Lead Managers-Books 0 1 2019-10-10 Bookrunner BNP P"/>
        <s v="Bookrunner BNP Paribas/Frankfurt BNP JLMB Joint Lead Managers-Books 0 4 2020-01-10 Bookrunner Landesbank Baden-Wuerttemberg LBBW JLMB Joint Lead Managers-Books 0 4 2020-01-10 Bookrunner UniCredit Bank AG UNICRD JLMB Joint Lead Managers-Books 0 4 2020-01-1"/>
        <s v="Bookrunner Banca IMI B.IMI JLMB Joint Lead Managers-Books 0 1 2019-12-11 Bookrunner UniCredit Group UNICGP JLMB Joint Lead Managers-Books 0 1 2019-12-11 NonBookrunner Societe Generale SG CLM Co-Lead Manager(s) 0 1 2019-12-11"/>
        <s v="Bookrunner Bank of America Merrill Lynch BofAML JLMB Joint Lead Managers-Books 0 1 2019-09-05 Bookrunner BNP Paribas/New York BNPPAR JLMB Joint Lead Managers-Books 0 1 2019-09-05 Bookrunner Citigroup Global Markets Inc CITI JLMB Joint Lead Managers-Books "/>
        <s v="Bookrunner ING Bank NV Niederlassung ING JLMB Joint Lead Managers-Books 0 1 2019-07-04 Bookrunner Landesbank Baden-Wuerttemberg LBBW JLMB Joint Lead Managers-Books 0 1 2019-07-04"/>
      </sharedItems>
    </cacheField>
    <cacheField name="Yield at issue">
      <sharedItems containsMixedTypes="1" containsNumber="1">
        <s v="#N/A N/A"/>
        <n v="3.1999999999999997"/>
        <n v="5.2"/>
        <n v="5.25"/>
        <n v="4.0"/>
        <n v="3.75"/>
        <n v="3.875"/>
        <n v="2.5"/>
        <n v="1.224"/>
        <n v="4.75"/>
        <n v="3.125"/>
        <n v="-0.12"/>
        <n v="3.625"/>
        <n v="3.28"/>
        <n v="1.4769999999999999"/>
        <n v="1.937"/>
        <n v="2.32"/>
        <n v="2.957"/>
        <n v="3.375"/>
        <n v="1.0090000000000001"/>
        <n v="0.659"/>
        <n v="2.6999999999999997"/>
        <n v="4.625"/>
        <n v="2.0909999999999997"/>
        <n v="4.25"/>
        <n v="0.06400000000000002"/>
        <n v="0.388"/>
        <n v="0.395"/>
        <n v="0.763"/>
        <n v="1.077"/>
        <n v="4.375"/>
        <n v="5.125"/>
        <n v="1.109"/>
        <n v="5.625"/>
        <n v="2.125"/>
        <n v="2.75"/>
        <n v="2.0"/>
        <n v="0.984"/>
        <n v="1.815"/>
        <n v="1.054"/>
        <n v="1.675"/>
        <n v="0.738"/>
        <n v="0.931"/>
        <n v="3.5"/>
        <n v="2.017"/>
        <n v="1.027"/>
        <n v="1.306"/>
        <n v="1.2710000000000001"/>
        <n v="3.879"/>
        <n v="1.524"/>
        <n v="2.119"/>
        <n v="1.622"/>
        <n v="1.813"/>
        <n v="0.901"/>
        <n v="2.471"/>
        <n v="2.46"/>
        <n v="2.462"/>
        <n v="1.302"/>
        <n v="1.563"/>
        <n v="2.944"/>
        <n v="4.5"/>
        <n v="4.6080000000000005"/>
        <n v="6.125"/>
        <n v="7.0"/>
        <n v="3.9499999999999997"/>
        <n v="2.676"/>
      </sharedItems>
    </cacheField>
    <cacheField name="Yield ask">
      <sharedItems containsMixedTypes="1" containsNumber="1">
        <s v="#N/A N/A"/>
        <n v="0.477"/>
        <n v="-1.472"/>
        <n v="1.149"/>
        <n v="3.151"/>
        <n v="3.155"/>
        <n v="5.064"/>
        <n v="5.034"/>
        <n v="5.212"/>
        <n v="5.187"/>
        <n v="8.437"/>
        <n v="3.686"/>
        <n v="3.716"/>
        <n v="0.469"/>
        <n v="3.449"/>
        <n v="0.467"/>
        <n v="2.875"/>
        <n v="2.449"/>
        <n v="0.883"/>
        <n v="2.431"/>
        <n v="4.595"/>
        <n v="4.57"/>
        <n v="4.629"/>
        <n v="4.614"/>
        <n v="1.296"/>
        <n v="0.392"/>
        <n v="1.763"/>
        <n v="1.859"/>
        <n v="4.624"/>
        <n v="5.421"/>
        <n v="4.641"/>
        <n v="5.44"/>
        <n v="2.666"/>
        <n v="5.434"/>
        <n v="5.392"/>
        <n v="9.726"/>
        <n v="1.016"/>
        <n v="1.533"/>
        <n v="3.064"/>
        <n v="1.85"/>
        <n v="0.294"/>
        <n v="0.166"/>
        <n v="0.494"/>
        <n v="0.921"/>
        <n v="3.689"/>
        <n v="3.711"/>
        <n v="-0.318"/>
        <n v="1.66"/>
        <n v="3.601"/>
        <n v="3.596"/>
        <n v="3.706"/>
        <n v="3.756"/>
        <n v="5.31"/>
        <n v="3.7"/>
        <n v="3.745"/>
        <n v="5.329"/>
        <n v="3.233"/>
        <n v="0.353"/>
        <n v="0.787"/>
        <n v="0.553"/>
        <n v="1.406"/>
        <n v="1.892"/>
        <n v="2.295"/>
        <n v="3.003"/>
        <n v="1.387"/>
        <n v="1.889"/>
        <n v="2.299"/>
        <n v="2.988"/>
        <n v="3.156"/>
        <n v="2.425"/>
        <n v="0.075"/>
        <n v="0.546"/>
        <n v="2.553"/>
        <n v="4.139"/>
        <n v="4.141"/>
        <n v="4.306"/>
        <n v="4.284"/>
        <n v="0.987"/>
        <n v="0.087"/>
        <n v="0.46"/>
        <n v="0.955"/>
        <n v="0.418"/>
        <n v="0.78"/>
        <n v="4.644"/>
        <n v="4.602"/>
        <n v="4.764"/>
        <n v="0.861"/>
        <n v="0.998"/>
        <n v="2.272"/>
        <n v="2.114"/>
        <n v="6.711"/>
        <n v="3.691"/>
        <n v="4.375"/>
        <n v="5.068"/>
        <n v="1.01"/>
        <n v="5.561"/>
        <n v="5.569"/>
        <n v="2.105"/>
        <n v="2.398"/>
        <n v="1.8"/>
        <n v="1.021"/>
        <n v="0.55"/>
        <n v="0.536"/>
        <n v="0.728"/>
        <n v="2.408"/>
        <n v="0.927"/>
        <n v="1.65"/>
        <n v="2.376"/>
        <n v="0.581"/>
        <n v="0.818"/>
        <n v="5.721"/>
        <n v="5.511"/>
        <n v="5.5"/>
        <n v="0.694"/>
        <n v="1.843"/>
        <n v="2.3"/>
        <n v="0.157"/>
        <n v="3.684"/>
        <n v="3.678"/>
        <n v="5.107"/>
        <n v="5.138"/>
        <n v="2.021"/>
        <n v="0.302"/>
        <n v="1.032"/>
        <n v="1.346"/>
        <n v="0.845"/>
        <n v="1.277"/>
        <n v="4.006"/>
        <n v="5.737"/>
        <n v="5.79"/>
        <n v="1.417"/>
        <n v="1.516"/>
        <n v="2.126"/>
        <n v="1.707"/>
        <n v="1.852"/>
        <n v="0.857"/>
        <n v="1.844"/>
        <n v="2.227"/>
        <n v="9.001"/>
        <n v="2.393"/>
        <n v="2.285"/>
        <n v="1.328"/>
        <n v="1.612"/>
        <n v="2.994"/>
        <n v="3.166"/>
        <n v="4.5"/>
        <n v="4.919"/>
        <n v="6.271"/>
        <n v="6.268"/>
        <n v="3.637"/>
        <n v="0.039"/>
        <n v="0.928"/>
        <n v="0.172"/>
        <n v="0.429"/>
        <n v="1.059"/>
        <n v="2.677"/>
      </sharedItems>
    </cacheField>
    <cacheField name="Refinitiv">
      <sharedItems containsMixedTypes="1" containsNumber="1">
        <e v="#N/A"/>
        <n v="1.124"/>
        <n v="6.3234"/>
        <n v="1.008"/>
        <s v=""/>
        <n v="1.027"/>
        <n v="1.762"/>
        <n v="1.624"/>
        <n v="1.328"/>
        <n v="2.5252"/>
        <n v="4.231"/>
        <n v="0.035"/>
        <n v="0.412"/>
        <n v="1.836"/>
        <n v="5.0011"/>
        <n v="5.129"/>
        <n v="1.63"/>
        <n v="0.917"/>
        <n v="4.871"/>
        <n v="5.1293"/>
        <n v="0.761"/>
        <n v="4.7465"/>
        <n v="2.3144"/>
        <n v="0.394"/>
        <n v="0.97"/>
        <n v="4.873"/>
      </sharedItems>
    </cacheField>
    <cacheField name="Yield ask, at issue">
      <sharedItems containsMixedTypes="1" containsNumber="1">
        <s v="#N/A N/A"/>
        <n v="0.477"/>
        <n v="-1.472"/>
        <n v="1.149"/>
        <n v="3.151"/>
        <n v="3.155"/>
        <n v="5.064"/>
        <n v="5.034"/>
        <n v="5.212"/>
        <n v="5.187"/>
        <n v="8.437"/>
        <n v="3.686"/>
        <n v="3.716"/>
        <n v="0.469"/>
        <n v="3.449"/>
        <n v="0.467"/>
        <n v="2.875"/>
        <n v="2.449"/>
        <n v="0.883"/>
        <n v="2.431"/>
        <n v="4.595"/>
        <n v="4.57"/>
        <n v="4.629"/>
        <n v="4.614"/>
        <n v="1.296"/>
        <n v="0.392"/>
        <n v="1.763"/>
        <n v="1.859"/>
        <n v="4.624"/>
        <n v="5.421"/>
        <n v="4.641"/>
        <n v="5.44"/>
        <n v="2.666"/>
        <n v="5.434"/>
        <n v="5.392"/>
        <n v="9.726"/>
        <n v="1.016"/>
        <n v="1.533"/>
        <n v="3.064"/>
        <n v="1.85"/>
        <n v="0.294"/>
        <n v="0.166"/>
        <n v="0.494"/>
        <n v="0.921"/>
        <n v="3.689"/>
        <n v="3.711"/>
        <n v="-0.318"/>
        <n v="1.66"/>
        <n v="3.601"/>
        <n v="3.596"/>
        <n v="3.706"/>
        <n v="3.756"/>
        <n v="5.31"/>
        <n v="3.7"/>
        <n v="3.745"/>
        <n v="5.329"/>
        <n v="3.233"/>
        <n v="0.353"/>
        <n v="0.787"/>
        <n v="0.553"/>
        <n v="1.406"/>
        <n v="1.892"/>
        <n v="2.295"/>
        <n v="3.003"/>
        <n v="1.387"/>
        <n v="1.889"/>
        <n v="2.299"/>
        <n v="2.988"/>
        <n v="3.156"/>
        <n v="2.425"/>
        <n v="0.075"/>
        <n v="0.546"/>
        <n v="2.553"/>
        <n v="4.139"/>
        <n v="4.141"/>
        <n v="2.0909999999999997"/>
        <n v="4.306"/>
        <n v="4.284"/>
        <n v="0.987"/>
        <n v="0.087"/>
        <n v="0.46"/>
        <n v="0.955"/>
        <n v="0.418"/>
        <n v="0.78"/>
        <n v="4.644"/>
        <n v="4.602"/>
        <n v="4.764"/>
        <n v="0.861"/>
        <n v="0.998"/>
        <n v="2.272"/>
        <n v="2.114"/>
        <n v="6.711"/>
        <n v="3.691"/>
        <n v="4.375"/>
        <n v="5.068"/>
        <n v="4.75"/>
        <n v="1.01"/>
        <n v="5.561"/>
        <n v="5.569"/>
        <n v="2.105"/>
        <n v="2.398"/>
        <n v="1.8"/>
        <n v="1.021"/>
        <n v="0.55"/>
        <n v="1.815"/>
        <n v="0.536"/>
        <n v="0.728"/>
        <n v="2.408"/>
        <n v="0.927"/>
        <n v="1.65"/>
        <n v="2.376"/>
        <n v="0.581"/>
        <n v="0.818"/>
        <n v="5.721"/>
        <n v="5.511"/>
        <n v="5.5"/>
        <n v="0.694"/>
        <n v="1.843"/>
        <n v="2.3"/>
        <n v="0.157"/>
        <n v="3.684"/>
        <n v="3.678"/>
        <n v="5.107"/>
        <n v="5.138"/>
        <n v="2.021"/>
        <n v="0.302"/>
        <n v="1.032"/>
        <n v="1.346"/>
        <n v="0.845"/>
        <n v="1.277"/>
        <n v="4.006"/>
        <n v="5.737"/>
        <n v="5.79"/>
        <n v="1.417"/>
        <n v="1.516"/>
        <n v="2.126"/>
        <n v="1.707"/>
        <n v="1.852"/>
        <n v="0.857"/>
        <n v="1.844"/>
        <n v="2.227"/>
        <n v="9.001"/>
        <n v="2.393"/>
        <n v="2.285"/>
        <n v="1.328"/>
        <n v="1.612"/>
        <n v="2.994"/>
        <n v="3.166"/>
        <n v="4.5"/>
        <n v="4.6080000000000005"/>
        <n v="4.919"/>
        <n v="6.271"/>
        <n v="6.268"/>
        <n v="7.0"/>
        <n v="3.637"/>
        <n v="0.039"/>
        <n v="0.928"/>
        <n v="0.172"/>
        <n v="0.429"/>
        <n v="1.059"/>
        <n v="2.677"/>
      </sharedItems>
    </cacheField>
    <cacheField name="Issuer&amp;MTY&amp;CPN&amp;CURR&amp;Seniority" numFmtId="0">
      <sharedItems>
        <s v="Duerr AGAT MATURITYFIXEDEURSr Unsecured"/>
        <s v="Duerr AGAT MATURITYFLOATINGEURSr Unsecured"/>
        <s v="Aurubis AGAT MATURITYFLOATINGEURSr Unsecured"/>
        <s v="Aurubis AGAT MATURITYFIXEDEURSr Unsecured"/>
        <s v="Tauron Polska Energia SACALLABLEFLOATINGPLNUnsecured"/>
        <s v="Puma SEAT MATURITYFLOATINGEURSr Unsecured"/>
        <s v="Holcim Finance Luxembourg SACALLABLEFIXEDEURSr Unsecured"/>
        <s v="Schneider Electric SECONVERTIBLEFIXEDEURSr Unsecured"/>
        <s v="Veneziana Energia Risorse Idriche Territorio Ambiente Servizi SpAAT MATURITYFIXEDEURSr Unsecured"/>
        <s v="Polski Koncern Naftowy ORLEN SAAT MATURITYFLOATINGPLNSr Unsecured"/>
        <s v="Pikolin SLAT MATURITYFIXEDEURSr Unsecured"/>
        <s v="Albioma SAAT MATURITYFIXEDEURSr Unsecured"/>
        <s v="Chargeurs SAAT MATURITYFIXEDEURSr Unsecured"/>
        <s v="Klabin Austria GmbHCALLABLEFIXEDUSDSr Unsecured"/>
        <s v="Traton SEAT MATURITYFLOATINGEURSr Unsecured"/>
        <s v="Simpar Europe SACALLABLEFIXEDUSDSr Unsecured"/>
        <s v="Regit Eins GmbHAT MATURITYFIXEDEURSr Unsecured"/>
        <s v="Regit Eins GmbHAT MATURITYFLOATINGEURSr Unsecured"/>
        <s v="Movida Europe SACALLABLEFIXEDUSDSr Unsecured"/>
        <s v="Vossloh AGPERP/CALLVARIABLEEURSubordinated"/>
        <s v="Constellium SECALLABLEFIXEDUSDSr Unsecured"/>
        <s v="Grupo Pikolin SLAT MATURITYFIXEDEURSr Unsecured"/>
        <s v="H&amp;M Finance BVCALLABLEFIXEDEURSr Unsecured"/>
        <s v="Jenoptik AGAT MATURITYFLOATINGEURSr Unsecured"/>
        <s v="Jenoptik AGAT MATURITYFLOATINGUSDSr Unsecured"/>
        <s v="Traton SEAT MATURITYFIXEDEURSr Unsecured"/>
        <s v="Public Power Corp SACALLABLEFIXEDEURSr Unsecured"/>
        <s v="Koninklijke Ahold Delhaize NVCALLABLEFIXEDEURSr Unsecured"/>
        <s v="Polski Koncern Naftowy ORLEN SAAT MATURITYFIXEDPLNSr Unsecured"/>
        <s v="Hapag-Lloyd AGCALLABLEFIXEDEURSr Unsecured"/>
        <s v="Verbund AGCALLABLEFIXEDEURSr Unsecured"/>
        <s v="PCF GmbHCALLABLEFIXEDEURSecured"/>
        <s v="PCF GmbHCALLABLEFLOATINGEURSecured"/>
        <s v="Kelag-Kaerntner Elektrizitaets AGAT MATURITYFIXEDEURSr Unsecured"/>
        <s v="Berlin Hyp AGAT MATURITYFIXEDEURSr Preferred"/>
        <s v="Aeroporti di Roma SpACALLABLEFIXEDEURSr Unsecured"/>
        <s v="Rexel SACALLABLEFIXEDEURSr Unsecured"/>
        <s v="Herens Holdco SarlCALLABLEFIXEDUSDSecured"/>
        <s v="Herens Midco SarlCALLABLEFIXEDEURSr Unsecured"/>
        <s v="UBM Development AGAT MATURITYFIXEDEURSr Unsecured"/>
        <s v="Iochpe-Maxion Austria GmbH / Maxion Wheels de Mexico S de RL de CVCALLABLEFIXEDUSDSr Unsecured"/>
        <s v="UBM Development AGPERP/CALLVARIABLEEURJr Subordinated"/>
        <s v="EQT ABCALLABLEFIXEDEURSr Unsecured"/>
        <s v="Imerys SACALLABLEFIXEDEURSr Unsecured"/>
        <s v="Verallia SACALLABLEFIXEDEURSr Unsecured"/>
        <s v="Constellium SECALLABLEFIXEDEURSr Unsecured"/>
        <s v="Hammerson Ireland Finance DACCALLABLEFIXEDEURSr Unsecured"/>
        <s v="Lakers Group ABCALLABLEFLOATINGNOKSecured"/>
        <s v="Eni SpAAT MATURITYFIXEDEURSr Unsecured"/>
        <s v="Fritz Draexlmaier GmbH &amp; Co KGAT MATURITYFLOATINGEURSr Unsecured"/>
        <s v="Fritz Draexlmaier GmbH &amp; Co KGAT MATURITYFIXEDEURSr Unsecured"/>
        <s v="Enel Finance International NVCALLABLEFIXEDEURSr Unsecured"/>
        <s v="JBS Finance Luxembourg SarlCALLABLEFIXEDUSDSr Unsecured"/>
        <s v="EdenredCONVERTIBLEZERO COUPONEURSr Unsecured"/>
        <s v="SSAB ABAT MATURITYFLOATINGSEKSr Unsecured"/>
        <s v="Constantia Flexibles GmbHAT MATURITYFLOATINGEURSr Unsecured"/>
        <s v="Nobian Finance BVCALLABLEFIXEDEURSecured"/>
        <s v="Zeppelin GmbHAT MATURITYFIXEDEURSr Unsecured"/>
        <s v="Picard Groupe SASCALLABLEFIXEDEURSecured"/>
        <s v="Lion/Polaris Lux 4 SACALLABLEFLOATINGEURSecured"/>
        <s v="Picard Bondco SACALLABLEFIXEDEURSr Unsecured"/>
        <s v="Suzano Austria GmbHCALLABLEFIXEDUSDSr Unsecured"/>
        <s v="Repsol Europe Finance SarlCALLABLEFIXEDEURSr Unsecured"/>
        <s v="A2A SpACALLABLEFIXEDEURSr Unsecured"/>
        <s v="Enel Finance International NVCALLABLEFIXEDUSDSr Unsecured"/>
        <s v="ValeoCALLABLEFIXEDEURSr Unsecured"/>
        <s v="ista International GmbHAT MATURITYFLOATINGEURSr Unsecured"/>
        <s v="Holcim US Finance Sarl &amp; Cie SCSAT MATURITYFIXEDUSDSr Unsecured"/>
        <s v="Holding d'Infrastructures des Metiers de l'EnvironnementCALLABLEFIXEDEURSr Unsecured"/>
        <s v="Verde Bidco SpACALLABLEFIXEDEURSecured"/>
        <s v="Johnson Controls International plc / Tyco Fire &amp; Security Finance SCACALLABLEFIXEDUSDSr Unsecured"/>
        <s v="Rumo Luxembourg SarlCALLABLEFIXEDUSDSr Unsecured"/>
        <s v="Granges ABAT MATURITYFLOATINGSEKSr Unsecured"/>
        <s v="Legrand SACALLABLEFIXEDEURSr Unsecured"/>
        <s v="Elecnor SAAT MATURITYFIXEDEURSr Unsecured"/>
        <s v="Biesterfeld AGAT MATURITYFIXEDEURSr Unsecured"/>
        <s v="Biesterfeld AGAT MATURITYFLOATINGEURSr Unsecured"/>
        <s v="Nederlandse Gasunie NVCALLABLEFIXEDEURSr Unsecured"/>
        <s v="Cullinan Holdco ScspCALLABLEFIXEDEURSecured"/>
        <s v="Cullinan Holdco ScspCALLABLEFLOATINGEURSecured"/>
        <s v="Louis Dreyfus Co BVAT MATURITYFIXEDJPYSr Unsecured"/>
        <s v="Hera SpACALLABLEFIXEDEURSr Unsecured"/>
        <s v="OVS SpACALLABLEFIXEDEURSr Unsecured"/>
        <s v="Renolit SEAT MATURITYFLOATINGEURSr Unsecured"/>
        <s v="Seche Environnement SACALLABLEFIXEDEURSr Unsecured"/>
        <s v="Greenfood ABCALLABLEFLOATINGSEKSecured"/>
        <s v="RHI Magnesita GmbHAT MATURITYFLOATINGEURSr Unsecured"/>
        <s v="RHI Magnesita GmbHAT MATURITYFIXEDEURSr Unsecured"/>
        <s v="Teva Pharmaceutical Finance Netherlands II BVCALLABLEFIXEDEURSr Unsecured"/>
        <s v="Teva Pharmaceutical Finance Netherlands III BVCALLABLEFIXEDUSDSr Unsecured"/>
        <s v="Atos SECALLABLEFIXEDEURSr Unsecured"/>
        <s v="Faurecia SEAT MATURITYFLOATINGEURSr Unsecured"/>
        <s v="Faurecia SEAT MATURITYFLOATINGUSDSr Unsecured"/>
        <s v="Lune Holdings SarlCALLABLEFIXEDEURSecured"/>
        <s v="Faurecia SECALLABLEFIXEDEURSr Unsecured"/>
        <s v="Koninklijke KPN NVCALLABLEFIXEDEURSr Unsecured"/>
        <s v="Henkel AG &amp; Co KGaACALLABLEFIXEDEURSr Unsecured"/>
        <s v="Henkel AG &amp; Co KGaACALLABLEFIXEDUSDSr Unsecured"/>
        <s v="Kinnevik ABAT MATURITYFLOATINGSEKSr Unsecured"/>
        <s v="Accor SACALLABLEFIXEDEURSr Unsecured"/>
        <s v="ASTM SpACALLABLEFIXEDEURSr Unsecured"/>
        <s v="M FINANCE SASUAT MATURITYFIXEDEURSr Unsecured"/>
        <s v="Mota-Engil SGPS SASINKABLEFIXEDEURSr Unsecured"/>
        <s v="Loomis ABAT MATURITYFLOATINGSEKSr Unsecured"/>
        <s v="LANXESS AGCALLABLEFIXEDEURSr Unsecured"/>
        <s v="Kerry Group Financial Services Unltd CoCALLABLEFIXEDEURSr Unsecured"/>
        <s v="Kahrs BondCo ABCALLABLEFLOATINGSEKSecured"/>
        <s v="Rimini Bidco SpACALLABLEFLOATINGEURSecured"/>
        <s v="Elekta ABAT MATURITYFLOATINGSEKSr Unsecured"/>
        <s v="Elekta ABAT MATURITYFIXEDSEKSr Unsecured"/>
        <s v="GEK Terna Holding Real Estate Construction SACALLABLEFIXEDEURUnsecured"/>
        <s v="YA Holding ABCALLABLEFLOATINGSEKSecured"/>
        <s v="BayWa AGAT MATURITYFIXEDEURSr Unsecured"/>
        <s v="BayWa AGAT MATURITYFLOATINGEURSr Unsecured"/>
        <s v="Faurecia SEAT MATURITYFIXEDEURSr Unsecured"/>
        <s v="VZ Secured Financing BVCALLABLEFIXEDEURSecured"/>
        <s v="VZ Secured Financing BVCALLABLEFIXEDUSDSecured"/>
        <s v="CPI Property Group SACALLABLEFIXEDEURSr Unsecured"/>
        <s v="Snam SpACALLABLEFIXEDEURSr Unsecured"/>
        <s v="degewo AGAT MATURITYFLOATINGEURSr Unsecured"/>
        <s v="Webuild SpACALLABLEFIXEDEURSr Unsecured"/>
        <s v="FIS Fabbrica Italiana Sintetici SpACALLABLEFIXEDEURSecured"/>
        <s v="Atrium Ljungberg ABAT MATURITYFLOATINGSEKSr Unsecured"/>
        <s v="Vestas Wind Systems Finance BVCALLABLEFIXEDEURSr Unsecured"/>
        <s v="Varta AGAT MATURITYFLOATINGEURSr Unsecured"/>
        <s v="L'Oreal SACALLABLEFIXEDEURSr Unsecured"/>
        <s v="Carrefour SACALLABLEFIXEDEURSr Unsecured"/>
        <s v="Cabonline Group Holding ABCALLABLEFLOATINGSEKSecured"/>
        <s v="CEZ ASCALLABLEFIXEDEURSr Unsecured"/>
        <s v="SanofiCALLABLEFIXEDEURSr Unsecured"/>
        <s v="Pernod Ricard SACALLABLEFIXEDEURSr Unsecured"/>
        <s v="Holcim Finance Luxembourg SAAT MATURITYFIXEDEURSr Unsecured"/>
        <s v="Enel Finance International NVCALLABLEFIXEDGBPSr Unsecured"/>
        <s v="CapMan OyjCALLABLEFIXEDEURSr Unsecured"/>
        <s v="JAB Holdings BVCALLABLEFIXEDUSDSr Unsecured"/>
        <s v="Arcos Dorados BVCALLABLEFIXEDUSDSr Unsecured"/>
        <s v="Aegea Finance SarlCALLABLEFIXEDUSDSr Unsecured"/>
        <s v="Arcadis NVAT MATURITYFLOATINGEURSr Unsecured"/>
        <s v="Saria SE &amp; Co KGAT MATURITYFLOATINGEURSr Unsecured"/>
        <s v="Indus Holding AGAT MATURITYFLOATINGEURSr Unsecured"/>
        <s v="Novartis Finance SACALLABLEFIXEDEURSr Unsecured"/>
        <s v="Draegerwerk AG &amp; Co KGaAAT MATURITYFIXEDEURSr Unsecured"/>
        <s v="Faber-Castell AGAT MATURITYFLOATINGEURSr Unsecured"/>
        <s v="Voith GmbH &amp; Co KGaAAT MATURITYFLOATINGEURSr Unsecured"/>
        <s v="Lenzing AGAT MATURITYFLOATINGEURSr Unsecured"/>
        <s v="Lenzing AGAT MATURITYFLOATINGUSDSr Unsecured"/>
        <s v="Maire Tecnimont SpAAT MATURITYFLOATINGEURSr Unsecured"/>
        <s v="Enel Finance International NVAT MATURITYFIXEDUSDSr Unsecured"/>
      </sharedItems>
    </cacheField>
    <cacheField name="Matched" numFmtId="0">
      <sharedItems>
        <b v="0"/>
        <b v="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atched SLBs Pivot" cacheId="0" dataCaption="" rowGrandTotals="0" compact="0" compactData="0">
  <location ref="A4:E13" firstHeaderRow="0" firstDataRow="2" firstDataCol="0" rowPageCount="2" colPageCount="1"/>
  <pivotFields>
    <pivotField name="ID" axis="axisRow" compact="0" outline="0" multipleItemSelectionAllowed="1" showAll="0" sortType="ascending">
      <items>
        <item x="108"/>
        <item x="233"/>
        <item x="176"/>
        <item x="177"/>
        <item x="178"/>
        <item x="175"/>
        <item x="252"/>
        <item x="253"/>
        <item x="63"/>
        <item x="22"/>
        <item x="23"/>
        <item x="256"/>
        <item x="254"/>
        <item x="255"/>
        <item x="250"/>
        <item x="251"/>
        <item x="160"/>
        <item x="228"/>
        <item x="7"/>
        <item x="6"/>
        <item x="8"/>
        <item x="3"/>
        <item x="4"/>
        <item x="5"/>
        <item x="200"/>
        <item x="202"/>
        <item x="198"/>
        <item x="199"/>
        <item x="201"/>
        <item x="62"/>
        <item x="137"/>
        <item x="138"/>
        <item x="136"/>
        <item x="241"/>
        <item x="209"/>
        <item x="239"/>
        <item x="247"/>
        <item x="237"/>
        <item x="238"/>
        <item x="24"/>
        <item x="93"/>
        <item x="92"/>
        <item x="94"/>
        <item x="76"/>
        <item x="77"/>
        <item x="39"/>
        <item x="40"/>
        <item x="140"/>
        <item x="141"/>
        <item x="143"/>
        <item x="142"/>
        <item x="267"/>
        <item x="268"/>
        <item x="1"/>
        <item x="2"/>
        <item x="12"/>
        <item x="13"/>
        <item x="14"/>
        <item x="15"/>
        <item x="16"/>
        <item x="0"/>
        <item x="286"/>
        <item x="287"/>
        <item x="288"/>
        <item x="289"/>
        <item x="290"/>
        <item x="291"/>
        <item x="240"/>
        <item x="73"/>
        <item x="244"/>
        <item x="90"/>
        <item x="135"/>
        <item x="189"/>
        <item x="190"/>
        <item x="266"/>
        <item x="85"/>
        <item x="211"/>
        <item x="212"/>
        <item x="210"/>
        <item x="109"/>
        <item x="112"/>
        <item x="110"/>
        <item x="114"/>
        <item x="115"/>
        <item x="116"/>
        <item x="111"/>
        <item x="113"/>
        <item x="133"/>
        <item x="131"/>
        <item x="132"/>
        <item x="284"/>
        <item x="285"/>
        <item x="274"/>
        <item x="275"/>
        <item x="276"/>
        <item x="246"/>
        <item x="87"/>
        <item x="86"/>
        <item x="80"/>
        <item x="227"/>
        <item x="226"/>
        <item x="269"/>
        <item x="270"/>
        <item x="168"/>
        <item x="163"/>
        <item x="162"/>
        <item x="164"/>
        <item x="203"/>
        <item x="204"/>
        <item x="161"/>
        <item x="236"/>
        <item x="83"/>
        <item x="84"/>
        <item x="81"/>
        <item x="82"/>
        <item x="191"/>
        <item x="130"/>
        <item x="151"/>
        <item x="41"/>
        <item x="42"/>
        <item x="78"/>
        <item x="54"/>
        <item x="56"/>
        <item x="171"/>
        <item x="172"/>
        <item x="145"/>
        <item x="65"/>
        <item x="67"/>
        <item x="68"/>
        <item x="66"/>
        <item x="17"/>
        <item x="245"/>
        <item x="121"/>
        <item x="123"/>
        <item x="122"/>
        <item x="74"/>
        <item x="264"/>
        <item x="262"/>
        <item x="263"/>
        <item x="71"/>
        <item x="70"/>
        <item x="249"/>
        <item x="248"/>
        <item x="89"/>
        <item x="88"/>
        <item x="44"/>
        <item x="43"/>
        <item x="46"/>
        <item x="47"/>
        <item x="45"/>
        <item x="127"/>
        <item x="186"/>
        <item x="61"/>
        <item x="185"/>
        <item x="173"/>
        <item x="174"/>
        <item x="25"/>
        <item x="26"/>
        <item x="52"/>
        <item x="170"/>
        <item x="235"/>
        <item x="234"/>
        <item x="184"/>
        <item x="79"/>
        <item x="134"/>
        <item x="277"/>
        <item x="278"/>
        <item x="280"/>
        <item x="279"/>
        <item x="281"/>
        <item x="103"/>
        <item x="100"/>
        <item x="183"/>
        <item x="144"/>
        <item x="165"/>
        <item x="166"/>
        <item x="180"/>
        <item x="179"/>
        <item x="181"/>
        <item x="283"/>
        <item x="282"/>
        <item x="182"/>
        <item x="36"/>
        <item x="37"/>
        <item x="139"/>
        <item x="96"/>
        <item x="95"/>
        <item x="265"/>
        <item x="146"/>
        <item x="57"/>
        <item x="58"/>
        <item x="59"/>
        <item x="60"/>
        <item x="243"/>
        <item x="101"/>
        <item x="104"/>
        <item x="102"/>
        <item x="99"/>
        <item x="21"/>
        <item x="20"/>
        <item x="53"/>
        <item x="51"/>
        <item x="117"/>
        <item x="10"/>
        <item x="11"/>
        <item x="193"/>
        <item x="152"/>
        <item x="153"/>
        <item x="154"/>
        <item x="155"/>
        <item x="194"/>
        <item x="192"/>
        <item x="33"/>
        <item x="32"/>
        <item x="35"/>
        <item x="34"/>
        <item x="147"/>
        <item x="197"/>
        <item x="148"/>
        <item x="149"/>
        <item x="196"/>
        <item x="107"/>
        <item x="106"/>
        <item x="64"/>
        <item x="167"/>
        <item x="187"/>
        <item x="188"/>
        <item x="128"/>
        <item x="129"/>
        <item x="91"/>
        <item x="242"/>
        <item x="257"/>
        <item x="258"/>
        <item x="260"/>
        <item x="259"/>
        <item x="18"/>
        <item x="150"/>
        <item x="31"/>
        <item x="30"/>
        <item x="213"/>
        <item x="214"/>
        <item x="124"/>
        <item x="105"/>
        <item x="261"/>
        <item x="9"/>
        <item x="156"/>
        <item x="157"/>
        <item x="158"/>
        <item x="159"/>
        <item x="27"/>
        <item x="28"/>
        <item x="29"/>
        <item x="48"/>
        <item x="50"/>
        <item x="49"/>
        <item x="72"/>
        <item x="69"/>
        <item x="208"/>
        <item x="206"/>
        <item x="207"/>
        <item x="205"/>
        <item x="118"/>
        <item x="232"/>
        <item x="231"/>
        <item x="19"/>
        <item x="169"/>
        <item x="75"/>
        <item x="55"/>
        <item x="126"/>
        <item x="125"/>
        <item x="229"/>
        <item x="230"/>
        <item x="271"/>
        <item x="273"/>
        <item x="272"/>
        <item x="38"/>
        <item x="225"/>
        <item x="195"/>
        <item x="98"/>
        <item x="97"/>
        <item x="216"/>
        <item x="217"/>
        <item x="218"/>
        <item x="220"/>
        <item x="221"/>
        <item x="222"/>
        <item x="223"/>
        <item x="224"/>
        <item x="215"/>
        <item x="219"/>
        <item x="119"/>
        <item x="120"/>
        <item t="default"/>
      </items>
    </pivotField>
    <pivotField name="Issu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IS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Bloomberg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FIG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Tic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Country/Region ISO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ntry of Inco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ntry of Ris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p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Issue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Matu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Yield at Issue (manua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Mty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as Call Provision" compact="0" outline="0" multipleItemSelectionAllowed="1" showAll="0">
      <items>
        <item x="0"/>
        <item x="1"/>
        <item t="default"/>
      </items>
    </pivotField>
    <pivotField name="Se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Payment Ran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urrency" axis="axisRow" compact="0" outline="0" multipleItemSelectionAllowed="1" showAll="0" sortType="ascending" defaultSubtotal="0">
      <items>
        <item x="0"/>
        <item x="6"/>
        <item x="5"/>
        <item x="3"/>
        <item x="1"/>
        <item x="4"/>
        <item x="2"/>
      </items>
    </pivotField>
    <pivotField name="BBG Compo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SG 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upon Type" compact="0" outline="0" multipleItemSelectionAllowed="1" showAll="0">
      <items>
        <item x="0"/>
        <item x="1"/>
        <item x="2"/>
        <item x="3"/>
        <item t="default"/>
      </items>
    </pivotField>
    <pivotField name="Cpn Freq Des" compact="0" outline="0" multipleItemSelectionAllowed="1" showAll="0">
      <items>
        <item x="0"/>
        <item x="1"/>
        <item x="2"/>
        <item x="3"/>
        <item t="default"/>
      </items>
    </pivotField>
    <pivotField name="Amt Issu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BICS Level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ICS Level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BCLASS Level 1" compact="0" outline="0" multipleItemSelectionAllowed="1" showAll="0">
      <items>
        <item x="0"/>
        <item x="1"/>
        <item t="default"/>
      </items>
    </pivotField>
    <pivotField name="BCLASS Level 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CLASS Level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BCLASS Level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tep up de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Step 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tep dow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tep-up&amp;down?" compact="0" outline="0" multipleItemSelectionAllowed="1" showAll="0">
      <items>
        <item x="0"/>
        <item x="1"/>
        <item t="default"/>
      </items>
    </pivotField>
    <pivotField name="SPT 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ad Manager(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Yield at iss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Yield as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Refiniti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Yield ask, at issue" axis="axisPage" dataField="1" compact="0" outline="0" multipleItemSelectionAllowed="1" showAll="0">
      <items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Issuer&amp;MTY&amp;CPN&amp;CURR&amp;Senio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Matched" axis="axisPage" compact="0" outline="0" multipleItemSelectionAllowed="1" showAll="0">
      <items>
        <item h="1" x="0"/>
        <item h="1" x="1"/>
        <item t="default"/>
      </items>
    </pivotField>
  </pivotFields>
  <rowFields>
    <field x="17"/>
    <field x="0"/>
  </rowFields>
  <pageFields>
    <pageField fld="40"/>
    <pageField fld="38"/>
  </pageFields>
  <dataFields>
    <dataField name="SUM of Yield ask, at issue" fld="3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31.29"/>
    <col customWidth="1" min="3" max="4" width="13.43"/>
    <col customWidth="1" min="5" max="5" width="16.14"/>
    <col customWidth="1" min="6" max="6" width="8.71"/>
    <col customWidth="1" min="7" max="7" width="23.29"/>
    <col customWidth="1" min="8" max="8" width="14.14"/>
    <col customWidth="1" min="9" max="9" width="12.14"/>
    <col customWidth="1" min="10" max="10" width="8.71"/>
    <col customWidth="1" min="11" max="11" width="11.29"/>
    <col customWidth="1" min="12" max="12" width="12.14"/>
    <col customWidth="1" min="13" max="23" width="8.71"/>
    <col customWidth="1" min="24" max="24" width="10.57"/>
    <col customWidth="1" min="25" max="29" width="8.71"/>
    <col customWidth="1" min="30" max="30" width="169.43"/>
    <col customWidth="1" min="31" max="35" width="8.71"/>
    <col customWidth="1" min="36" max="36" width="13.0"/>
    <col customWidth="1" min="37" max="37" width="21.29"/>
    <col customWidth="1" min="38" max="38" width="20.0"/>
    <col customWidth="1" min="39" max="39" width="22.71"/>
    <col customWidth="1" min="40" max="40" width="42.0"/>
    <col customWidth="1" min="41" max="43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2" t="s">
        <v>32</v>
      </c>
      <c r="AH1" s="2" t="s">
        <v>33</v>
      </c>
      <c r="AI1" s="1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/>
      <c r="AQ1" s="3"/>
    </row>
    <row r="2">
      <c r="A2" s="3">
        <v>61.0</v>
      </c>
      <c r="B2" s="4" t="s">
        <v>41</v>
      </c>
      <c r="C2" s="4" t="str">
        <f>VLOOKUP(D2,'slb RAW'!$E:$F,2)</f>
        <v>#N/A Field Not Applicable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45</v>
      </c>
      <c r="I2" s="4" t="s">
        <v>45</v>
      </c>
      <c r="J2" s="5">
        <v>0.0</v>
      </c>
      <c r="K2" s="4" t="s">
        <v>46</v>
      </c>
      <c r="L2" s="4" t="s">
        <v>47</v>
      </c>
      <c r="M2" s="6" t="s">
        <v>48</v>
      </c>
      <c r="N2" s="4" t="s">
        <v>49</v>
      </c>
      <c r="O2" s="4" t="s">
        <v>50</v>
      </c>
      <c r="P2" s="4" t="s">
        <v>51</v>
      </c>
      <c r="Q2" s="4" t="s">
        <v>52</v>
      </c>
      <c r="R2" s="4" t="s">
        <v>53</v>
      </c>
      <c r="S2" s="4" t="s">
        <v>54</v>
      </c>
      <c r="T2" s="4" t="s">
        <v>55</v>
      </c>
      <c r="U2" s="4" t="s">
        <v>56</v>
      </c>
      <c r="V2" s="4" t="s">
        <v>57</v>
      </c>
      <c r="W2" s="4">
        <v>1.24223E8</v>
      </c>
      <c r="X2" s="4" t="s">
        <v>58</v>
      </c>
      <c r="Y2" s="4" t="s">
        <v>59</v>
      </c>
      <c r="Z2" s="4" t="s">
        <v>60</v>
      </c>
      <c r="AA2" s="4" t="s">
        <v>61</v>
      </c>
      <c r="AB2" s="4" t="s">
        <v>62</v>
      </c>
      <c r="AC2" s="4" t="s">
        <v>62</v>
      </c>
      <c r="AD2" s="3" t="s">
        <v>63</v>
      </c>
      <c r="AE2" s="7">
        <v>2.0</v>
      </c>
      <c r="AF2" s="7">
        <v>2.0</v>
      </c>
      <c r="AG2" s="4" t="str">
        <f t="shared" ref="AG2:AG293" si="1">IF(AE2=AF2, "yes","")</f>
        <v>yes</v>
      </c>
      <c r="AH2" s="8" t="s">
        <v>64</v>
      </c>
      <c r="AI2" s="4" t="s">
        <v>65</v>
      </c>
      <c r="AJ2" s="7" t="str">
        <f>VLOOKUP(D2,'slb RAW'!$E$2:$AF$293,9)</f>
        <v>#N/A N/A</v>
      </c>
      <c r="AK2" s="4" t="str">
        <f>VLOOKUP(D2,'slb RAW'!$E$2:$AE$293,27)</f>
        <v>#N/A N/A</v>
      </c>
      <c r="AL2" s="4" t="str">
        <f>VLOOKUP(C2,'Refinitiv SLB'!F2:S179,14)</f>
        <v>#N/A</v>
      </c>
      <c r="AM2" s="4" t="str">
        <f t="shared" ref="AM2:AM293" si="2">IF(AK2="#N/A N/A",AJ2,AK2)</f>
        <v>#N/A N/A</v>
      </c>
      <c r="AN2" s="9" t="str">
        <f t="shared" ref="AN2:AN293" si="3">B2&amp;N2&amp;U2&amp;R2&amp;Q2</f>
        <v>Duerr AGAT MATURITYFIXEDEURSr Unsecured</v>
      </c>
      <c r="AO2" s="7" t="b">
        <f>ISNUMBER( IFERROR(VLOOKUP(A2,Pairs!$E$2:$E$57,1,FALSE),FALSE))</f>
        <v>0</v>
      </c>
      <c r="AP2" s="7"/>
      <c r="AQ2" s="7"/>
    </row>
    <row r="3">
      <c r="A3" s="3">
        <v>54.0</v>
      </c>
      <c r="B3" s="4" t="s">
        <v>41</v>
      </c>
      <c r="C3" s="4" t="str">
        <f>VLOOKUP(D3,'slb RAW'!$E:$F,2)</f>
        <v>#N/A Field Not Applicable</v>
      </c>
      <c r="D3" s="4" t="s">
        <v>66</v>
      </c>
      <c r="E3" s="4" t="s">
        <v>67</v>
      </c>
      <c r="F3" s="4" t="s">
        <v>44</v>
      </c>
      <c r="G3" s="4" t="s">
        <v>45</v>
      </c>
      <c r="H3" s="4" t="s">
        <v>45</v>
      </c>
      <c r="I3" s="4" t="s">
        <v>45</v>
      </c>
      <c r="J3" s="5">
        <v>0.0</v>
      </c>
      <c r="K3" s="4" t="s">
        <v>46</v>
      </c>
      <c r="L3" s="4" t="s">
        <v>68</v>
      </c>
      <c r="M3" s="10" t="s">
        <v>48</v>
      </c>
      <c r="N3" s="4" t="s">
        <v>49</v>
      </c>
      <c r="O3" s="4" t="s">
        <v>50</v>
      </c>
      <c r="P3" s="4" t="s">
        <v>69</v>
      </c>
      <c r="Q3" s="4" t="s">
        <v>52</v>
      </c>
      <c r="R3" s="4" t="s">
        <v>53</v>
      </c>
      <c r="S3" s="4" t="s">
        <v>54</v>
      </c>
      <c r="T3" s="4" t="s">
        <v>55</v>
      </c>
      <c r="U3" s="4" t="s">
        <v>70</v>
      </c>
      <c r="V3" s="4" t="s">
        <v>71</v>
      </c>
      <c r="W3" s="4">
        <v>1.24223E8</v>
      </c>
      <c r="X3" s="4" t="s">
        <v>58</v>
      </c>
      <c r="Y3" s="4" t="s">
        <v>59</v>
      </c>
      <c r="Z3" s="4" t="s">
        <v>60</v>
      </c>
      <c r="AA3" s="4" t="s">
        <v>61</v>
      </c>
      <c r="AB3" s="4" t="s">
        <v>62</v>
      </c>
      <c r="AC3" s="4" t="s">
        <v>62</v>
      </c>
      <c r="AD3" s="3" t="s">
        <v>63</v>
      </c>
      <c r="AE3" s="7">
        <v>2.0</v>
      </c>
      <c r="AF3" s="7">
        <v>2.0</v>
      </c>
      <c r="AG3" s="4" t="str">
        <f t="shared" si="1"/>
        <v>yes</v>
      </c>
      <c r="AH3" s="8" t="s">
        <v>64</v>
      </c>
      <c r="AI3" s="4" t="s">
        <v>72</v>
      </c>
      <c r="AJ3" s="7" t="str">
        <f>VLOOKUP(D3,'slb RAW'!$E$2:$AF$293,9)</f>
        <v>#N/A N/A</v>
      </c>
      <c r="AK3" s="4" t="str">
        <f>VLOOKUP(D3,'slb RAW'!$E$2:$AE$293,27)</f>
        <v>#N/A N/A</v>
      </c>
      <c r="AL3" s="4" t="str">
        <f>VLOOKUP(C3,'Refinitiv SLB'!F3:S180,14)</f>
        <v>#N/A</v>
      </c>
      <c r="AM3" s="4" t="str">
        <f t="shared" si="2"/>
        <v>#N/A N/A</v>
      </c>
      <c r="AN3" s="9" t="str">
        <f t="shared" si="3"/>
        <v>Duerr AGAT MATURITYFLOATINGEURSr Unsecured</v>
      </c>
      <c r="AO3" s="7" t="b">
        <f>ISNUMBER( IFERROR(VLOOKUP(A3,Pairs!$E$2:$E$57,1,FALSE),FALSE))</f>
        <v>0</v>
      </c>
      <c r="AP3" s="7"/>
      <c r="AQ3" s="7"/>
    </row>
    <row r="4">
      <c r="A4" s="3">
        <v>55.0</v>
      </c>
      <c r="B4" s="4" t="s">
        <v>41</v>
      </c>
      <c r="C4" s="4" t="str">
        <f>VLOOKUP(D4,'slb RAW'!$E:$F,2)</f>
        <v>#N/A Field Not Applicable</v>
      </c>
      <c r="D4" s="4" t="s">
        <v>73</v>
      </c>
      <c r="E4" s="4" t="s">
        <v>74</v>
      </c>
      <c r="F4" s="4" t="s">
        <v>44</v>
      </c>
      <c r="G4" s="4" t="s">
        <v>45</v>
      </c>
      <c r="H4" s="4" t="s">
        <v>45</v>
      </c>
      <c r="I4" s="4" t="s">
        <v>45</v>
      </c>
      <c r="J4" s="5">
        <v>0.0</v>
      </c>
      <c r="K4" s="4" t="s">
        <v>46</v>
      </c>
      <c r="L4" s="4" t="s">
        <v>75</v>
      </c>
      <c r="M4" s="10" t="s">
        <v>48</v>
      </c>
      <c r="N4" s="4" t="s">
        <v>49</v>
      </c>
      <c r="O4" s="4" t="s">
        <v>50</v>
      </c>
      <c r="P4" s="4" t="s">
        <v>76</v>
      </c>
      <c r="Q4" s="4" t="s">
        <v>52</v>
      </c>
      <c r="R4" s="4" t="s">
        <v>53</v>
      </c>
      <c r="S4" s="4" t="s">
        <v>54</v>
      </c>
      <c r="T4" s="4" t="s">
        <v>55</v>
      </c>
      <c r="U4" s="4" t="s">
        <v>70</v>
      </c>
      <c r="V4" s="4" t="s">
        <v>71</v>
      </c>
      <c r="W4" s="4">
        <v>1.24223E8</v>
      </c>
      <c r="X4" s="4" t="s">
        <v>58</v>
      </c>
      <c r="Y4" s="4" t="s">
        <v>59</v>
      </c>
      <c r="Z4" s="4" t="s">
        <v>60</v>
      </c>
      <c r="AA4" s="4" t="s">
        <v>61</v>
      </c>
      <c r="AB4" s="4" t="s">
        <v>62</v>
      </c>
      <c r="AC4" s="4" t="s">
        <v>62</v>
      </c>
      <c r="AD4" s="3" t="s">
        <v>77</v>
      </c>
      <c r="AE4" s="7">
        <v>5.0</v>
      </c>
      <c r="AF4" s="7">
        <v>5.0</v>
      </c>
      <c r="AG4" s="4" t="str">
        <f t="shared" si="1"/>
        <v>yes</v>
      </c>
      <c r="AH4" s="8" t="s">
        <v>64</v>
      </c>
      <c r="AI4" s="4" t="s">
        <v>72</v>
      </c>
      <c r="AJ4" s="7" t="str">
        <f>VLOOKUP(D4,'slb RAW'!$E$2:$AF$293,9)</f>
        <v>#N/A N/A</v>
      </c>
      <c r="AK4" s="4" t="str">
        <f>VLOOKUP(D4,'slb RAW'!$E$2:$AE$293,27)</f>
        <v>#N/A N/A</v>
      </c>
      <c r="AL4" s="4" t="str">
        <f>VLOOKUP(C4,'Refinitiv SLB'!F4:S181,14)</f>
        <v>#N/A</v>
      </c>
      <c r="AM4" s="4" t="str">
        <f t="shared" si="2"/>
        <v>#N/A N/A</v>
      </c>
      <c r="AN4" s="9" t="str">
        <f t="shared" si="3"/>
        <v>Duerr AGAT MATURITYFLOATINGEURSr Unsecured</v>
      </c>
      <c r="AO4" s="7" t="b">
        <f>ISNUMBER( IFERROR(VLOOKUP(A4,Pairs!$E$2:$E$57,1,FALSE),FALSE))</f>
        <v>0</v>
      </c>
      <c r="AP4" s="7"/>
      <c r="AQ4" s="7"/>
    </row>
    <row r="5">
      <c r="A5" s="3">
        <v>22.0</v>
      </c>
      <c r="B5" s="4" t="s">
        <v>78</v>
      </c>
      <c r="C5" s="4" t="str">
        <f>VLOOKUP(D5,'slb RAW'!$E:$F,2)</f>
        <v>#N/A Field Not Applicable</v>
      </c>
      <c r="D5" s="4" t="s">
        <v>79</v>
      </c>
      <c r="E5" s="4" t="s">
        <v>80</v>
      </c>
      <c r="F5" s="4" t="s">
        <v>81</v>
      </c>
      <c r="G5" s="4" t="s">
        <v>45</v>
      </c>
      <c r="H5" s="4" t="s">
        <v>45</v>
      </c>
      <c r="I5" s="4" t="s">
        <v>45</v>
      </c>
      <c r="J5" s="5">
        <v>0.0</v>
      </c>
      <c r="K5" s="4" t="s">
        <v>82</v>
      </c>
      <c r="L5" s="4" t="s">
        <v>83</v>
      </c>
      <c r="M5" s="10" t="s">
        <v>48</v>
      </c>
      <c r="N5" s="4" t="s">
        <v>49</v>
      </c>
      <c r="O5" s="4" t="s">
        <v>50</v>
      </c>
      <c r="P5" s="4" t="s">
        <v>84</v>
      </c>
      <c r="Q5" s="4" t="s">
        <v>52</v>
      </c>
      <c r="R5" s="4" t="s">
        <v>53</v>
      </c>
      <c r="S5" s="4" t="s">
        <v>54</v>
      </c>
      <c r="T5" s="4" t="s">
        <v>55</v>
      </c>
      <c r="U5" s="4" t="s">
        <v>70</v>
      </c>
      <c r="V5" s="4" t="s">
        <v>71</v>
      </c>
      <c r="W5" s="4">
        <v>4.52352E8</v>
      </c>
      <c r="X5" s="4" t="s">
        <v>85</v>
      </c>
      <c r="Y5" s="4" t="s">
        <v>86</v>
      </c>
      <c r="Z5" s="4" t="s">
        <v>60</v>
      </c>
      <c r="AA5" s="4" t="s">
        <v>61</v>
      </c>
      <c r="AB5" s="4" t="s">
        <v>87</v>
      </c>
      <c r="AC5" s="4" t="s">
        <v>88</v>
      </c>
      <c r="AD5" s="3" t="s">
        <v>89</v>
      </c>
      <c r="AE5" s="7">
        <v>5.0</v>
      </c>
      <c r="AF5" s="7">
        <v>5.0</v>
      </c>
      <c r="AG5" s="4" t="str">
        <f t="shared" si="1"/>
        <v>yes</v>
      </c>
      <c r="AH5" s="8" t="s">
        <v>64</v>
      </c>
      <c r="AI5" s="4" t="s">
        <v>90</v>
      </c>
      <c r="AJ5" s="7" t="str">
        <f>VLOOKUP(D5,'slb RAW'!$E$2:$AF$293,9)</f>
        <v>#N/A N/A</v>
      </c>
      <c r="AK5" s="4" t="str">
        <f>VLOOKUP(D5,'slb RAW'!$E$2:$AE$293,27)</f>
        <v>#N/A N/A</v>
      </c>
      <c r="AL5" s="4" t="str">
        <f>VLOOKUP(C5,'Refinitiv SLB'!F5:S182,14)</f>
        <v>#N/A</v>
      </c>
      <c r="AM5" s="4" t="str">
        <f t="shared" si="2"/>
        <v>#N/A N/A</v>
      </c>
      <c r="AN5" s="9" t="str">
        <f t="shared" si="3"/>
        <v>Aurubis AGAT MATURITYFLOATINGEURSr Unsecured</v>
      </c>
      <c r="AO5" s="7" t="b">
        <f>ISNUMBER( IFERROR(VLOOKUP(A5,Pairs!$E$2:$E$57,1,FALSE),FALSE))</f>
        <v>0</v>
      </c>
      <c r="AP5" s="7"/>
      <c r="AQ5" s="7"/>
    </row>
    <row r="6">
      <c r="A6" s="3">
        <v>23.0</v>
      </c>
      <c r="B6" s="4" t="s">
        <v>78</v>
      </c>
      <c r="C6" s="4" t="str">
        <f>VLOOKUP(D6,'slb RAW'!$E:$F,2)</f>
        <v>#N/A Field Not Applicable</v>
      </c>
      <c r="D6" s="4" t="s">
        <v>91</v>
      </c>
      <c r="E6" s="4" t="s">
        <v>92</v>
      </c>
      <c r="F6" s="4" t="s">
        <v>81</v>
      </c>
      <c r="G6" s="4" t="s">
        <v>45</v>
      </c>
      <c r="H6" s="4" t="s">
        <v>45</v>
      </c>
      <c r="I6" s="4" t="s">
        <v>45</v>
      </c>
      <c r="J6" s="5">
        <v>0.0</v>
      </c>
      <c r="K6" s="4" t="s">
        <v>82</v>
      </c>
      <c r="L6" s="4" t="s">
        <v>93</v>
      </c>
      <c r="M6" s="6" t="s">
        <v>48</v>
      </c>
      <c r="N6" s="4" t="s">
        <v>49</v>
      </c>
      <c r="O6" s="4" t="s">
        <v>50</v>
      </c>
      <c r="P6" s="4" t="s">
        <v>94</v>
      </c>
      <c r="Q6" s="4" t="s">
        <v>52</v>
      </c>
      <c r="R6" s="4" t="s">
        <v>53</v>
      </c>
      <c r="S6" s="4" t="s">
        <v>54</v>
      </c>
      <c r="T6" s="4" t="s">
        <v>55</v>
      </c>
      <c r="U6" s="4" t="s">
        <v>70</v>
      </c>
      <c r="V6" s="4" t="s">
        <v>71</v>
      </c>
      <c r="W6" s="4">
        <v>4.52352E8</v>
      </c>
      <c r="X6" s="4" t="s">
        <v>85</v>
      </c>
      <c r="Y6" s="4" t="s">
        <v>86</v>
      </c>
      <c r="Z6" s="4" t="s">
        <v>60</v>
      </c>
      <c r="AA6" s="4" t="s">
        <v>61</v>
      </c>
      <c r="AB6" s="4" t="s">
        <v>87</v>
      </c>
      <c r="AC6" s="4" t="s">
        <v>88</v>
      </c>
      <c r="AD6" s="3" t="s">
        <v>89</v>
      </c>
      <c r="AE6" s="7">
        <v>5.0</v>
      </c>
      <c r="AF6" s="7">
        <v>5.0</v>
      </c>
      <c r="AG6" s="4" t="str">
        <f t="shared" si="1"/>
        <v>yes</v>
      </c>
      <c r="AH6" s="8" t="s">
        <v>64</v>
      </c>
      <c r="AI6" s="4" t="s">
        <v>90</v>
      </c>
      <c r="AJ6" s="7" t="str">
        <f>VLOOKUP(D6,'slb RAW'!$E$2:$AF$293,9)</f>
        <v>#N/A N/A</v>
      </c>
      <c r="AK6" s="4" t="str">
        <f>VLOOKUP(D6,'slb RAW'!$E$2:$AE$293,27)</f>
        <v>#N/A N/A</v>
      </c>
      <c r="AL6" s="4" t="str">
        <f>VLOOKUP(C6,'Refinitiv SLB'!F6:S183,14)</f>
        <v>#N/A</v>
      </c>
      <c r="AM6" s="4" t="str">
        <f t="shared" si="2"/>
        <v>#N/A N/A</v>
      </c>
      <c r="AN6" s="9" t="str">
        <f t="shared" si="3"/>
        <v>Aurubis AGAT MATURITYFLOATINGEURSr Unsecured</v>
      </c>
      <c r="AO6" s="7" t="b">
        <f>ISNUMBER( IFERROR(VLOOKUP(A6,Pairs!$E$2:$E$57,1,FALSE),FALSE))</f>
        <v>0</v>
      </c>
      <c r="AP6" s="7"/>
      <c r="AQ6" s="7"/>
    </row>
    <row r="7">
      <c r="A7" s="3">
        <v>24.0</v>
      </c>
      <c r="B7" s="4" t="s">
        <v>78</v>
      </c>
      <c r="C7" s="4" t="str">
        <f>VLOOKUP(D7,'slb RAW'!$E:$F,2)</f>
        <v>#N/A Field Not Applicable</v>
      </c>
      <c r="D7" s="4" t="s">
        <v>95</v>
      </c>
      <c r="E7" s="4" t="s">
        <v>96</v>
      </c>
      <c r="F7" s="4" t="s">
        <v>81</v>
      </c>
      <c r="G7" s="4" t="s">
        <v>45</v>
      </c>
      <c r="H7" s="4" t="s">
        <v>45</v>
      </c>
      <c r="I7" s="4" t="s">
        <v>45</v>
      </c>
      <c r="J7" s="5">
        <v>0.0</v>
      </c>
      <c r="K7" s="4" t="s">
        <v>82</v>
      </c>
      <c r="L7" s="4" t="s">
        <v>97</v>
      </c>
      <c r="M7" s="10" t="s">
        <v>48</v>
      </c>
      <c r="N7" s="4" t="s">
        <v>49</v>
      </c>
      <c r="O7" s="4" t="s">
        <v>50</v>
      </c>
      <c r="P7" s="4" t="s">
        <v>98</v>
      </c>
      <c r="Q7" s="4" t="s">
        <v>52</v>
      </c>
      <c r="R7" s="4" t="s">
        <v>53</v>
      </c>
      <c r="S7" s="4" t="s">
        <v>54</v>
      </c>
      <c r="T7" s="4" t="s">
        <v>55</v>
      </c>
      <c r="U7" s="4" t="s">
        <v>70</v>
      </c>
      <c r="V7" s="4" t="s">
        <v>71</v>
      </c>
      <c r="W7" s="4">
        <v>4.52352E8</v>
      </c>
      <c r="X7" s="4" t="s">
        <v>85</v>
      </c>
      <c r="Y7" s="4" t="s">
        <v>86</v>
      </c>
      <c r="Z7" s="4" t="s">
        <v>60</v>
      </c>
      <c r="AA7" s="4" t="s">
        <v>61</v>
      </c>
      <c r="AB7" s="4" t="s">
        <v>87</v>
      </c>
      <c r="AC7" s="4" t="s">
        <v>88</v>
      </c>
      <c r="AD7" s="3" t="s">
        <v>89</v>
      </c>
      <c r="AE7" s="7">
        <v>5.0</v>
      </c>
      <c r="AF7" s="7">
        <v>5.0</v>
      </c>
      <c r="AG7" s="4" t="str">
        <f t="shared" si="1"/>
        <v>yes</v>
      </c>
      <c r="AH7" s="8" t="s">
        <v>64</v>
      </c>
      <c r="AI7" s="4" t="s">
        <v>90</v>
      </c>
      <c r="AJ7" s="7" t="str">
        <f>VLOOKUP(D7,'slb RAW'!$E$2:$AF$293,9)</f>
        <v>#N/A N/A</v>
      </c>
      <c r="AK7" s="4" t="str">
        <f>VLOOKUP(D7,'slb RAW'!$E$2:$AE$293,27)</f>
        <v>#N/A N/A</v>
      </c>
      <c r="AL7" s="4" t="str">
        <f>VLOOKUP(C7,'Refinitiv SLB'!F7:S184,14)</f>
        <v>#N/A</v>
      </c>
      <c r="AM7" s="4" t="str">
        <f t="shared" si="2"/>
        <v>#N/A N/A</v>
      </c>
      <c r="AN7" s="9" t="str">
        <f t="shared" si="3"/>
        <v>Aurubis AGAT MATURITYFLOATINGEURSr Unsecured</v>
      </c>
      <c r="AO7" s="7" t="b">
        <f>ISNUMBER( IFERROR(VLOOKUP(A7,Pairs!$E$2:$E$57,1,FALSE),FALSE))</f>
        <v>0</v>
      </c>
      <c r="AP7" s="7"/>
      <c r="AQ7" s="7"/>
    </row>
    <row r="8">
      <c r="A8" s="3">
        <v>20.0</v>
      </c>
      <c r="B8" s="4" t="s">
        <v>78</v>
      </c>
      <c r="C8" s="4" t="str">
        <f>VLOOKUP(D8,'slb RAW'!$E:$F,2)</f>
        <v>#N/A Field Not Applicable</v>
      </c>
      <c r="D8" s="4" t="s">
        <v>99</v>
      </c>
      <c r="E8" s="4" t="s">
        <v>100</v>
      </c>
      <c r="F8" s="4" t="s">
        <v>81</v>
      </c>
      <c r="G8" s="4" t="s">
        <v>45</v>
      </c>
      <c r="H8" s="4" t="s">
        <v>45</v>
      </c>
      <c r="I8" s="4" t="s">
        <v>45</v>
      </c>
      <c r="J8" s="5">
        <v>0.0</v>
      </c>
      <c r="K8" s="4" t="s">
        <v>82</v>
      </c>
      <c r="L8" s="4" t="s">
        <v>83</v>
      </c>
      <c r="M8" s="10" t="s">
        <v>48</v>
      </c>
      <c r="N8" s="4" t="s">
        <v>49</v>
      </c>
      <c r="O8" s="4" t="s">
        <v>50</v>
      </c>
      <c r="P8" s="4" t="s">
        <v>101</v>
      </c>
      <c r="Q8" s="4" t="s">
        <v>52</v>
      </c>
      <c r="R8" s="4" t="s">
        <v>53</v>
      </c>
      <c r="S8" s="4" t="s">
        <v>54</v>
      </c>
      <c r="T8" s="4" t="s">
        <v>55</v>
      </c>
      <c r="U8" s="4" t="s">
        <v>56</v>
      </c>
      <c r="V8" s="4" t="s">
        <v>57</v>
      </c>
      <c r="W8" s="4">
        <v>4.52352E8</v>
      </c>
      <c r="X8" s="4" t="s">
        <v>85</v>
      </c>
      <c r="Y8" s="4" t="s">
        <v>86</v>
      </c>
      <c r="Z8" s="4" t="s">
        <v>60</v>
      </c>
      <c r="AA8" s="4" t="s">
        <v>61</v>
      </c>
      <c r="AB8" s="4" t="s">
        <v>87</v>
      </c>
      <c r="AC8" s="4" t="s">
        <v>88</v>
      </c>
      <c r="AD8" s="3" t="s">
        <v>89</v>
      </c>
      <c r="AE8" s="7">
        <v>5.0</v>
      </c>
      <c r="AF8" s="7">
        <v>5.0</v>
      </c>
      <c r="AG8" s="4" t="str">
        <f t="shared" si="1"/>
        <v>yes</v>
      </c>
      <c r="AH8" s="8" t="s">
        <v>64</v>
      </c>
      <c r="AI8" s="4" t="s">
        <v>90</v>
      </c>
      <c r="AJ8" s="7" t="str">
        <f>VLOOKUP(D8,'slb RAW'!$E$2:$AF$293,9)</f>
        <v>#N/A N/A</v>
      </c>
      <c r="AK8" s="4" t="str">
        <f>VLOOKUP(D8,'slb RAW'!$E$2:$AE$293,27)</f>
        <v>#N/A N/A</v>
      </c>
      <c r="AL8" s="4" t="str">
        <f>VLOOKUP(C8,'Refinitiv SLB'!F8:S185,14)</f>
        <v>#N/A</v>
      </c>
      <c r="AM8" s="4" t="str">
        <f t="shared" si="2"/>
        <v>#N/A N/A</v>
      </c>
      <c r="AN8" s="9" t="str">
        <f t="shared" si="3"/>
        <v>Aurubis AGAT MATURITYFIXEDEURSr Unsecured</v>
      </c>
      <c r="AO8" s="7" t="b">
        <f>ISNUMBER( IFERROR(VLOOKUP(A8,Pairs!$E$2:$E$57,1,FALSE),FALSE))</f>
        <v>0</v>
      </c>
      <c r="AP8" s="7"/>
      <c r="AQ8" s="7"/>
    </row>
    <row r="9">
      <c r="A9" s="3">
        <v>19.0</v>
      </c>
      <c r="B9" s="4" t="s">
        <v>78</v>
      </c>
      <c r="C9" s="4" t="str">
        <f>VLOOKUP(D9,'slb RAW'!$E:$F,2)</f>
        <v>#N/A Field Not Applicable</v>
      </c>
      <c r="D9" s="4" t="s">
        <v>102</v>
      </c>
      <c r="E9" s="4" t="s">
        <v>103</v>
      </c>
      <c r="F9" s="4" t="s">
        <v>81</v>
      </c>
      <c r="G9" s="4" t="s">
        <v>45</v>
      </c>
      <c r="H9" s="4" t="s">
        <v>45</v>
      </c>
      <c r="I9" s="4" t="s">
        <v>45</v>
      </c>
      <c r="J9" s="5">
        <v>0.0</v>
      </c>
      <c r="K9" s="4" t="s">
        <v>82</v>
      </c>
      <c r="L9" s="4" t="s">
        <v>93</v>
      </c>
      <c r="M9" s="10" t="s">
        <v>48</v>
      </c>
      <c r="N9" s="4" t="s">
        <v>49</v>
      </c>
      <c r="O9" s="4" t="s">
        <v>50</v>
      </c>
      <c r="P9" s="4" t="s">
        <v>104</v>
      </c>
      <c r="Q9" s="4" t="s">
        <v>52</v>
      </c>
      <c r="R9" s="4" t="s">
        <v>53</v>
      </c>
      <c r="S9" s="4" t="s">
        <v>54</v>
      </c>
      <c r="T9" s="4" t="s">
        <v>55</v>
      </c>
      <c r="U9" s="4" t="s">
        <v>56</v>
      </c>
      <c r="V9" s="4" t="s">
        <v>57</v>
      </c>
      <c r="W9" s="4">
        <v>4.52352E8</v>
      </c>
      <c r="X9" s="4" t="s">
        <v>85</v>
      </c>
      <c r="Y9" s="4" t="s">
        <v>86</v>
      </c>
      <c r="Z9" s="4" t="s">
        <v>60</v>
      </c>
      <c r="AA9" s="4" t="s">
        <v>61</v>
      </c>
      <c r="AB9" s="4" t="s">
        <v>87</v>
      </c>
      <c r="AC9" s="4" t="s">
        <v>88</v>
      </c>
      <c r="AD9" s="3" t="s">
        <v>89</v>
      </c>
      <c r="AE9" s="7">
        <v>5.0</v>
      </c>
      <c r="AF9" s="7">
        <v>5.0</v>
      </c>
      <c r="AG9" s="4" t="str">
        <f t="shared" si="1"/>
        <v>yes</v>
      </c>
      <c r="AH9" s="8" t="s">
        <v>64</v>
      </c>
      <c r="AI9" s="4" t="s">
        <v>90</v>
      </c>
      <c r="AJ9" s="7" t="str">
        <f>VLOOKUP(D9,'slb RAW'!$E$2:$AF$293,9)</f>
        <v>#N/A N/A</v>
      </c>
      <c r="AK9" s="4" t="str">
        <f>VLOOKUP(D9,'slb RAW'!$E$2:$AE$293,27)</f>
        <v>#N/A N/A</v>
      </c>
      <c r="AL9" s="4" t="str">
        <f>VLOOKUP(C9,'Refinitiv SLB'!F9:S186,14)</f>
        <v>#N/A</v>
      </c>
      <c r="AM9" s="4" t="str">
        <f t="shared" si="2"/>
        <v>#N/A N/A</v>
      </c>
      <c r="AN9" s="9" t="str">
        <f t="shared" si="3"/>
        <v>Aurubis AGAT MATURITYFIXEDEURSr Unsecured</v>
      </c>
      <c r="AO9" s="7" t="b">
        <f>ISNUMBER( IFERROR(VLOOKUP(A9,Pairs!$E$2:$E$57,1,FALSE),FALSE))</f>
        <v>0</v>
      </c>
      <c r="AP9" s="7"/>
      <c r="AQ9" s="7"/>
    </row>
    <row r="10">
      <c r="A10" s="3">
        <v>21.0</v>
      </c>
      <c r="B10" s="4" t="s">
        <v>78</v>
      </c>
      <c r="C10" s="4" t="str">
        <f>VLOOKUP(D10,'slb RAW'!$E:$F,2)</f>
        <v>#N/A Field Not Applicable</v>
      </c>
      <c r="D10" s="4" t="s">
        <v>105</v>
      </c>
      <c r="E10" s="4" t="s">
        <v>106</v>
      </c>
      <c r="F10" s="4" t="s">
        <v>81</v>
      </c>
      <c r="G10" s="4" t="s">
        <v>45</v>
      </c>
      <c r="H10" s="4" t="s">
        <v>45</v>
      </c>
      <c r="I10" s="4" t="s">
        <v>45</v>
      </c>
      <c r="J10" s="5">
        <v>0.0</v>
      </c>
      <c r="K10" s="4" t="s">
        <v>82</v>
      </c>
      <c r="L10" s="4" t="s">
        <v>97</v>
      </c>
      <c r="M10" s="6" t="s">
        <v>48</v>
      </c>
      <c r="N10" s="4" t="s">
        <v>49</v>
      </c>
      <c r="O10" s="4" t="s">
        <v>50</v>
      </c>
      <c r="P10" s="4" t="s">
        <v>107</v>
      </c>
      <c r="Q10" s="4" t="s">
        <v>52</v>
      </c>
      <c r="R10" s="4" t="s">
        <v>53</v>
      </c>
      <c r="S10" s="4" t="s">
        <v>54</v>
      </c>
      <c r="T10" s="4" t="s">
        <v>55</v>
      </c>
      <c r="U10" s="4" t="s">
        <v>56</v>
      </c>
      <c r="V10" s="4" t="s">
        <v>57</v>
      </c>
      <c r="W10" s="4">
        <v>4.52352E8</v>
      </c>
      <c r="X10" s="4" t="s">
        <v>85</v>
      </c>
      <c r="Y10" s="4" t="s">
        <v>86</v>
      </c>
      <c r="Z10" s="4" t="s">
        <v>60</v>
      </c>
      <c r="AA10" s="4" t="s">
        <v>61</v>
      </c>
      <c r="AB10" s="4" t="s">
        <v>87</v>
      </c>
      <c r="AC10" s="4" t="s">
        <v>88</v>
      </c>
      <c r="AD10" s="3" t="s">
        <v>89</v>
      </c>
      <c r="AE10" s="7">
        <v>5.0</v>
      </c>
      <c r="AF10" s="7">
        <v>5.0</v>
      </c>
      <c r="AG10" s="4" t="str">
        <f t="shared" si="1"/>
        <v>yes</v>
      </c>
      <c r="AH10" s="8" t="s">
        <v>64</v>
      </c>
      <c r="AI10" s="4" t="s">
        <v>90</v>
      </c>
      <c r="AJ10" s="7" t="str">
        <f>VLOOKUP(D10,'slb RAW'!$E$2:$AF$293,9)</f>
        <v>#N/A N/A</v>
      </c>
      <c r="AK10" s="4" t="str">
        <f>VLOOKUP(D10,'slb RAW'!$E$2:$AE$293,27)</f>
        <v>#N/A N/A</v>
      </c>
      <c r="AL10" s="4" t="str">
        <f>VLOOKUP(C10,'Refinitiv SLB'!F10:S187,14)</f>
        <v>#N/A</v>
      </c>
      <c r="AM10" s="4" t="str">
        <f t="shared" si="2"/>
        <v>#N/A N/A</v>
      </c>
      <c r="AN10" s="9" t="str">
        <f t="shared" si="3"/>
        <v>Aurubis AGAT MATURITYFIXEDEURSr Unsecured</v>
      </c>
      <c r="AO10" s="7" t="b">
        <f>ISNUMBER( IFERROR(VLOOKUP(A10,Pairs!$E$2:$E$57,1,FALSE),FALSE))</f>
        <v>0</v>
      </c>
      <c r="AP10" s="7"/>
      <c r="AQ10" s="7"/>
    </row>
    <row r="11">
      <c r="A11" s="3">
        <v>245.0</v>
      </c>
      <c r="B11" s="4" t="s">
        <v>108</v>
      </c>
      <c r="C11" s="4" t="str">
        <f>VLOOKUP(D11,'slb RAW'!$E:$F,2)</f>
        <v>PLO144500017</v>
      </c>
      <c r="D11" s="4" t="s">
        <v>109</v>
      </c>
      <c r="E11" s="4" t="s">
        <v>110</v>
      </c>
      <c r="F11" s="4" t="s">
        <v>111</v>
      </c>
      <c r="G11" s="4" t="s">
        <v>112</v>
      </c>
      <c r="H11" s="4" t="s">
        <v>112</v>
      </c>
      <c r="I11" s="4" t="s">
        <v>112</v>
      </c>
      <c r="J11" s="4">
        <v>7.45</v>
      </c>
      <c r="K11" s="4" t="s">
        <v>113</v>
      </c>
      <c r="L11" s="4" t="s">
        <v>114</v>
      </c>
      <c r="M11" s="11">
        <v>1.5762</v>
      </c>
      <c r="N11" s="4" t="s">
        <v>115</v>
      </c>
      <c r="O11" s="4" t="s">
        <v>116</v>
      </c>
      <c r="P11" s="4" t="s">
        <v>117</v>
      </c>
      <c r="Q11" s="4" t="s">
        <v>118</v>
      </c>
      <c r="R11" s="4" t="s">
        <v>119</v>
      </c>
      <c r="S11" s="4" t="s">
        <v>54</v>
      </c>
      <c r="T11" s="4" t="s">
        <v>55</v>
      </c>
      <c r="U11" s="4" t="s">
        <v>70</v>
      </c>
      <c r="V11" s="4" t="s">
        <v>71</v>
      </c>
      <c r="W11" s="4">
        <v>2.52336E8</v>
      </c>
      <c r="X11" s="4" t="s">
        <v>120</v>
      </c>
      <c r="Y11" s="4" t="s">
        <v>120</v>
      </c>
      <c r="Z11" s="4" t="s">
        <v>60</v>
      </c>
      <c r="AA11" s="4" t="s">
        <v>121</v>
      </c>
      <c r="AB11" s="4" t="s">
        <v>122</v>
      </c>
      <c r="AC11" s="4" t="s">
        <v>122</v>
      </c>
      <c r="AD11" s="3" t="s">
        <v>123</v>
      </c>
      <c r="AE11" s="8" t="s">
        <v>124</v>
      </c>
      <c r="AF11" s="12"/>
      <c r="AG11" s="4" t="str">
        <f t="shared" si="1"/>
        <v/>
      </c>
      <c r="AH11" s="8" t="s">
        <v>125</v>
      </c>
      <c r="AI11" s="4" t="s">
        <v>126</v>
      </c>
      <c r="AJ11" s="7" t="str">
        <f>VLOOKUP(D11,'slb RAW'!$E$2:$AF$293,9)</f>
        <v>#N/A N/A</v>
      </c>
      <c r="AK11" s="4" t="str">
        <f>VLOOKUP(D11,'slb RAW'!$E$2:$AE$293,27)</f>
        <v>#N/A N/A</v>
      </c>
      <c r="AL11" s="4">
        <f>VLOOKUP(C11,'Refinitiv SLB'!F11:S188,14)</f>
        <v>1.124</v>
      </c>
      <c r="AM11" s="4" t="str">
        <f t="shared" si="2"/>
        <v>#N/A N/A</v>
      </c>
      <c r="AN11" s="9" t="str">
        <f t="shared" si="3"/>
        <v>Tauron Polska Energia SACALLABLEFLOATINGPLNUnsecured</v>
      </c>
      <c r="AO11" s="7" t="b">
        <f>ISNUMBER( IFERROR(VLOOKUP(A11,Pairs!$E$2:$E$57,1,FALSE),FALSE))</f>
        <v>0</v>
      </c>
      <c r="AP11" s="7"/>
      <c r="AQ11" s="7"/>
    </row>
    <row r="12">
      <c r="A12" s="3">
        <v>204.0</v>
      </c>
      <c r="B12" s="4" t="s">
        <v>127</v>
      </c>
      <c r="C12" s="4" t="str">
        <f>VLOOKUP(D12,'slb RAW'!$E:$F,2)</f>
        <v>#N/A Field Not Applicable</v>
      </c>
      <c r="D12" s="4" t="s">
        <v>128</v>
      </c>
      <c r="E12" s="4" t="s">
        <v>129</v>
      </c>
      <c r="F12" s="4" t="s">
        <v>130</v>
      </c>
      <c r="G12" s="4" t="s">
        <v>45</v>
      </c>
      <c r="H12" s="4" t="s">
        <v>45</v>
      </c>
      <c r="I12" s="4" t="s">
        <v>45</v>
      </c>
      <c r="J12" s="4">
        <v>0.0</v>
      </c>
      <c r="K12" s="4" t="s">
        <v>131</v>
      </c>
      <c r="L12" s="4" t="s">
        <v>132</v>
      </c>
      <c r="M12" s="10" t="s">
        <v>48</v>
      </c>
      <c r="N12" s="4" t="s">
        <v>49</v>
      </c>
      <c r="O12" s="4" t="s">
        <v>50</v>
      </c>
      <c r="P12" s="4" t="s">
        <v>76</v>
      </c>
      <c r="Q12" s="4" t="s">
        <v>52</v>
      </c>
      <c r="R12" s="4" t="s">
        <v>53</v>
      </c>
      <c r="S12" s="4" t="s">
        <v>54</v>
      </c>
      <c r="T12" s="4" t="s">
        <v>133</v>
      </c>
      <c r="U12" s="4" t="s">
        <v>70</v>
      </c>
      <c r="V12" s="4" t="s">
        <v>71</v>
      </c>
      <c r="W12" s="4">
        <v>3.0422E8</v>
      </c>
      <c r="X12" s="4" t="s">
        <v>134</v>
      </c>
      <c r="Y12" s="4" t="s">
        <v>135</v>
      </c>
      <c r="Z12" s="4" t="s">
        <v>60</v>
      </c>
      <c r="AA12" s="4" t="s">
        <v>61</v>
      </c>
      <c r="AB12" s="4" t="s">
        <v>136</v>
      </c>
      <c r="AC12" s="4" t="s">
        <v>137</v>
      </c>
      <c r="AD12" s="3" t="s">
        <v>138</v>
      </c>
      <c r="AE12" s="8" t="s">
        <v>139</v>
      </c>
      <c r="AF12" s="12"/>
      <c r="AG12" s="4" t="str">
        <f t="shared" si="1"/>
        <v/>
      </c>
      <c r="AH12" s="8" t="s">
        <v>140</v>
      </c>
      <c r="AI12" s="4" t="s">
        <v>141</v>
      </c>
      <c r="AJ12" s="7" t="str">
        <f>VLOOKUP(D12,'slb RAW'!$E$2:$AF$293,9)</f>
        <v>#N/A N/A</v>
      </c>
      <c r="AK12" s="4" t="str">
        <f>VLOOKUP(D12,'slb RAW'!$E$2:$AE$293,27)</f>
        <v>#N/A N/A</v>
      </c>
      <c r="AL12" s="4" t="str">
        <f>VLOOKUP(C12,'Refinitiv SLB'!F12:S189,14)</f>
        <v>#N/A</v>
      </c>
      <c r="AM12" s="4" t="str">
        <f t="shared" si="2"/>
        <v>#N/A N/A</v>
      </c>
      <c r="AN12" s="9" t="str">
        <f t="shared" si="3"/>
        <v>Puma SEAT MATURITYFLOATINGEURSr Unsecured</v>
      </c>
      <c r="AO12" s="7" t="b">
        <f>ISNUMBER( IFERROR(VLOOKUP(A12,Pairs!$E$2:$E$57,1,FALSE),FALSE))</f>
        <v>1</v>
      </c>
      <c r="AP12" s="7"/>
      <c r="AQ12" s="7"/>
    </row>
    <row r="13">
      <c r="A13" s="3">
        <v>205.0</v>
      </c>
      <c r="B13" s="4" t="s">
        <v>127</v>
      </c>
      <c r="C13" s="4" t="str">
        <f>VLOOKUP(D13,'slb RAW'!$E:$F,2)</f>
        <v>#N/A Field Not Applicable</v>
      </c>
      <c r="D13" s="4" t="s">
        <v>142</v>
      </c>
      <c r="E13" s="4" t="s">
        <v>143</v>
      </c>
      <c r="F13" s="4" t="s">
        <v>130</v>
      </c>
      <c r="G13" s="4" t="s">
        <v>45</v>
      </c>
      <c r="H13" s="4" t="s">
        <v>45</v>
      </c>
      <c r="I13" s="4" t="s">
        <v>45</v>
      </c>
      <c r="J13" s="4">
        <v>0.0</v>
      </c>
      <c r="K13" s="4" t="s">
        <v>131</v>
      </c>
      <c r="L13" s="4" t="s">
        <v>144</v>
      </c>
      <c r="M13" s="10" t="s">
        <v>48</v>
      </c>
      <c r="N13" s="4" t="s">
        <v>49</v>
      </c>
      <c r="O13" s="4" t="s">
        <v>50</v>
      </c>
      <c r="P13" s="4" t="s">
        <v>145</v>
      </c>
      <c r="Q13" s="4" t="s">
        <v>52</v>
      </c>
      <c r="R13" s="4" t="s">
        <v>53</v>
      </c>
      <c r="S13" s="4" t="s">
        <v>54</v>
      </c>
      <c r="T13" s="4" t="s">
        <v>133</v>
      </c>
      <c r="U13" s="4" t="s">
        <v>70</v>
      </c>
      <c r="V13" s="4" t="s">
        <v>71</v>
      </c>
      <c r="W13" s="4">
        <v>3.0422E8</v>
      </c>
      <c r="X13" s="4" t="s">
        <v>134</v>
      </c>
      <c r="Y13" s="4" t="s">
        <v>135</v>
      </c>
      <c r="Z13" s="4" t="s">
        <v>60</v>
      </c>
      <c r="AA13" s="4" t="s">
        <v>61</v>
      </c>
      <c r="AB13" s="4" t="s">
        <v>136</v>
      </c>
      <c r="AC13" s="4" t="s">
        <v>137</v>
      </c>
      <c r="AD13" s="3" t="s">
        <v>146</v>
      </c>
      <c r="AE13" s="8" t="s">
        <v>139</v>
      </c>
      <c r="AF13" s="12"/>
      <c r="AG13" s="4" t="str">
        <f t="shared" si="1"/>
        <v/>
      </c>
      <c r="AH13" s="8" t="s">
        <v>140</v>
      </c>
      <c r="AI13" s="4" t="s">
        <v>141</v>
      </c>
      <c r="AJ13" s="7" t="str">
        <f>VLOOKUP(D13,'slb RAW'!$E$2:$AF$293,9)</f>
        <v>#N/A N/A</v>
      </c>
      <c r="AK13" s="4" t="str">
        <f>VLOOKUP(D13,'slb RAW'!$E$2:$AE$293,27)</f>
        <v>#N/A N/A</v>
      </c>
      <c r="AL13" s="4" t="str">
        <f>VLOOKUP(C13,'Refinitiv SLB'!F13:S190,14)</f>
        <v>#N/A</v>
      </c>
      <c r="AM13" s="4" t="str">
        <f t="shared" si="2"/>
        <v>#N/A N/A</v>
      </c>
      <c r="AN13" s="9" t="str">
        <f t="shared" si="3"/>
        <v>Puma SEAT MATURITYFLOATINGEURSr Unsecured</v>
      </c>
      <c r="AO13" s="7" t="b">
        <f>ISNUMBER( IFERROR(VLOOKUP(A13,Pairs!$E$2:$E$57,1,FALSE),FALSE))</f>
        <v>1</v>
      </c>
      <c r="AP13" s="7"/>
      <c r="AQ13" s="7"/>
    </row>
    <row r="14">
      <c r="A14" s="3">
        <v>56.0</v>
      </c>
      <c r="B14" s="4" t="s">
        <v>41</v>
      </c>
      <c r="C14" s="4" t="str">
        <f>VLOOKUP(D14,'slb RAW'!$E:$F,2)</f>
        <v>#N/A Field Not Applicable</v>
      </c>
      <c r="D14" s="4" t="s">
        <v>147</v>
      </c>
      <c r="E14" s="4" t="s">
        <v>148</v>
      </c>
      <c r="F14" s="4" t="s">
        <v>44</v>
      </c>
      <c r="G14" s="4" t="s">
        <v>45</v>
      </c>
      <c r="H14" s="4" t="s">
        <v>45</v>
      </c>
      <c r="I14" s="4" t="s">
        <v>45</v>
      </c>
      <c r="J14" s="5">
        <v>0.0</v>
      </c>
      <c r="K14" s="4" t="s">
        <v>149</v>
      </c>
      <c r="L14" s="4" t="s">
        <v>150</v>
      </c>
      <c r="M14" s="10" t="s">
        <v>48</v>
      </c>
      <c r="N14" s="4" t="s">
        <v>49</v>
      </c>
      <c r="O14" s="4" t="s">
        <v>50</v>
      </c>
      <c r="P14" s="4" t="s">
        <v>51</v>
      </c>
      <c r="Q14" s="4" t="s">
        <v>52</v>
      </c>
      <c r="R14" s="4" t="s">
        <v>53</v>
      </c>
      <c r="S14" s="4" t="s">
        <v>54</v>
      </c>
      <c r="T14" s="4" t="s">
        <v>55</v>
      </c>
      <c r="U14" s="4" t="s">
        <v>56</v>
      </c>
      <c r="V14" s="4" t="s">
        <v>57</v>
      </c>
      <c r="W14" s="4">
        <v>2.43312E8</v>
      </c>
      <c r="X14" s="4" t="s">
        <v>58</v>
      </c>
      <c r="Y14" s="4" t="s">
        <v>59</v>
      </c>
      <c r="Z14" s="4" t="s">
        <v>60</v>
      </c>
      <c r="AA14" s="4" t="s">
        <v>61</v>
      </c>
      <c r="AB14" s="4" t="s">
        <v>62</v>
      </c>
      <c r="AC14" s="4" t="s">
        <v>62</v>
      </c>
      <c r="AD14" s="3" t="s">
        <v>77</v>
      </c>
      <c r="AE14" s="7">
        <v>5.0</v>
      </c>
      <c r="AF14" s="7">
        <v>5.0</v>
      </c>
      <c r="AG14" s="4" t="str">
        <f t="shared" si="1"/>
        <v>yes</v>
      </c>
      <c r="AH14" s="8" t="s">
        <v>64</v>
      </c>
      <c r="AI14" s="4" t="s">
        <v>151</v>
      </c>
      <c r="AJ14" s="7" t="str">
        <f>VLOOKUP(D14,'slb RAW'!$E$2:$AF$293,9)</f>
        <v>#N/A N/A</v>
      </c>
      <c r="AK14" s="4" t="str">
        <f>VLOOKUP(D14,'slb RAW'!$E$2:$AE$293,27)</f>
        <v>#N/A N/A</v>
      </c>
      <c r="AL14" s="4" t="str">
        <f>VLOOKUP(C14,'Refinitiv SLB'!F14:S191,14)</f>
        <v>#N/A</v>
      </c>
      <c r="AM14" s="4" t="str">
        <f t="shared" si="2"/>
        <v>#N/A N/A</v>
      </c>
      <c r="AN14" s="9" t="str">
        <f t="shared" si="3"/>
        <v>Duerr AGAT MATURITYFIXEDEURSr Unsecured</v>
      </c>
      <c r="AO14" s="7" t="b">
        <f>ISNUMBER( IFERROR(VLOOKUP(A14,Pairs!$E$2:$E$57,1,FALSE),FALSE))</f>
        <v>0</v>
      </c>
      <c r="AP14" s="7"/>
      <c r="AQ14" s="7"/>
    </row>
    <row r="15">
      <c r="A15" s="3">
        <v>57.0</v>
      </c>
      <c r="B15" s="4" t="s">
        <v>41</v>
      </c>
      <c r="C15" s="4" t="str">
        <f>VLOOKUP(D15,'slb RAW'!$E:$F,2)</f>
        <v>#N/A Field Not Applicable</v>
      </c>
      <c r="D15" s="4" t="s">
        <v>152</v>
      </c>
      <c r="E15" s="4" t="s">
        <v>153</v>
      </c>
      <c r="F15" s="4" t="s">
        <v>44</v>
      </c>
      <c r="G15" s="4" t="s">
        <v>45</v>
      </c>
      <c r="H15" s="4" t="s">
        <v>45</v>
      </c>
      <c r="I15" s="4" t="s">
        <v>45</v>
      </c>
      <c r="J15" s="5">
        <v>0.0</v>
      </c>
      <c r="K15" s="4" t="s">
        <v>149</v>
      </c>
      <c r="L15" s="4" t="s">
        <v>154</v>
      </c>
      <c r="M15" s="10" t="s">
        <v>48</v>
      </c>
      <c r="N15" s="4" t="s">
        <v>49</v>
      </c>
      <c r="O15" s="4" t="s">
        <v>50</v>
      </c>
      <c r="P15" s="4" t="s">
        <v>69</v>
      </c>
      <c r="Q15" s="4" t="s">
        <v>52</v>
      </c>
      <c r="R15" s="4" t="s">
        <v>53</v>
      </c>
      <c r="S15" s="4" t="s">
        <v>54</v>
      </c>
      <c r="T15" s="4" t="s">
        <v>55</v>
      </c>
      <c r="U15" s="4" t="s">
        <v>70</v>
      </c>
      <c r="V15" s="4" t="s">
        <v>71</v>
      </c>
      <c r="W15" s="4">
        <v>2.43312E8</v>
      </c>
      <c r="X15" s="4" t="s">
        <v>58</v>
      </c>
      <c r="Y15" s="4" t="s">
        <v>59</v>
      </c>
      <c r="Z15" s="4" t="s">
        <v>60</v>
      </c>
      <c r="AA15" s="4" t="s">
        <v>61</v>
      </c>
      <c r="AB15" s="4" t="s">
        <v>62</v>
      </c>
      <c r="AC15" s="4" t="s">
        <v>62</v>
      </c>
      <c r="AD15" s="3" t="s">
        <v>77</v>
      </c>
      <c r="AE15" s="7">
        <v>5.0</v>
      </c>
      <c r="AF15" s="7">
        <v>5.0</v>
      </c>
      <c r="AG15" s="4" t="str">
        <f t="shared" si="1"/>
        <v>yes</v>
      </c>
      <c r="AH15" s="8" t="s">
        <v>64</v>
      </c>
      <c r="AI15" s="4" t="s">
        <v>151</v>
      </c>
      <c r="AJ15" s="7" t="str">
        <f>VLOOKUP(D15,'slb RAW'!$E$2:$AF$293,9)</f>
        <v>#N/A N/A</v>
      </c>
      <c r="AK15" s="4" t="str">
        <f>VLOOKUP(D15,'slb RAW'!$E$2:$AE$293,27)</f>
        <v>#N/A N/A</v>
      </c>
      <c r="AL15" s="4" t="str">
        <f>VLOOKUP(C15,'Refinitiv SLB'!F15:S192,14)</f>
        <v>#N/A</v>
      </c>
      <c r="AM15" s="4" t="str">
        <f t="shared" si="2"/>
        <v>#N/A N/A</v>
      </c>
      <c r="AN15" s="9" t="str">
        <f t="shared" si="3"/>
        <v>Duerr AGAT MATURITYFLOATINGEURSr Unsecured</v>
      </c>
      <c r="AO15" s="7" t="b">
        <f>ISNUMBER( IFERROR(VLOOKUP(A15,Pairs!$E$2:$E$57,1,FALSE),FALSE))</f>
        <v>0</v>
      </c>
      <c r="AP15" s="7"/>
      <c r="AQ15" s="7"/>
    </row>
    <row r="16">
      <c r="A16" s="3">
        <v>58.0</v>
      </c>
      <c r="B16" s="4" t="s">
        <v>41</v>
      </c>
      <c r="C16" s="4" t="str">
        <f>VLOOKUP(D16,'slb RAW'!$E:$F,2)</f>
        <v>#N/A Field Not Applicable</v>
      </c>
      <c r="D16" s="4" t="s">
        <v>155</v>
      </c>
      <c r="E16" s="4" t="s">
        <v>156</v>
      </c>
      <c r="F16" s="4" t="s">
        <v>44</v>
      </c>
      <c r="G16" s="4" t="s">
        <v>45</v>
      </c>
      <c r="H16" s="4" t="s">
        <v>45</v>
      </c>
      <c r="I16" s="4" t="s">
        <v>45</v>
      </c>
      <c r="J16" s="5">
        <v>0.0</v>
      </c>
      <c r="K16" s="4" t="s">
        <v>149</v>
      </c>
      <c r="L16" s="4" t="s">
        <v>157</v>
      </c>
      <c r="M16" s="10" t="s">
        <v>48</v>
      </c>
      <c r="N16" s="4" t="s">
        <v>49</v>
      </c>
      <c r="O16" s="4" t="s">
        <v>50</v>
      </c>
      <c r="P16" s="4" t="s">
        <v>158</v>
      </c>
      <c r="Q16" s="4" t="s">
        <v>52</v>
      </c>
      <c r="R16" s="4" t="s">
        <v>53</v>
      </c>
      <c r="S16" s="4" t="s">
        <v>54</v>
      </c>
      <c r="T16" s="4" t="s">
        <v>55</v>
      </c>
      <c r="U16" s="4" t="s">
        <v>70</v>
      </c>
      <c r="V16" s="4" t="s">
        <v>71</v>
      </c>
      <c r="W16" s="4">
        <v>2.43312E8</v>
      </c>
      <c r="X16" s="4" t="s">
        <v>58</v>
      </c>
      <c r="Y16" s="4" t="s">
        <v>59</v>
      </c>
      <c r="Z16" s="4" t="s">
        <v>60</v>
      </c>
      <c r="AA16" s="4" t="s">
        <v>61</v>
      </c>
      <c r="AB16" s="4" t="s">
        <v>62</v>
      </c>
      <c r="AC16" s="4" t="s">
        <v>62</v>
      </c>
      <c r="AD16" s="3" t="s">
        <v>77</v>
      </c>
      <c r="AE16" s="7">
        <v>5.0</v>
      </c>
      <c r="AF16" s="7">
        <v>5.0</v>
      </c>
      <c r="AG16" s="4" t="str">
        <f t="shared" si="1"/>
        <v>yes</v>
      </c>
      <c r="AH16" s="8" t="s">
        <v>64</v>
      </c>
      <c r="AI16" s="4" t="s">
        <v>151</v>
      </c>
      <c r="AJ16" s="7" t="str">
        <f>VLOOKUP(D16,'slb RAW'!$E$2:$AF$293,9)</f>
        <v>#N/A N/A</v>
      </c>
      <c r="AK16" s="4" t="str">
        <f>VLOOKUP(D16,'slb RAW'!$E$2:$AE$293,27)</f>
        <v>#N/A N/A</v>
      </c>
      <c r="AL16" s="4" t="str">
        <f>VLOOKUP(C16,'Refinitiv SLB'!F16:S193,14)</f>
        <v>#N/A</v>
      </c>
      <c r="AM16" s="4" t="str">
        <f t="shared" si="2"/>
        <v>#N/A N/A</v>
      </c>
      <c r="AN16" s="9" t="str">
        <f t="shared" si="3"/>
        <v>Duerr AGAT MATURITYFLOATINGEURSr Unsecured</v>
      </c>
      <c r="AO16" s="7" t="b">
        <f>ISNUMBER( IFERROR(VLOOKUP(A16,Pairs!$E$2:$E$57,1,FALSE),FALSE))</f>
        <v>0</v>
      </c>
      <c r="AP16" s="7"/>
      <c r="AQ16" s="7"/>
    </row>
    <row r="17">
      <c r="A17" s="3">
        <v>59.0</v>
      </c>
      <c r="B17" s="4" t="s">
        <v>41</v>
      </c>
      <c r="C17" s="4" t="str">
        <f>VLOOKUP(D17,'slb RAW'!$E:$F,2)</f>
        <v>#N/A Field Not Applicable</v>
      </c>
      <c r="D17" s="4" t="s">
        <v>159</v>
      </c>
      <c r="E17" s="4" t="s">
        <v>160</v>
      </c>
      <c r="F17" s="4" t="s">
        <v>44</v>
      </c>
      <c r="G17" s="4" t="s">
        <v>45</v>
      </c>
      <c r="H17" s="4" t="s">
        <v>45</v>
      </c>
      <c r="I17" s="4" t="s">
        <v>45</v>
      </c>
      <c r="J17" s="5">
        <v>0.0</v>
      </c>
      <c r="K17" s="4" t="s">
        <v>149</v>
      </c>
      <c r="L17" s="4" t="s">
        <v>161</v>
      </c>
      <c r="M17" s="10" t="s">
        <v>48</v>
      </c>
      <c r="N17" s="4" t="s">
        <v>49</v>
      </c>
      <c r="O17" s="4" t="s">
        <v>50</v>
      </c>
      <c r="P17" s="4" t="s">
        <v>162</v>
      </c>
      <c r="Q17" s="4" t="s">
        <v>52</v>
      </c>
      <c r="R17" s="4" t="s">
        <v>53</v>
      </c>
      <c r="S17" s="4" t="s">
        <v>54</v>
      </c>
      <c r="T17" s="4" t="s">
        <v>55</v>
      </c>
      <c r="U17" s="4" t="s">
        <v>70</v>
      </c>
      <c r="V17" s="4" t="s">
        <v>71</v>
      </c>
      <c r="W17" s="4">
        <v>2.43312E8</v>
      </c>
      <c r="X17" s="4" t="s">
        <v>58</v>
      </c>
      <c r="Y17" s="4" t="s">
        <v>59</v>
      </c>
      <c r="Z17" s="4" t="s">
        <v>60</v>
      </c>
      <c r="AA17" s="4" t="s">
        <v>61</v>
      </c>
      <c r="AB17" s="4" t="s">
        <v>62</v>
      </c>
      <c r="AC17" s="4" t="s">
        <v>62</v>
      </c>
      <c r="AD17" s="3" t="s">
        <v>77</v>
      </c>
      <c r="AE17" s="7">
        <v>5.0</v>
      </c>
      <c r="AF17" s="7">
        <v>5.0</v>
      </c>
      <c r="AG17" s="4" t="str">
        <f t="shared" si="1"/>
        <v>yes</v>
      </c>
      <c r="AH17" s="8" t="s">
        <v>64</v>
      </c>
      <c r="AI17" s="4" t="s">
        <v>151</v>
      </c>
      <c r="AJ17" s="7" t="str">
        <f>VLOOKUP(D17,'slb RAW'!$E$2:$AF$293,9)</f>
        <v>#N/A N/A</v>
      </c>
      <c r="AK17" s="4" t="str">
        <f>VLOOKUP(D17,'slb RAW'!$E$2:$AE$293,27)</f>
        <v>#N/A N/A</v>
      </c>
      <c r="AL17" s="4" t="str">
        <f>VLOOKUP(C17,'Refinitiv SLB'!F17:S194,14)</f>
        <v>#N/A</v>
      </c>
      <c r="AM17" s="4" t="str">
        <f t="shared" si="2"/>
        <v>#N/A N/A</v>
      </c>
      <c r="AN17" s="9" t="str">
        <f t="shared" si="3"/>
        <v>Duerr AGAT MATURITYFLOATINGEURSr Unsecured</v>
      </c>
      <c r="AO17" s="7" t="b">
        <f>ISNUMBER( IFERROR(VLOOKUP(A17,Pairs!$E$2:$E$57,1,FALSE),FALSE))</f>
        <v>0</v>
      </c>
      <c r="AP17" s="7"/>
      <c r="AQ17" s="7"/>
    </row>
    <row r="18">
      <c r="A18" s="3">
        <v>60.0</v>
      </c>
      <c r="B18" s="4" t="s">
        <v>41</v>
      </c>
      <c r="C18" s="4" t="str">
        <f>VLOOKUP(D18,'slb RAW'!$E:$F,2)</f>
        <v>#N/A Field Not Applicable</v>
      </c>
      <c r="D18" s="4" t="s">
        <v>163</v>
      </c>
      <c r="E18" s="4" t="s">
        <v>164</v>
      </c>
      <c r="F18" s="4" t="s">
        <v>44</v>
      </c>
      <c r="G18" s="4" t="s">
        <v>45</v>
      </c>
      <c r="H18" s="4" t="s">
        <v>45</v>
      </c>
      <c r="I18" s="4" t="s">
        <v>45</v>
      </c>
      <c r="J18" s="5">
        <v>0.0</v>
      </c>
      <c r="K18" s="4" t="s">
        <v>149</v>
      </c>
      <c r="L18" s="4" t="s">
        <v>165</v>
      </c>
      <c r="M18" s="10" t="s">
        <v>48</v>
      </c>
      <c r="N18" s="4" t="s">
        <v>49</v>
      </c>
      <c r="O18" s="4" t="s">
        <v>50</v>
      </c>
      <c r="P18" s="4" t="s">
        <v>145</v>
      </c>
      <c r="Q18" s="4" t="s">
        <v>52</v>
      </c>
      <c r="R18" s="4" t="s">
        <v>53</v>
      </c>
      <c r="S18" s="4" t="s">
        <v>54</v>
      </c>
      <c r="T18" s="4" t="s">
        <v>55</v>
      </c>
      <c r="U18" s="4" t="s">
        <v>70</v>
      </c>
      <c r="V18" s="4" t="s">
        <v>71</v>
      </c>
      <c r="W18" s="4">
        <v>2.43312E8</v>
      </c>
      <c r="X18" s="4" t="s">
        <v>58</v>
      </c>
      <c r="Y18" s="4" t="s">
        <v>59</v>
      </c>
      <c r="Z18" s="4" t="s">
        <v>60</v>
      </c>
      <c r="AA18" s="4" t="s">
        <v>61</v>
      </c>
      <c r="AB18" s="4" t="s">
        <v>62</v>
      </c>
      <c r="AC18" s="4" t="s">
        <v>62</v>
      </c>
      <c r="AD18" s="3" t="s">
        <v>77</v>
      </c>
      <c r="AE18" s="7">
        <v>5.0</v>
      </c>
      <c r="AF18" s="7">
        <v>5.0</v>
      </c>
      <c r="AG18" s="4" t="str">
        <f t="shared" si="1"/>
        <v>yes</v>
      </c>
      <c r="AH18" s="8" t="s">
        <v>64</v>
      </c>
      <c r="AI18" s="4" t="s">
        <v>151</v>
      </c>
      <c r="AJ18" s="7" t="str">
        <f>VLOOKUP(D18,'slb RAW'!$E$2:$AF$293,9)</f>
        <v>#N/A N/A</v>
      </c>
      <c r="AK18" s="4" t="str">
        <f>VLOOKUP(D18,'slb RAW'!$E$2:$AE$293,27)</f>
        <v>#N/A N/A</v>
      </c>
      <c r="AL18" s="4" t="str">
        <f>VLOOKUP(C18,'Refinitiv SLB'!F18:S195,14)</f>
        <v>#N/A</v>
      </c>
      <c r="AM18" s="4" t="str">
        <f t="shared" si="2"/>
        <v>#N/A N/A</v>
      </c>
      <c r="AN18" s="9" t="str">
        <f t="shared" si="3"/>
        <v>Duerr AGAT MATURITYFLOATINGEURSr Unsecured</v>
      </c>
      <c r="AO18" s="7" t="b">
        <f>ISNUMBER( IFERROR(VLOOKUP(A18,Pairs!$E$2:$E$57,1,FALSE),FALSE))</f>
        <v>0</v>
      </c>
      <c r="AP18" s="7"/>
      <c r="AQ18" s="7"/>
    </row>
    <row r="19">
      <c r="A19" s="3">
        <v>131.0</v>
      </c>
      <c r="B19" s="4" t="s">
        <v>166</v>
      </c>
      <c r="C19" s="4" t="str">
        <f>VLOOKUP(D19,'slb RAW'!$E:$F,2)</f>
        <v>XS2261215011</v>
      </c>
      <c r="D19" s="4" t="s">
        <v>167</v>
      </c>
      <c r="E19" s="4" t="s">
        <v>168</v>
      </c>
      <c r="F19" s="4" t="s">
        <v>169</v>
      </c>
      <c r="G19" s="4" t="s">
        <v>170</v>
      </c>
      <c r="H19" s="4" t="s">
        <v>170</v>
      </c>
      <c r="I19" s="4" t="s">
        <v>171</v>
      </c>
      <c r="J19" s="4">
        <v>0.5</v>
      </c>
      <c r="K19" s="4" t="s">
        <v>172</v>
      </c>
      <c r="L19" s="4" t="s">
        <v>173</v>
      </c>
      <c r="M19" s="13">
        <v>0.5156</v>
      </c>
      <c r="N19" s="4" t="s">
        <v>115</v>
      </c>
      <c r="O19" s="4" t="s">
        <v>116</v>
      </c>
      <c r="P19" s="4" t="s">
        <v>174</v>
      </c>
      <c r="Q19" s="4" t="s">
        <v>52</v>
      </c>
      <c r="R19" s="4" t="s">
        <v>53</v>
      </c>
      <c r="S19" s="4" t="s">
        <v>175</v>
      </c>
      <c r="T19" s="4" t="s">
        <v>55</v>
      </c>
      <c r="U19" s="4" t="s">
        <v>56</v>
      </c>
      <c r="V19" s="4" t="s">
        <v>57</v>
      </c>
      <c r="W19" s="4">
        <v>1.0065105E9</v>
      </c>
      <c r="X19" s="4" t="s">
        <v>85</v>
      </c>
      <c r="Y19" s="4" t="s">
        <v>176</v>
      </c>
      <c r="Z19" s="4" t="s">
        <v>60</v>
      </c>
      <c r="AA19" s="4" t="s">
        <v>61</v>
      </c>
      <c r="AB19" s="4" t="s">
        <v>177</v>
      </c>
      <c r="AC19" s="4" t="s">
        <v>178</v>
      </c>
      <c r="AD19" s="3" t="s">
        <v>179</v>
      </c>
      <c r="AE19" s="7">
        <v>75.0</v>
      </c>
      <c r="AF19" s="12"/>
      <c r="AG19" s="4" t="str">
        <f t="shared" si="1"/>
        <v/>
      </c>
      <c r="AH19" s="8" t="s">
        <v>125</v>
      </c>
      <c r="AI19" s="4" t="s">
        <v>180</v>
      </c>
      <c r="AJ19" s="7" t="str">
        <f>VLOOKUP(D19,'slb RAW'!$E$2:$AF$293,9)</f>
        <v>#N/A N/A</v>
      </c>
      <c r="AK19" s="4">
        <f>VLOOKUP(D19,'slb RAW'!$E$2:$AE$293,27)</f>
        <v>0.477</v>
      </c>
      <c r="AL19" s="4">
        <f>VLOOKUP(C19,'Refinitiv SLB'!F19:S196,14)</f>
        <v>6.3234</v>
      </c>
      <c r="AM19" s="4">
        <f t="shared" si="2"/>
        <v>0.477</v>
      </c>
      <c r="AN19" s="9" t="str">
        <f t="shared" si="3"/>
        <v>Holcim Finance Luxembourg SACALLABLEFIXEDEURSr Unsecured</v>
      </c>
      <c r="AO19" s="7" t="b">
        <f>ISNUMBER( IFERROR(VLOOKUP(A19,Pairs!$E$2:$E$57,1,FALSE),FALSE))</f>
        <v>1</v>
      </c>
      <c r="AP19" s="7"/>
      <c r="AQ19" s="7"/>
    </row>
    <row r="20">
      <c r="A20" s="3">
        <v>236.0</v>
      </c>
      <c r="B20" s="4" t="s">
        <v>181</v>
      </c>
      <c r="C20" s="4" t="str">
        <f>VLOOKUP(D20,'slb RAW'!$E:$F,2)</f>
        <v>FR0014000OG2</v>
      </c>
      <c r="D20" s="4" t="s">
        <v>182</v>
      </c>
      <c r="E20" s="4" t="s">
        <v>183</v>
      </c>
      <c r="F20" s="4" t="s">
        <v>184</v>
      </c>
      <c r="G20" s="4" t="s">
        <v>185</v>
      </c>
      <c r="H20" s="4" t="s">
        <v>185</v>
      </c>
      <c r="I20" s="4" t="s">
        <v>186</v>
      </c>
      <c r="J20" s="4">
        <v>0.0</v>
      </c>
      <c r="K20" s="4" t="s">
        <v>187</v>
      </c>
      <c r="L20" s="4" t="s">
        <v>188</v>
      </c>
      <c r="M20" s="11">
        <v>-1.5368</v>
      </c>
      <c r="N20" s="4" t="s">
        <v>189</v>
      </c>
      <c r="O20" s="4" t="s">
        <v>50</v>
      </c>
      <c r="P20" s="4" t="s">
        <v>174</v>
      </c>
      <c r="Q20" s="4" t="s">
        <v>52</v>
      </c>
      <c r="R20" s="4" t="s">
        <v>53</v>
      </c>
      <c r="S20" s="4" t="s">
        <v>190</v>
      </c>
      <c r="T20" s="4" t="s">
        <v>133</v>
      </c>
      <c r="U20" s="4" t="s">
        <v>56</v>
      </c>
      <c r="V20" s="4" t="s">
        <v>57</v>
      </c>
      <c r="W20" s="4">
        <v>7.71725523365E8</v>
      </c>
      <c r="X20" s="4" t="s">
        <v>58</v>
      </c>
      <c r="Y20" s="4" t="s">
        <v>191</v>
      </c>
      <c r="Z20" s="4" t="s">
        <v>60</v>
      </c>
      <c r="AA20" s="4" t="s">
        <v>61</v>
      </c>
      <c r="AB20" s="4" t="s">
        <v>177</v>
      </c>
      <c r="AC20" s="4" t="s">
        <v>192</v>
      </c>
      <c r="AD20" s="3" t="s">
        <v>193</v>
      </c>
      <c r="AE20" s="8" t="s">
        <v>194</v>
      </c>
      <c r="AF20" s="12"/>
      <c r="AG20" s="4" t="str">
        <f t="shared" si="1"/>
        <v/>
      </c>
      <c r="AH20" s="8" t="s">
        <v>140</v>
      </c>
      <c r="AI20" s="4" t="s">
        <v>195</v>
      </c>
      <c r="AJ20" s="7" t="str">
        <f>VLOOKUP(D20,'slb RAW'!$E$2:$AF$293,9)</f>
        <v>#N/A N/A</v>
      </c>
      <c r="AK20" s="4">
        <f>VLOOKUP(D20,'slb RAW'!$E$2:$AE$293,27)</f>
        <v>-1.472</v>
      </c>
      <c r="AL20" s="4" t="str">
        <f>VLOOKUP(C20,'Refinitiv SLB'!F20:S197,14)</f>
        <v>#N/A</v>
      </c>
      <c r="AM20" s="4">
        <f t="shared" si="2"/>
        <v>-1.472</v>
      </c>
      <c r="AN20" s="9" t="str">
        <f t="shared" si="3"/>
        <v>Schneider Electric SECONVERTIBLEFIXEDEURSr Unsecured</v>
      </c>
      <c r="AO20" s="7" t="b">
        <f>ISNUMBER( IFERROR(VLOOKUP(A20,Pairs!$E$2:$E$57,1,FALSE),FALSE))</f>
        <v>0</v>
      </c>
      <c r="AP20" s="7"/>
      <c r="AQ20" s="7"/>
    </row>
    <row r="21" ht="15.75" customHeight="1">
      <c r="A21" s="3">
        <v>265.0</v>
      </c>
      <c r="B21" s="4" t="s">
        <v>196</v>
      </c>
      <c r="C21" s="4" t="str">
        <f>VLOOKUP(D21,'slb RAW'!$E:$F,2)</f>
        <v>XS2254184547</v>
      </c>
      <c r="D21" s="4" t="s">
        <v>197</v>
      </c>
      <c r="E21" s="4" t="s">
        <v>198</v>
      </c>
      <c r="F21" s="4" t="s">
        <v>199</v>
      </c>
      <c r="G21" s="4" t="s">
        <v>200</v>
      </c>
      <c r="H21" s="4" t="s">
        <v>200</v>
      </c>
      <c r="I21" s="4" t="s">
        <v>200</v>
      </c>
      <c r="J21" s="4">
        <v>3.25</v>
      </c>
      <c r="K21" s="4" t="s">
        <v>201</v>
      </c>
      <c r="L21" s="4" t="s">
        <v>202</v>
      </c>
      <c r="M21" s="11">
        <v>3.4587</v>
      </c>
      <c r="N21" s="4" t="s">
        <v>49</v>
      </c>
      <c r="O21" s="4" t="s">
        <v>50</v>
      </c>
      <c r="P21" s="4" t="s">
        <v>174</v>
      </c>
      <c r="Q21" s="4" t="s">
        <v>52</v>
      </c>
      <c r="R21" s="4" t="s">
        <v>53</v>
      </c>
      <c r="S21" s="4" t="s">
        <v>54</v>
      </c>
      <c r="T21" s="4" t="s">
        <v>55</v>
      </c>
      <c r="U21" s="4" t="s">
        <v>56</v>
      </c>
      <c r="V21" s="4" t="s">
        <v>57</v>
      </c>
      <c r="W21" s="4">
        <v>1.20724E8</v>
      </c>
      <c r="X21" s="4" t="s">
        <v>120</v>
      </c>
      <c r="Y21" s="4" t="s">
        <v>120</v>
      </c>
      <c r="Z21" s="4" t="s">
        <v>203</v>
      </c>
      <c r="AA21" s="4" t="s">
        <v>204</v>
      </c>
      <c r="AB21" s="4" t="s">
        <v>204</v>
      </c>
      <c r="AC21" s="4" t="s">
        <v>204</v>
      </c>
      <c r="AD21" s="3" t="s">
        <v>205</v>
      </c>
      <c r="AE21" s="7">
        <v>10.0</v>
      </c>
      <c r="AF21" s="12"/>
      <c r="AG21" s="4" t="str">
        <f t="shared" si="1"/>
        <v/>
      </c>
      <c r="AH21" s="8" t="s">
        <v>64</v>
      </c>
      <c r="AI21" s="4" t="s">
        <v>206</v>
      </c>
      <c r="AJ21" s="7" t="str">
        <f>VLOOKUP(D21,'slb RAW'!$E$2:$AF$293,9)</f>
        <v>#N/A N/A</v>
      </c>
      <c r="AK21" s="4" t="str">
        <f>VLOOKUP(D21,'slb RAW'!$E$2:$AE$293,27)</f>
        <v>#N/A N/A</v>
      </c>
      <c r="AL21" s="4" t="str">
        <f>VLOOKUP(C21,'Refinitiv SLB'!F21:S198,14)</f>
        <v>#N/A</v>
      </c>
      <c r="AM21" s="4" t="str">
        <f t="shared" si="2"/>
        <v>#N/A N/A</v>
      </c>
      <c r="AN21" s="9" t="str">
        <f t="shared" si="3"/>
        <v>Veneziana Energia Risorse Idriche Territorio Ambiente Servizi SpAAT MATURITYFIXEDEURSr Unsecured</v>
      </c>
      <c r="AO21" s="7" t="b">
        <f>ISNUMBER( IFERROR(VLOOKUP(A21,Pairs!$E$2:$E$57,1,FALSE),FALSE))</f>
        <v>0</v>
      </c>
      <c r="AP21" s="7"/>
      <c r="AQ21" s="7"/>
    </row>
    <row r="22" ht="15.75" customHeight="1">
      <c r="A22" s="3">
        <v>200.0</v>
      </c>
      <c r="B22" s="4" t="s">
        <v>207</v>
      </c>
      <c r="C22" s="4" t="str">
        <f>VLOOKUP(D22,'slb RAW'!$E:$F,2)</f>
        <v>PLPKN0000208</v>
      </c>
      <c r="D22" s="4" t="s">
        <v>208</v>
      </c>
      <c r="E22" s="4" t="s">
        <v>209</v>
      </c>
      <c r="F22" s="4" t="s">
        <v>210</v>
      </c>
      <c r="G22" s="4" t="s">
        <v>112</v>
      </c>
      <c r="H22" s="4" t="s">
        <v>112</v>
      </c>
      <c r="I22" s="4" t="s">
        <v>112</v>
      </c>
      <c r="J22" s="4">
        <v>3.56</v>
      </c>
      <c r="K22" s="4" t="s">
        <v>211</v>
      </c>
      <c r="L22" s="4" t="s">
        <v>212</v>
      </c>
      <c r="M22" s="11">
        <v>1.1267</v>
      </c>
      <c r="N22" s="4" t="s">
        <v>49</v>
      </c>
      <c r="O22" s="4" t="s">
        <v>50</v>
      </c>
      <c r="P22" s="4" t="s">
        <v>213</v>
      </c>
      <c r="Q22" s="4" t="s">
        <v>52</v>
      </c>
      <c r="R22" s="4" t="s">
        <v>119</v>
      </c>
      <c r="S22" s="4" t="s">
        <v>190</v>
      </c>
      <c r="T22" s="4" t="s">
        <v>175</v>
      </c>
      <c r="U22" s="4" t="s">
        <v>70</v>
      </c>
      <c r="V22" s="4" t="s">
        <v>71</v>
      </c>
      <c r="W22" s="4">
        <v>2.70133E8</v>
      </c>
      <c r="X22" s="4" t="s">
        <v>214</v>
      </c>
      <c r="Y22" s="4" t="s">
        <v>215</v>
      </c>
      <c r="Z22" s="4" t="s">
        <v>60</v>
      </c>
      <c r="AA22" s="4" t="s">
        <v>61</v>
      </c>
      <c r="AB22" s="4" t="s">
        <v>214</v>
      </c>
      <c r="AC22" s="4" t="s">
        <v>216</v>
      </c>
      <c r="AD22" s="3" t="s">
        <v>217</v>
      </c>
      <c r="AE22" s="8" t="s">
        <v>124</v>
      </c>
      <c r="AF22" s="12"/>
      <c r="AG22" s="4" t="str">
        <f t="shared" si="1"/>
        <v/>
      </c>
      <c r="AH22" s="8" t="s">
        <v>64</v>
      </c>
      <c r="AI22" s="4" t="s">
        <v>218</v>
      </c>
      <c r="AJ22" s="7" t="str">
        <f>VLOOKUP(D22,'slb RAW'!$E$2:$AF$293,9)</f>
        <v>#N/A N/A</v>
      </c>
      <c r="AK22" s="4">
        <f>VLOOKUP(D22,'slb RAW'!$E$2:$AE$293,27)</f>
        <v>1.149</v>
      </c>
      <c r="AL22" s="4">
        <f>VLOOKUP(C22,'Refinitiv SLB'!F22:S199,14)</f>
        <v>1.008</v>
      </c>
      <c r="AM22" s="4">
        <f t="shared" si="2"/>
        <v>1.149</v>
      </c>
      <c r="AN22" s="9" t="str">
        <f t="shared" si="3"/>
        <v>Polski Koncern Naftowy ORLEN SAAT MATURITYFLOATINGPLNSr Unsecured</v>
      </c>
      <c r="AO22" s="7" t="b">
        <f>ISNUMBER( IFERROR(VLOOKUP(A22,Pairs!$E$2:$E$57,1,FALSE),FALSE))</f>
        <v>0</v>
      </c>
      <c r="AP22" s="7"/>
      <c r="AQ22" s="7"/>
    </row>
    <row r="23" ht="15.75" customHeight="1">
      <c r="A23" s="3">
        <v>199.0</v>
      </c>
      <c r="B23" s="4" t="s">
        <v>219</v>
      </c>
      <c r="C23" s="4" t="str">
        <f>VLOOKUP(D23,'slb RAW'!$E:$F,2)</f>
        <v>ES0205072020</v>
      </c>
      <c r="D23" s="4" t="s">
        <v>220</v>
      </c>
      <c r="E23" s="4" t="s">
        <v>221</v>
      </c>
      <c r="F23" s="4" t="s">
        <v>222</v>
      </c>
      <c r="G23" s="4" t="s">
        <v>223</v>
      </c>
      <c r="H23" s="4" t="s">
        <v>223</v>
      </c>
      <c r="I23" s="4" t="s">
        <v>223</v>
      </c>
      <c r="J23" s="4">
        <v>5.15</v>
      </c>
      <c r="K23" s="4" t="s">
        <v>224</v>
      </c>
      <c r="L23" s="4" t="s">
        <v>225</v>
      </c>
      <c r="M23" s="11">
        <v>4.8481</v>
      </c>
      <c r="N23" s="4" t="s">
        <v>49</v>
      </c>
      <c r="O23" s="4" t="s">
        <v>50</v>
      </c>
      <c r="P23" s="4" t="s">
        <v>226</v>
      </c>
      <c r="Q23" s="4" t="s">
        <v>52</v>
      </c>
      <c r="R23" s="4" t="s">
        <v>53</v>
      </c>
      <c r="S23" s="4" t="s">
        <v>54</v>
      </c>
      <c r="T23" s="4" t="s">
        <v>55</v>
      </c>
      <c r="U23" s="4" t="s">
        <v>56</v>
      </c>
      <c r="V23" s="4" t="s">
        <v>57</v>
      </c>
      <c r="W23" s="4">
        <v>2.185848E7</v>
      </c>
      <c r="X23" s="4" t="s">
        <v>134</v>
      </c>
      <c r="Y23" s="4" t="s">
        <v>227</v>
      </c>
      <c r="Z23" s="4" t="s">
        <v>60</v>
      </c>
      <c r="AA23" s="4" t="s">
        <v>61</v>
      </c>
      <c r="AB23" s="4" t="s">
        <v>228</v>
      </c>
      <c r="AC23" s="4" t="s">
        <v>229</v>
      </c>
      <c r="AD23" s="3" t="s">
        <v>230</v>
      </c>
      <c r="AE23" s="7">
        <v>25.0</v>
      </c>
      <c r="AF23" s="12"/>
      <c r="AG23" s="4" t="str">
        <f t="shared" si="1"/>
        <v/>
      </c>
      <c r="AH23" s="8" t="s">
        <v>125</v>
      </c>
      <c r="AI23" s="4" t="s">
        <v>231</v>
      </c>
      <c r="AJ23" s="7" t="str">
        <f>VLOOKUP(D23,'slb RAW'!$E$2:$AF$293,9)</f>
        <v>#N/A N/A</v>
      </c>
      <c r="AK23" s="4" t="str">
        <f>VLOOKUP(D23,'slb RAW'!$E$2:$AE$293,27)</f>
        <v>#N/A N/A</v>
      </c>
      <c r="AL23" s="4" t="str">
        <f>VLOOKUP(C23,'Refinitiv SLB'!F23:S200,14)</f>
        <v>#N/A</v>
      </c>
      <c r="AM23" s="4" t="str">
        <f t="shared" si="2"/>
        <v>#N/A N/A</v>
      </c>
      <c r="AN23" s="9" t="str">
        <f t="shared" si="3"/>
        <v>Pikolin SLAT MATURITYFIXEDEURSr Unsecured</v>
      </c>
      <c r="AO23" s="7" t="b">
        <f>ISNUMBER( IFERROR(VLOOKUP(A23,Pairs!$E$2:$E$57,1,FALSE),FALSE))</f>
        <v>0</v>
      </c>
      <c r="AP23" s="7"/>
      <c r="AQ23" s="7"/>
    </row>
    <row r="24" ht="15.75" customHeight="1">
      <c r="A24" s="3">
        <v>10.0</v>
      </c>
      <c r="B24" s="14" t="s">
        <v>232</v>
      </c>
      <c r="C24" s="4" t="str">
        <f>VLOOKUP(D24,'slb RAW'!$E:$F,2)</f>
        <v>FR0014000X03</v>
      </c>
      <c r="D24" s="4" t="s">
        <v>233</v>
      </c>
      <c r="E24" s="4" t="s">
        <v>234</v>
      </c>
      <c r="F24" s="4" t="s">
        <v>235</v>
      </c>
      <c r="G24" s="4" t="s">
        <v>185</v>
      </c>
      <c r="H24" s="4" t="s">
        <v>185</v>
      </c>
      <c r="I24" s="4" t="s">
        <v>185</v>
      </c>
      <c r="J24" s="4">
        <v>2.85</v>
      </c>
      <c r="K24" s="4" t="s">
        <v>236</v>
      </c>
      <c r="L24" s="4" t="s">
        <v>237</v>
      </c>
      <c r="M24" s="10" t="s">
        <v>48</v>
      </c>
      <c r="N24" s="4" t="s">
        <v>49</v>
      </c>
      <c r="O24" s="4" t="s">
        <v>50</v>
      </c>
      <c r="P24" s="4" t="s">
        <v>174</v>
      </c>
      <c r="Q24" s="4" t="s">
        <v>52</v>
      </c>
      <c r="R24" s="4" t="s">
        <v>53</v>
      </c>
      <c r="S24" s="4" t="s">
        <v>54</v>
      </c>
      <c r="T24" s="4" t="s">
        <v>55</v>
      </c>
      <c r="U24" s="4" t="s">
        <v>56</v>
      </c>
      <c r="V24" s="4" t="s">
        <v>57</v>
      </c>
      <c r="W24" s="4">
        <v>6.06655E7</v>
      </c>
      <c r="X24" s="4" t="s">
        <v>120</v>
      </c>
      <c r="Y24" s="4" t="s">
        <v>238</v>
      </c>
      <c r="Z24" s="4" t="s">
        <v>60</v>
      </c>
      <c r="AA24" s="4" t="s">
        <v>121</v>
      </c>
      <c r="AB24" s="4" t="s">
        <v>122</v>
      </c>
      <c r="AC24" s="4" t="s">
        <v>122</v>
      </c>
      <c r="AD24" s="3" t="s">
        <v>239</v>
      </c>
      <c r="AE24" s="8" t="s">
        <v>139</v>
      </c>
      <c r="AF24" s="12"/>
      <c r="AG24" s="4" t="str">
        <f t="shared" si="1"/>
        <v/>
      </c>
      <c r="AH24" s="12"/>
      <c r="AI24" s="4" t="s">
        <v>240</v>
      </c>
      <c r="AJ24" s="7" t="str">
        <f>VLOOKUP(D24,'slb RAW'!$E$2:$AF$293,9)</f>
        <v>#N/A N/A</v>
      </c>
      <c r="AK24" s="4" t="str">
        <f>VLOOKUP(D24,'slb RAW'!$E$2:$AE$293,27)</f>
        <v>#N/A N/A</v>
      </c>
      <c r="AL24" s="4" t="str">
        <f>VLOOKUP(C24,'Refinitiv SLB'!F24:S201,14)</f>
        <v/>
      </c>
      <c r="AM24" s="4" t="str">
        <f t="shared" si="2"/>
        <v>#N/A N/A</v>
      </c>
      <c r="AN24" s="9" t="str">
        <f t="shared" si="3"/>
        <v>Albioma SAAT MATURITYFIXEDEURSr Unsecured</v>
      </c>
      <c r="AO24" s="7" t="b">
        <f>ISNUMBER( IFERROR(VLOOKUP(A24,Pairs!$E$2:$E$57,1,FALSE),FALSE))</f>
        <v>0</v>
      </c>
      <c r="AP24" s="7"/>
      <c r="AQ24" s="7"/>
    </row>
    <row r="25" ht="15.75" customHeight="1">
      <c r="A25" s="3">
        <v>11.0</v>
      </c>
      <c r="B25" s="14" t="s">
        <v>232</v>
      </c>
      <c r="C25" s="4" t="str">
        <f>VLOOKUP(D25,'slb RAW'!$E:$F,2)</f>
        <v>FR0014000X11</v>
      </c>
      <c r="D25" s="4" t="s">
        <v>241</v>
      </c>
      <c r="E25" s="4" t="s">
        <v>242</v>
      </c>
      <c r="F25" s="4" t="s">
        <v>235</v>
      </c>
      <c r="G25" s="4" t="s">
        <v>185</v>
      </c>
      <c r="H25" s="4" t="s">
        <v>185</v>
      </c>
      <c r="I25" s="4" t="s">
        <v>185</v>
      </c>
      <c r="J25" s="4">
        <v>3.0</v>
      </c>
      <c r="K25" s="4" t="s">
        <v>236</v>
      </c>
      <c r="L25" s="4" t="s">
        <v>243</v>
      </c>
      <c r="M25" s="10" t="s">
        <v>48</v>
      </c>
      <c r="N25" s="4" t="s">
        <v>49</v>
      </c>
      <c r="O25" s="4" t="s">
        <v>50</v>
      </c>
      <c r="P25" s="4" t="s">
        <v>174</v>
      </c>
      <c r="Q25" s="4" t="s">
        <v>52</v>
      </c>
      <c r="R25" s="4" t="s">
        <v>53</v>
      </c>
      <c r="S25" s="4" t="s">
        <v>54</v>
      </c>
      <c r="T25" s="4" t="s">
        <v>55</v>
      </c>
      <c r="U25" s="4" t="s">
        <v>56</v>
      </c>
      <c r="V25" s="4" t="s">
        <v>57</v>
      </c>
      <c r="W25" s="4">
        <v>6.06655E7</v>
      </c>
      <c r="X25" s="4" t="s">
        <v>120</v>
      </c>
      <c r="Y25" s="4" t="s">
        <v>238</v>
      </c>
      <c r="Z25" s="4" t="s">
        <v>60</v>
      </c>
      <c r="AA25" s="4" t="s">
        <v>121</v>
      </c>
      <c r="AB25" s="4" t="s">
        <v>122</v>
      </c>
      <c r="AC25" s="4" t="s">
        <v>122</v>
      </c>
      <c r="AD25" s="3" t="s">
        <v>239</v>
      </c>
      <c r="AE25" s="8" t="s">
        <v>139</v>
      </c>
      <c r="AF25" s="12"/>
      <c r="AG25" s="4" t="str">
        <f t="shared" si="1"/>
        <v/>
      </c>
      <c r="AH25" s="12"/>
      <c r="AI25" s="4" t="s">
        <v>244</v>
      </c>
      <c r="AJ25" s="7" t="str">
        <f>VLOOKUP(D25,'slb RAW'!$E$2:$AF$293,9)</f>
        <v>#N/A N/A</v>
      </c>
      <c r="AK25" s="4" t="str">
        <f>VLOOKUP(D25,'slb RAW'!$E$2:$AE$293,27)</f>
        <v>#N/A N/A</v>
      </c>
      <c r="AL25" s="4" t="str">
        <f>VLOOKUP(C25,'Refinitiv SLB'!F25:S202,14)</f>
        <v>#N/A</v>
      </c>
      <c r="AM25" s="4" t="str">
        <f t="shared" si="2"/>
        <v>#N/A N/A</v>
      </c>
      <c r="AN25" s="9" t="str">
        <f t="shared" si="3"/>
        <v>Albioma SAAT MATURITYFIXEDEURSr Unsecured</v>
      </c>
      <c r="AO25" s="7" t="b">
        <f>ISNUMBER( IFERROR(VLOOKUP(A25,Pairs!$E$2:$E$57,1,FALSE),FALSE))</f>
        <v>0</v>
      </c>
      <c r="AP25" s="7"/>
      <c r="AQ25" s="7"/>
    </row>
    <row r="26" ht="15.75" customHeight="1">
      <c r="A26" s="3">
        <v>40.0</v>
      </c>
      <c r="B26" s="4" t="s">
        <v>245</v>
      </c>
      <c r="C26" s="4" t="str">
        <f>VLOOKUP(D26,'slb RAW'!$E:$F,2)</f>
        <v>FR0014000SC2</v>
      </c>
      <c r="D26" s="4" t="s">
        <v>246</v>
      </c>
      <c r="E26" s="4" t="s">
        <v>247</v>
      </c>
      <c r="F26" s="4" t="s">
        <v>248</v>
      </c>
      <c r="G26" s="4" t="s">
        <v>185</v>
      </c>
      <c r="H26" s="4" t="s">
        <v>185</v>
      </c>
      <c r="I26" s="4" t="s">
        <v>185</v>
      </c>
      <c r="J26" s="4">
        <v>3.25</v>
      </c>
      <c r="K26" s="4" t="s">
        <v>249</v>
      </c>
      <c r="L26" s="4" t="s">
        <v>250</v>
      </c>
      <c r="M26" s="10" t="s">
        <v>48</v>
      </c>
      <c r="N26" s="4" t="s">
        <v>49</v>
      </c>
      <c r="O26" s="4" t="s">
        <v>50</v>
      </c>
      <c r="P26" s="4" t="s">
        <v>174</v>
      </c>
      <c r="Q26" s="4" t="s">
        <v>52</v>
      </c>
      <c r="R26" s="4" t="s">
        <v>53</v>
      </c>
      <c r="S26" s="4" t="s">
        <v>54</v>
      </c>
      <c r="T26" s="4" t="s">
        <v>55</v>
      </c>
      <c r="U26" s="4" t="s">
        <v>56</v>
      </c>
      <c r="V26" s="4" t="s">
        <v>57</v>
      </c>
      <c r="W26" s="4">
        <v>1.21575E8</v>
      </c>
      <c r="X26" s="4" t="s">
        <v>134</v>
      </c>
      <c r="Y26" s="4" t="s">
        <v>135</v>
      </c>
      <c r="Z26" s="4" t="s">
        <v>60</v>
      </c>
      <c r="AA26" s="4" t="s">
        <v>61</v>
      </c>
      <c r="AB26" s="4" t="s">
        <v>136</v>
      </c>
      <c r="AC26" s="4" t="s">
        <v>137</v>
      </c>
      <c r="AD26" s="3" t="s">
        <v>251</v>
      </c>
      <c r="AE26" s="8" t="s">
        <v>139</v>
      </c>
      <c r="AF26" s="12"/>
      <c r="AG26" s="4" t="str">
        <f t="shared" si="1"/>
        <v/>
      </c>
      <c r="AH26" s="8" t="s">
        <v>252</v>
      </c>
      <c r="AI26" s="4" t="s">
        <v>253</v>
      </c>
      <c r="AJ26" s="7" t="str">
        <f>VLOOKUP(D26,'slb RAW'!$E$2:$AF$293,9)</f>
        <v>#N/A N/A</v>
      </c>
      <c r="AK26" s="4" t="str">
        <f>VLOOKUP(D26,'slb RAW'!$E$2:$AE$293,27)</f>
        <v>#N/A N/A</v>
      </c>
      <c r="AL26" s="4" t="str">
        <f>VLOOKUP(C26,'Refinitiv SLB'!F26:S203,14)</f>
        <v>#N/A</v>
      </c>
      <c r="AM26" s="4" t="str">
        <f t="shared" si="2"/>
        <v>#N/A N/A</v>
      </c>
      <c r="AN26" s="9" t="str">
        <f t="shared" si="3"/>
        <v>Chargeurs SAAT MATURITYFIXEDEURSr Unsecured</v>
      </c>
      <c r="AO26" s="7" t="b">
        <f>ISNUMBER( IFERROR(VLOOKUP(A26,Pairs!$E$2:$E$57,1,FALSE),FALSE))</f>
        <v>0</v>
      </c>
      <c r="AP26" s="7"/>
      <c r="AQ26" s="7"/>
    </row>
    <row r="27" ht="15.75" customHeight="1">
      <c r="A27" s="3">
        <v>157.0</v>
      </c>
      <c r="B27" s="4" t="s">
        <v>254</v>
      </c>
      <c r="C27" s="4" t="str">
        <f>VLOOKUP(D27,'slb RAW'!$E:$F,2)</f>
        <v>US49836AAC80</v>
      </c>
      <c r="D27" s="4" t="s">
        <v>255</v>
      </c>
      <c r="E27" s="4" t="s">
        <v>256</v>
      </c>
      <c r="F27" s="4" t="s">
        <v>257</v>
      </c>
      <c r="G27" s="4" t="s">
        <v>258</v>
      </c>
      <c r="H27" s="4" t="s">
        <v>258</v>
      </c>
      <c r="I27" s="4" t="s">
        <v>259</v>
      </c>
      <c r="J27" s="4">
        <v>3.2</v>
      </c>
      <c r="K27" s="4" t="s">
        <v>260</v>
      </c>
      <c r="L27" s="4" t="s">
        <v>261</v>
      </c>
      <c r="M27" s="4">
        <v>3.1999999999999997</v>
      </c>
      <c r="N27" s="4" t="s">
        <v>115</v>
      </c>
      <c r="O27" s="4" t="s">
        <v>116</v>
      </c>
      <c r="P27" s="4" t="s">
        <v>262</v>
      </c>
      <c r="Q27" s="4" t="s">
        <v>52</v>
      </c>
      <c r="R27" s="4" t="s">
        <v>263</v>
      </c>
      <c r="S27" s="4" t="s">
        <v>264</v>
      </c>
      <c r="T27" s="4" t="s">
        <v>55</v>
      </c>
      <c r="U27" s="4" t="s">
        <v>56</v>
      </c>
      <c r="V27" s="4" t="s">
        <v>71</v>
      </c>
      <c r="W27" s="4">
        <v>5.0E8</v>
      </c>
      <c r="X27" s="4" t="s">
        <v>85</v>
      </c>
      <c r="Y27" s="4" t="s">
        <v>265</v>
      </c>
      <c r="Z27" s="4" t="s">
        <v>60</v>
      </c>
      <c r="AA27" s="4" t="s">
        <v>61</v>
      </c>
      <c r="AB27" s="4" t="s">
        <v>87</v>
      </c>
      <c r="AC27" s="4" t="s">
        <v>266</v>
      </c>
      <c r="AD27" s="3" t="s">
        <v>267</v>
      </c>
      <c r="AE27" s="8" t="s">
        <v>124</v>
      </c>
      <c r="AF27" s="12"/>
      <c r="AG27" s="4" t="str">
        <f t="shared" si="1"/>
        <v/>
      </c>
      <c r="AH27" s="8" t="s">
        <v>125</v>
      </c>
      <c r="AI27" s="4" t="s">
        <v>268</v>
      </c>
      <c r="AJ27" s="7">
        <f>VLOOKUP(D27,'slb RAW'!$E$2:$AF$293,9)</f>
        <v>3.2</v>
      </c>
      <c r="AK27" s="4">
        <f>VLOOKUP(D27,'slb RAW'!$E$2:$AE$293,27)</f>
        <v>3.151</v>
      </c>
      <c r="AL27" s="4">
        <f>VLOOKUP(C27,'Refinitiv SLB'!F27:S204,14)</f>
        <v>1.027</v>
      </c>
      <c r="AM27" s="4">
        <f t="shared" si="2"/>
        <v>3.151</v>
      </c>
      <c r="AN27" s="9" t="str">
        <f t="shared" si="3"/>
        <v>Klabin Austria GmbHCALLABLEFIXEDUSDSr Unsecured</v>
      </c>
      <c r="AO27" s="7" t="b">
        <f>ISNUMBER( IFERROR(VLOOKUP(A27,Pairs!$E$2:$E$57,1,FALSE),FALSE))</f>
        <v>1</v>
      </c>
      <c r="AP27" s="7"/>
      <c r="AQ27" s="7"/>
    </row>
    <row r="28" ht="15.75" customHeight="1">
      <c r="A28" s="3">
        <v>158.0</v>
      </c>
      <c r="B28" s="4" t="s">
        <v>254</v>
      </c>
      <c r="C28" s="4" t="str">
        <f>VLOOKUP(D28,'slb RAW'!$E:$F,2)</f>
        <v>USA35155AE99</v>
      </c>
      <c r="D28" s="4" t="s">
        <v>269</v>
      </c>
      <c r="E28" s="4" t="s">
        <v>270</v>
      </c>
      <c r="F28" s="4" t="s">
        <v>257</v>
      </c>
      <c r="G28" s="4" t="s">
        <v>258</v>
      </c>
      <c r="H28" s="4" t="s">
        <v>258</v>
      </c>
      <c r="I28" s="4" t="s">
        <v>259</v>
      </c>
      <c r="J28" s="4">
        <v>3.2</v>
      </c>
      <c r="K28" s="4" t="s">
        <v>260</v>
      </c>
      <c r="L28" s="4" t="s">
        <v>261</v>
      </c>
      <c r="M28" s="4">
        <v>3.1999999999999997</v>
      </c>
      <c r="N28" s="4" t="s">
        <v>115</v>
      </c>
      <c r="O28" s="4" t="s">
        <v>116</v>
      </c>
      <c r="P28" s="4" t="s">
        <v>271</v>
      </c>
      <c r="Q28" s="4" t="s">
        <v>52</v>
      </c>
      <c r="R28" s="4" t="s">
        <v>263</v>
      </c>
      <c r="S28" s="4" t="s">
        <v>264</v>
      </c>
      <c r="T28" s="4" t="s">
        <v>55</v>
      </c>
      <c r="U28" s="4" t="s">
        <v>56</v>
      </c>
      <c r="V28" s="4" t="s">
        <v>71</v>
      </c>
      <c r="W28" s="4">
        <v>5.0E8</v>
      </c>
      <c r="X28" s="4" t="s">
        <v>85</v>
      </c>
      <c r="Y28" s="4" t="s">
        <v>265</v>
      </c>
      <c r="Z28" s="4" t="s">
        <v>60</v>
      </c>
      <c r="AA28" s="4" t="s">
        <v>61</v>
      </c>
      <c r="AB28" s="4" t="s">
        <v>87</v>
      </c>
      <c r="AC28" s="4" t="s">
        <v>266</v>
      </c>
      <c r="AD28" s="3" t="s">
        <v>267</v>
      </c>
      <c r="AE28" s="8" t="s">
        <v>124</v>
      </c>
      <c r="AF28" s="12"/>
      <c r="AG28" s="4" t="str">
        <f t="shared" si="1"/>
        <v/>
      </c>
      <c r="AH28" s="8" t="s">
        <v>125</v>
      </c>
      <c r="AI28" s="4" t="s">
        <v>272</v>
      </c>
      <c r="AJ28" s="7">
        <f>VLOOKUP(D28,'slb RAW'!$E$2:$AF$293,9)</f>
        <v>3.2</v>
      </c>
      <c r="AK28" s="4">
        <f>VLOOKUP(D28,'slb RAW'!$E$2:$AE$293,27)</f>
        <v>3.155</v>
      </c>
      <c r="AL28" s="4">
        <f>VLOOKUP(C28,'Refinitiv SLB'!F28:S205,14)</f>
        <v>1.762</v>
      </c>
      <c r="AM28" s="4">
        <f t="shared" si="2"/>
        <v>3.155</v>
      </c>
      <c r="AN28" s="9" t="str">
        <f t="shared" si="3"/>
        <v>Klabin Austria GmbHCALLABLEFIXEDUSDSr Unsecured</v>
      </c>
      <c r="AO28" s="7" t="b">
        <f>ISNUMBER( IFERROR(VLOOKUP(A28,Pairs!$E$2:$E$57,1,FALSE),FALSE))</f>
        <v>1</v>
      </c>
      <c r="AP28" s="7"/>
      <c r="AQ28" s="7"/>
    </row>
    <row r="29" ht="15.75" customHeight="1">
      <c r="A29" s="3">
        <v>250.0</v>
      </c>
      <c r="B29" s="4" t="s">
        <v>273</v>
      </c>
      <c r="C29" s="4" t="str">
        <f>VLOOKUP(D29,'slb RAW'!$E:$F,2)</f>
        <v>#N/A Field Not Applicable</v>
      </c>
      <c r="D29" s="4" t="s">
        <v>274</v>
      </c>
      <c r="E29" s="4" t="s">
        <v>275</v>
      </c>
      <c r="F29" s="4" t="s">
        <v>276</v>
      </c>
      <c r="G29" s="4" t="s">
        <v>45</v>
      </c>
      <c r="H29" s="4" t="s">
        <v>45</v>
      </c>
      <c r="I29" s="4" t="s">
        <v>45</v>
      </c>
      <c r="J29" s="4">
        <v>0.0</v>
      </c>
      <c r="K29" s="4" t="s">
        <v>277</v>
      </c>
      <c r="L29" s="4" t="s">
        <v>278</v>
      </c>
      <c r="M29" s="10" t="s">
        <v>48</v>
      </c>
      <c r="N29" s="4" t="s">
        <v>49</v>
      </c>
      <c r="O29" s="4" t="s">
        <v>50</v>
      </c>
      <c r="P29" s="4" t="s">
        <v>84</v>
      </c>
      <c r="Q29" s="4" t="s">
        <v>52</v>
      </c>
      <c r="R29" s="4" t="s">
        <v>53</v>
      </c>
      <c r="S29" s="4" t="s">
        <v>54</v>
      </c>
      <c r="T29" s="4" t="s">
        <v>55</v>
      </c>
      <c r="U29" s="4" t="s">
        <v>70</v>
      </c>
      <c r="V29" s="4" t="s">
        <v>71</v>
      </c>
      <c r="W29" s="4">
        <v>8.44921E8</v>
      </c>
      <c r="X29" s="4" t="s">
        <v>58</v>
      </c>
      <c r="Y29" s="4" t="s">
        <v>279</v>
      </c>
      <c r="Z29" s="4" t="s">
        <v>60</v>
      </c>
      <c r="AA29" s="4" t="s">
        <v>61</v>
      </c>
      <c r="AB29" s="4" t="s">
        <v>280</v>
      </c>
      <c r="AC29" s="4" t="s">
        <v>281</v>
      </c>
      <c r="AD29" s="3" t="s">
        <v>282</v>
      </c>
      <c r="AE29" s="8" t="s">
        <v>139</v>
      </c>
      <c r="AF29" s="12"/>
      <c r="AG29" s="4" t="str">
        <f t="shared" si="1"/>
        <v/>
      </c>
      <c r="AH29" s="8" t="s">
        <v>140</v>
      </c>
      <c r="AI29" s="4" t="s">
        <v>283</v>
      </c>
      <c r="AJ29" s="7" t="str">
        <f>VLOOKUP(D29,'slb RAW'!$E$2:$AF$293,9)</f>
        <v>#N/A N/A</v>
      </c>
      <c r="AK29" s="4" t="str">
        <f>VLOOKUP(D29,'slb RAW'!$E$2:$AE$293,27)</f>
        <v>#N/A N/A</v>
      </c>
      <c r="AL29" s="4" t="str">
        <f>VLOOKUP(C29,'Refinitiv SLB'!F29:S206,14)</f>
        <v>#N/A</v>
      </c>
      <c r="AM29" s="4" t="str">
        <f t="shared" si="2"/>
        <v>#N/A N/A</v>
      </c>
      <c r="AN29" s="9" t="str">
        <f t="shared" si="3"/>
        <v>Traton SEAT MATURITYFLOATINGEURSr Unsecured</v>
      </c>
      <c r="AO29" s="7" t="b">
        <f>ISNUMBER( IFERROR(VLOOKUP(A29,Pairs!$E$2:$E$57,1,FALSE),FALSE))</f>
        <v>0</v>
      </c>
      <c r="AP29" s="7"/>
      <c r="AQ29" s="7"/>
    </row>
    <row r="30" ht="15.75" customHeight="1">
      <c r="A30" s="3">
        <v>251.0</v>
      </c>
      <c r="B30" s="4" t="s">
        <v>273</v>
      </c>
      <c r="C30" s="4" t="str">
        <f>VLOOKUP(D30,'slb RAW'!$E:$F,2)</f>
        <v>#N/A Field Not Applicable</v>
      </c>
      <c r="D30" s="4" t="s">
        <v>284</v>
      </c>
      <c r="E30" s="4" t="s">
        <v>285</v>
      </c>
      <c r="F30" s="4" t="s">
        <v>276</v>
      </c>
      <c r="G30" s="4" t="s">
        <v>45</v>
      </c>
      <c r="H30" s="4" t="s">
        <v>45</v>
      </c>
      <c r="I30" s="4" t="s">
        <v>45</v>
      </c>
      <c r="J30" s="4">
        <v>0.0</v>
      </c>
      <c r="K30" s="4" t="s">
        <v>277</v>
      </c>
      <c r="L30" s="4" t="s">
        <v>286</v>
      </c>
      <c r="M30" s="10" t="s">
        <v>48</v>
      </c>
      <c r="N30" s="4" t="s">
        <v>49</v>
      </c>
      <c r="O30" s="4" t="s">
        <v>50</v>
      </c>
      <c r="P30" s="4" t="s">
        <v>94</v>
      </c>
      <c r="Q30" s="4" t="s">
        <v>52</v>
      </c>
      <c r="R30" s="4" t="s">
        <v>53</v>
      </c>
      <c r="S30" s="4" t="s">
        <v>54</v>
      </c>
      <c r="T30" s="4" t="s">
        <v>55</v>
      </c>
      <c r="U30" s="4" t="s">
        <v>70</v>
      </c>
      <c r="V30" s="4" t="s">
        <v>71</v>
      </c>
      <c r="W30" s="4">
        <v>8.44921E8</v>
      </c>
      <c r="X30" s="4" t="s">
        <v>58</v>
      </c>
      <c r="Y30" s="4" t="s">
        <v>279</v>
      </c>
      <c r="Z30" s="4" t="s">
        <v>60</v>
      </c>
      <c r="AA30" s="4" t="s">
        <v>61</v>
      </c>
      <c r="AB30" s="4" t="s">
        <v>280</v>
      </c>
      <c r="AC30" s="4" t="s">
        <v>281</v>
      </c>
      <c r="AD30" s="3" t="s">
        <v>287</v>
      </c>
      <c r="AE30" s="8" t="s">
        <v>139</v>
      </c>
      <c r="AF30" s="12"/>
      <c r="AG30" s="4" t="str">
        <f t="shared" si="1"/>
        <v/>
      </c>
      <c r="AH30" s="8" t="s">
        <v>140</v>
      </c>
      <c r="AI30" s="4" t="s">
        <v>283</v>
      </c>
      <c r="AJ30" s="7" t="str">
        <f>VLOOKUP(D30,'slb RAW'!$E$2:$AF$293,9)</f>
        <v>#N/A N/A</v>
      </c>
      <c r="AK30" s="4" t="str">
        <f>VLOOKUP(D30,'slb RAW'!$E$2:$AE$293,27)</f>
        <v>#N/A N/A</v>
      </c>
      <c r="AL30" s="4" t="str">
        <f>VLOOKUP(C30,'Refinitiv SLB'!F30:S207,14)</f>
        <v>#N/A</v>
      </c>
      <c r="AM30" s="4" t="str">
        <f t="shared" si="2"/>
        <v>#N/A N/A</v>
      </c>
      <c r="AN30" s="9" t="str">
        <f t="shared" si="3"/>
        <v>Traton SEAT MATURITYFLOATINGEURSr Unsecured</v>
      </c>
      <c r="AO30" s="7" t="b">
        <f>ISNUMBER( IFERROR(VLOOKUP(A30,Pairs!$E$2:$E$57,1,FALSE),FALSE))</f>
        <v>0</v>
      </c>
      <c r="AP30" s="7"/>
      <c r="AQ30" s="7"/>
    </row>
    <row r="31" ht="15.75" customHeight="1">
      <c r="A31" s="3">
        <v>252.0</v>
      </c>
      <c r="B31" s="4" t="s">
        <v>273</v>
      </c>
      <c r="C31" s="4" t="str">
        <f>VLOOKUP(D31,'slb RAW'!$E:$F,2)</f>
        <v>#N/A Field Not Applicable</v>
      </c>
      <c r="D31" s="4" t="s">
        <v>288</v>
      </c>
      <c r="E31" s="4" t="s">
        <v>289</v>
      </c>
      <c r="F31" s="4" t="s">
        <v>276</v>
      </c>
      <c r="G31" s="4" t="s">
        <v>45</v>
      </c>
      <c r="H31" s="4" t="s">
        <v>45</v>
      </c>
      <c r="I31" s="4" t="s">
        <v>45</v>
      </c>
      <c r="J31" s="4">
        <v>0.0</v>
      </c>
      <c r="K31" s="4" t="s">
        <v>277</v>
      </c>
      <c r="L31" s="4" t="s">
        <v>290</v>
      </c>
      <c r="M31" s="6" t="s">
        <v>48</v>
      </c>
      <c r="N31" s="4" t="s">
        <v>49</v>
      </c>
      <c r="O31" s="4" t="s">
        <v>50</v>
      </c>
      <c r="P31" s="4" t="s">
        <v>98</v>
      </c>
      <c r="Q31" s="4" t="s">
        <v>52</v>
      </c>
      <c r="R31" s="4" t="s">
        <v>53</v>
      </c>
      <c r="S31" s="4" t="s">
        <v>54</v>
      </c>
      <c r="T31" s="4" t="s">
        <v>55</v>
      </c>
      <c r="U31" s="4" t="s">
        <v>70</v>
      </c>
      <c r="V31" s="4" t="s">
        <v>71</v>
      </c>
      <c r="W31" s="4">
        <v>8.44921E8</v>
      </c>
      <c r="X31" s="4" t="s">
        <v>58</v>
      </c>
      <c r="Y31" s="4" t="s">
        <v>279</v>
      </c>
      <c r="Z31" s="4" t="s">
        <v>60</v>
      </c>
      <c r="AA31" s="4" t="s">
        <v>61</v>
      </c>
      <c r="AB31" s="4" t="s">
        <v>280</v>
      </c>
      <c r="AC31" s="4" t="s">
        <v>281</v>
      </c>
      <c r="AD31" s="3" t="s">
        <v>287</v>
      </c>
      <c r="AE31" s="8" t="s">
        <v>139</v>
      </c>
      <c r="AF31" s="12"/>
      <c r="AG31" s="4" t="str">
        <f t="shared" si="1"/>
        <v/>
      </c>
      <c r="AH31" s="8" t="s">
        <v>140</v>
      </c>
      <c r="AI31" s="4" t="s">
        <v>283</v>
      </c>
      <c r="AJ31" s="7" t="str">
        <f>VLOOKUP(D31,'slb RAW'!$E$2:$AF$293,9)</f>
        <v>#N/A N/A</v>
      </c>
      <c r="AK31" s="4" t="str">
        <f>VLOOKUP(D31,'slb RAW'!$E$2:$AE$293,27)</f>
        <v>#N/A N/A</v>
      </c>
      <c r="AL31" s="4" t="str">
        <f>VLOOKUP(C31,'Refinitiv SLB'!F31:S208,14)</f>
        <v>#N/A</v>
      </c>
      <c r="AM31" s="4" t="str">
        <f t="shared" si="2"/>
        <v>#N/A N/A</v>
      </c>
      <c r="AN31" s="9" t="str">
        <f t="shared" si="3"/>
        <v>Traton SEAT MATURITYFLOATINGEURSr Unsecured</v>
      </c>
      <c r="AO31" s="7" t="b">
        <f>ISNUMBER( IFERROR(VLOOKUP(A31,Pairs!$E$2:$E$57,1,FALSE),FALSE))</f>
        <v>0</v>
      </c>
      <c r="AP31" s="7"/>
      <c r="AQ31" s="7"/>
    </row>
    <row r="32" ht="15.75" customHeight="1">
      <c r="A32" s="3">
        <v>239.0</v>
      </c>
      <c r="B32" s="4" t="s">
        <v>291</v>
      </c>
      <c r="C32" s="4" t="str">
        <f>VLOOKUP(D32,'slb RAW'!$E:$F,2)</f>
        <v>US82883PAA21</v>
      </c>
      <c r="D32" s="4" t="s">
        <v>292</v>
      </c>
      <c r="E32" s="4" t="s">
        <v>293</v>
      </c>
      <c r="F32" s="4" t="s">
        <v>294</v>
      </c>
      <c r="G32" s="4" t="s">
        <v>170</v>
      </c>
      <c r="H32" s="4" t="s">
        <v>170</v>
      </c>
      <c r="I32" s="4" t="s">
        <v>259</v>
      </c>
      <c r="J32" s="4">
        <v>5.2</v>
      </c>
      <c r="K32" s="4" t="s">
        <v>295</v>
      </c>
      <c r="L32" s="4" t="s">
        <v>296</v>
      </c>
      <c r="M32" s="4">
        <v>5.2</v>
      </c>
      <c r="N32" s="4" t="s">
        <v>115</v>
      </c>
      <c r="O32" s="4" t="s">
        <v>116</v>
      </c>
      <c r="P32" s="4" t="s">
        <v>262</v>
      </c>
      <c r="Q32" s="4" t="s">
        <v>52</v>
      </c>
      <c r="R32" s="4" t="s">
        <v>263</v>
      </c>
      <c r="S32" s="4" t="s">
        <v>297</v>
      </c>
      <c r="T32" s="4" t="s">
        <v>55</v>
      </c>
      <c r="U32" s="4" t="s">
        <v>56</v>
      </c>
      <c r="V32" s="4" t="s">
        <v>71</v>
      </c>
      <c r="W32" s="4">
        <v>6.25E8</v>
      </c>
      <c r="X32" s="4" t="s">
        <v>58</v>
      </c>
      <c r="Y32" s="4" t="s">
        <v>279</v>
      </c>
      <c r="Z32" s="4" t="s">
        <v>60</v>
      </c>
      <c r="AA32" s="4" t="s">
        <v>61</v>
      </c>
      <c r="AB32" s="4" t="s">
        <v>280</v>
      </c>
      <c r="AC32" s="4" t="s">
        <v>281</v>
      </c>
      <c r="AD32" s="3" t="s">
        <v>298</v>
      </c>
      <c r="AE32" s="7">
        <v>25.0</v>
      </c>
      <c r="AF32" s="12"/>
      <c r="AG32" s="4" t="str">
        <f t="shared" si="1"/>
        <v/>
      </c>
      <c r="AH32" s="8" t="s">
        <v>125</v>
      </c>
      <c r="AI32" s="4" t="s">
        <v>299</v>
      </c>
      <c r="AJ32" s="7">
        <f>VLOOKUP(D32,'slb RAW'!$E$2:$AF$293,9)</f>
        <v>5.2</v>
      </c>
      <c r="AK32" s="4">
        <f>VLOOKUP(D32,'slb RAW'!$E$2:$AE$293,27)</f>
        <v>5.064</v>
      </c>
      <c r="AL32" s="4">
        <f>VLOOKUP(C32,'Refinitiv SLB'!F32:S209,14)</f>
        <v>1.624</v>
      </c>
      <c r="AM32" s="4">
        <f t="shared" si="2"/>
        <v>5.064</v>
      </c>
      <c r="AN32" s="9" t="str">
        <f t="shared" si="3"/>
        <v>Simpar Europe SACALLABLEFIXEDUSDSr Unsecured</v>
      </c>
      <c r="AO32" s="7" t="b">
        <f>ISNUMBER( IFERROR(VLOOKUP(A32,Pairs!$E$2:$E$57,1,FALSE),FALSE))</f>
        <v>0</v>
      </c>
      <c r="AP32" s="7"/>
      <c r="AQ32" s="7"/>
    </row>
    <row r="33" ht="15.75" customHeight="1">
      <c r="A33" s="3">
        <v>238.0</v>
      </c>
      <c r="B33" s="4" t="s">
        <v>291</v>
      </c>
      <c r="C33" s="4" t="str">
        <f>VLOOKUP(D33,'slb RAW'!$E:$F,2)</f>
        <v>USL8449RAA79</v>
      </c>
      <c r="D33" s="4" t="s">
        <v>300</v>
      </c>
      <c r="E33" s="4" t="s">
        <v>301</v>
      </c>
      <c r="F33" s="4" t="s">
        <v>294</v>
      </c>
      <c r="G33" s="4" t="s">
        <v>170</v>
      </c>
      <c r="H33" s="4" t="s">
        <v>170</v>
      </c>
      <c r="I33" s="4" t="s">
        <v>259</v>
      </c>
      <c r="J33" s="4">
        <v>5.2</v>
      </c>
      <c r="K33" s="4" t="s">
        <v>295</v>
      </c>
      <c r="L33" s="4" t="s">
        <v>296</v>
      </c>
      <c r="M33" s="4">
        <v>5.2</v>
      </c>
      <c r="N33" s="4" t="s">
        <v>115</v>
      </c>
      <c r="O33" s="4" t="s">
        <v>116</v>
      </c>
      <c r="P33" s="4" t="s">
        <v>271</v>
      </c>
      <c r="Q33" s="4" t="s">
        <v>52</v>
      </c>
      <c r="R33" s="4" t="s">
        <v>263</v>
      </c>
      <c r="S33" s="4" t="s">
        <v>297</v>
      </c>
      <c r="T33" s="4" t="s">
        <v>55</v>
      </c>
      <c r="U33" s="4" t="s">
        <v>56</v>
      </c>
      <c r="V33" s="4" t="s">
        <v>71</v>
      </c>
      <c r="W33" s="4">
        <v>6.25E8</v>
      </c>
      <c r="X33" s="4" t="s">
        <v>58</v>
      </c>
      <c r="Y33" s="4" t="s">
        <v>279</v>
      </c>
      <c r="Z33" s="4" t="s">
        <v>60</v>
      </c>
      <c r="AA33" s="4" t="s">
        <v>61</v>
      </c>
      <c r="AB33" s="4" t="s">
        <v>280</v>
      </c>
      <c r="AC33" s="4" t="s">
        <v>281</v>
      </c>
      <c r="AD33" s="3" t="s">
        <v>302</v>
      </c>
      <c r="AE33" s="7">
        <v>25.0</v>
      </c>
      <c r="AF33" s="12"/>
      <c r="AG33" s="4" t="str">
        <f t="shared" si="1"/>
        <v/>
      </c>
      <c r="AH33" s="8" t="s">
        <v>140</v>
      </c>
      <c r="AI33" s="4" t="s">
        <v>299</v>
      </c>
      <c r="AJ33" s="7">
        <f>VLOOKUP(D33,'slb RAW'!$E$2:$AF$293,9)</f>
        <v>5.2</v>
      </c>
      <c r="AK33" s="4">
        <f>VLOOKUP(D33,'slb RAW'!$E$2:$AE$293,27)</f>
        <v>5.034</v>
      </c>
      <c r="AL33" s="4">
        <f>VLOOKUP(C33,'Refinitiv SLB'!F33:S210,14)</f>
        <v>6.3234</v>
      </c>
      <c r="AM33" s="4">
        <f t="shared" si="2"/>
        <v>5.034</v>
      </c>
      <c r="AN33" s="9" t="str">
        <f t="shared" si="3"/>
        <v>Simpar Europe SACALLABLEFIXEDUSDSr Unsecured</v>
      </c>
      <c r="AO33" s="7" t="b">
        <f>ISNUMBER( IFERROR(VLOOKUP(A33,Pairs!$E$2:$E$57,1,FALSE),FALSE))</f>
        <v>0</v>
      </c>
      <c r="AP33" s="7"/>
      <c r="AQ33" s="7"/>
    </row>
    <row r="34" ht="15.75" customHeight="1">
      <c r="A34" s="3">
        <v>214.0</v>
      </c>
      <c r="B34" s="4" t="s">
        <v>303</v>
      </c>
      <c r="C34" s="4" t="str">
        <f>VLOOKUP(D34,'slb RAW'!$E:$F,2)</f>
        <v>#N/A Field Not Applicable</v>
      </c>
      <c r="D34" s="4" t="s">
        <v>304</v>
      </c>
      <c r="E34" s="4" t="s">
        <v>305</v>
      </c>
      <c r="F34" s="4" t="s">
        <v>306</v>
      </c>
      <c r="G34" s="4" t="s">
        <v>45</v>
      </c>
      <c r="H34" s="4" t="s">
        <v>45</v>
      </c>
      <c r="I34" s="4" t="s">
        <v>45</v>
      </c>
      <c r="J34" s="4">
        <v>0.0</v>
      </c>
      <c r="K34" s="4" t="s">
        <v>307</v>
      </c>
      <c r="L34" s="4" t="s">
        <v>308</v>
      </c>
      <c r="M34" s="10" t="s">
        <v>48</v>
      </c>
      <c r="N34" s="4" t="s">
        <v>49</v>
      </c>
      <c r="O34" s="4" t="s">
        <v>50</v>
      </c>
      <c r="P34" s="4" t="s">
        <v>51</v>
      </c>
      <c r="Q34" s="4" t="s">
        <v>52</v>
      </c>
      <c r="R34" s="4" t="s">
        <v>53</v>
      </c>
      <c r="S34" s="4" t="s">
        <v>54</v>
      </c>
      <c r="T34" s="4" t="s">
        <v>55</v>
      </c>
      <c r="U34" s="4" t="s">
        <v>56</v>
      </c>
      <c r="V34" s="4" t="s">
        <v>57</v>
      </c>
      <c r="W34" s="4">
        <v>3.5982E8</v>
      </c>
      <c r="X34" s="4" t="s">
        <v>309</v>
      </c>
      <c r="Y34" s="4" t="s">
        <v>310</v>
      </c>
      <c r="Z34" s="4" t="s">
        <v>60</v>
      </c>
      <c r="AA34" s="4" t="s">
        <v>61</v>
      </c>
      <c r="AB34" s="4" t="s">
        <v>136</v>
      </c>
      <c r="AC34" s="4" t="s">
        <v>311</v>
      </c>
      <c r="AD34" s="3" t="s">
        <v>312</v>
      </c>
      <c r="AE34" s="7">
        <v>5.0</v>
      </c>
      <c r="AF34" s="7">
        <v>5.0</v>
      </c>
      <c r="AG34" s="4" t="str">
        <f t="shared" si="1"/>
        <v>yes</v>
      </c>
      <c r="AH34" s="8" t="s">
        <v>64</v>
      </c>
      <c r="AI34" s="4" t="s">
        <v>313</v>
      </c>
      <c r="AJ34" s="7" t="str">
        <f>VLOOKUP(D34,'slb RAW'!$E$2:$AF$293,9)</f>
        <v>#N/A N/A</v>
      </c>
      <c r="AK34" s="4" t="str">
        <f>VLOOKUP(D34,'slb RAW'!$E$2:$AE$293,27)</f>
        <v>#N/A N/A</v>
      </c>
      <c r="AL34" s="4" t="str">
        <f>VLOOKUP(C34,'Refinitiv SLB'!F34:S211,14)</f>
        <v>#N/A</v>
      </c>
      <c r="AM34" s="4" t="str">
        <f t="shared" si="2"/>
        <v>#N/A N/A</v>
      </c>
      <c r="AN34" s="9" t="str">
        <f t="shared" si="3"/>
        <v>Regit Eins GmbHAT MATURITYFIXEDEURSr Unsecured</v>
      </c>
      <c r="AO34" s="7" t="b">
        <f>ISNUMBER( IFERROR(VLOOKUP(A34,Pairs!$E$2:$E$57,1,FALSE),FALSE))</f>
        <v>0</v>
      </c>
      <c r="AP34" s="7"/>
      <c r="AQ34" s="7"/>
    </row>
    <row r="35" ht="15.75" customHeight="1">
      <c r="A35" s="3">
        <v>213.0</v>
      </c>
      <c r="B35" s="4" t="s">
        <v>303</v>
      </c>
      <c r="C35" s="4" t="str">
        <f>VLOOKUP(D35,'slb RAW'!$E:$F,2)</f>
        <v>#N/A Field Not Applicable</v>
      </c>
      <c r="D35" s="4" t="s">
        <v>314</v>
      </c>
      <c r="E35" s="4" t="s">
        <v>315</v>
      </c>
      <c r="F35" s="4" t="s">
        <v>306</v>
      </c>
      <c r="G35" s="4" t="s">
        <v>45</v>
      </c>
      <c r="H35" s="4" t="s">
        <v>45</v>
      </c>
      <c r="I35" s="4" t="s">
        <v>45</v>
      </c>
      <c r="J35" s="4">
        <v>0.0</v>
      </c>
      <c r="K35" s="4" t="s">
        <v>307</v>
      </c>
      <c r="L35" s="4" t="s">
        <v>316</v>
      </c>
      <c r="M35" s="10" t="s">
        <v>48</v>
      </c>
      <c r="N35" s="4" t="s">
        <v>49</v>
      </c>
      <c r="O35" s="4" t="s">
        <v>50</v>
      </c>
      <c r="P35" s="4" t="s">
        <v>69</v>
      </c>
      <c r="Q35" s="4" t="s">
        <v>52</v>
      </c>
      <c r="R35" s="4" t="s">
        <v>53</v>
      </c>
      <c r="S35" s="4" t="s">
        <v>54</v>
      </c>
      <c r="T35" s="4" t="s">
        <v>55</v>
      </c>
      <c r="U35" s="4" t="s">
        <v>70</v>
      </c>
      <c r="V35" s="4" t="s">
        <v>71</v>
      </c>
      <c r="W35" s="4">
        <v>3.5982E8</v>
      </c>
      <c r="X35" s="4" t="s">
        <v>309</v>
      </c>
      <c r="Y35" s="4" t="s">
        <v>310</v>
      </c>
      <c r="Z35" s="4" t="s">
        <v>60</v>
      </c>
      <c r="AA35" s="4" t="s">
        <v>61</v>
      </c>
      <c r="AB35" s="4" t="s">
        <v>136</v>
      </c>
      <c r="AC35" s="4" t="s">
        <v>311</v>
      </c>
      <c r="AD35" s="3" t="s">
        <v>312</v>
      </c>
      <c r="AE35" s="7">
        <v>5.0</v>
      </c>
      <c r="AF35" s="7">
        <v>5.0</v>
      </c>
      <c r="AG35" s="4" t="str">
        <f t="shared" si="1"/>
        <v>yes</v>
      </c>
      <c r="AH35" s="8" t="s">
        <v>64</v>
      </c>
      <c r="AI35" s="4" t="s">
        <v>317</v>
      </c>
      <c r="AJ35" s="7" t="str">
        <f>VLOOKUP(D35,'slb RAW'!$E$2:$AF$293,9)</f>
        <v>#N/A N/A</v>
      </c>
      <c r="AK35" s="4" t="str">
        <f>VLOOKUP(D35,'slb RAW'!$E$2:$AE$293,27)</f>
        <v>#N/A N/A</v>
      </c>
      <c r="AL35" s="4" t="str">
        <f>VLOOKUP(C35,'Refinitiv SLB'!F35:S212,14)</f>
        <v>#N/A</v>
      </c>
      <c r="AM35" s="4" t="str">
        <f t="shared" si="2"/>
        <v>#N/A N/A</v>
      </c>
      <c r="AN35" s="9" t="str">
        <f t="shared" si="3"/>
        <v>Regit Eins GmbHAT MATURITYFLOATINGEURSr Unsecured</v>
      </c>
      <c r="AO35" s="7" t="b">
        <f>ISNUMBER( IFERROR(VLOOKUP(A35,Pairs!$E$2:$E$57,1,FALSE),FALSE))</f>
        <v>0</v>
      </c>
      <c r="AP35" s="7"/>
      <c r="AQ35" s="7"/>
    </row>
    <row r="36" ht="15.75" customHeight="1">
      <c r="A36" s="3">
        <v>216.0</v>
      </c>
      <c r="B36" s="4" t="s">
        <v>303</v>
      </c>
      <c r="C36" s="4" t="str">
        <f>VLOOKUP(D36,'slb RAW'!$E:$F,2)</f>
        <v>#N/A Field Not Applicable</v>
      </c>
      <c r="D36" s="4" t="s">
        <v>318</v>
      </c>
      <c r="E36" s="4" t="s">
        <v>319</v>
      </c>
      <c r="F36" s="4" t="s">
        <v>306</v>
      </c>
      <c r="G36" s="4" t="s">
        <v>45</v>
      </c>
      <c r="H36" s="4" t="s">
        <v>45</v>
      </c>
      <c r="I36" s="4" t="s">
        <v>45</v>
      </c>
      <c r="J36" s="4">
        <v>0.0</v>
      </c>
      <c r="K36" s="4" t="s">
        <v>307</v>
      </c>
      <c r="L36" s="4" t="s">
        <v>320</v>
      </c>
      <c r="M36" s="10" t="s">
        <v>48</v>
      </c>
      <c r="N36" s="4" t="s">
        <v>49</v>
      </c>
      <c r="O36" s="4" t="s">
        <v>50</v>
      </c>
      <c r="P36" s="4" t="s">
        <v>76</v>
      </c>
      <c r="Q36" s="4" t="s">
        <v>52</v>
      </c>
      <c r="R36" s="4" t="s">
        <v>53</v>
      </c>
      <c r="S36" s="4" t="s">
        <v>54</v>
      </c>
      <c r="T36" s="4" t="s">
        <v>55</v>
      </c>
      <c r="U36" s="4" t="s">
        <v>70</v>
      </c>
      <c r="V36" s="4" t="s">
        <v>71</v>
      </c>
      <c r="W36" s="4">
        <v>3.5982E8</v>
      </c>
      <c r="X36" s="4" t="s">
        <v>309</v>
      </c>
      <c r="Y36" s="4" t="s">
        <v>310</v>
      </c>
      <c r="Z36" s="4" t="s">
        <v>60</v>
      </c>
      <c r="AA36" s="4" t="s">
        <v>61</v>
      </c>
      <c r="AB36" s="4" t="s">
        <v>136</v>
      </c>
      <c r="AC36" s="4" t="s">
        <v>311</v>
      </c>
      <c r="AD36" s="3" t="s">
        <v>312</v>
      </c>
      <c r="AE36" s="7">
        <v>5.0</v>
      </c>
      <c r="AF36" s="7">
        <v>5.0</v>
      </c>
      <c r="AG36" s="4" t="str">
        <f t="shared" si="1"/>
        <v>yes</v>
      </c>
      <c r="AH36" s="8" t="s">
        <v>64</v>
      </c>
      <c r="AI36" s="4" t="s">
        <v>317</v>
      </c>
      <c r="AJ36" s="7" t="str">
        <f>VLOOKUP(D36,'slb RAW'!$E$2:$AF$293,9)</f>
        <v>#N/A N/A</v>
      </c>
      <c r="AK36" s="4" t="str">
        <f>VLOOKUP(D36,'slb RAW'!$E$2:$AE$293,27)</f>
        <v>#N/A N/A</v>
      </c>
      <c r="AL36" s="4" t="str">
        <f>VLOOKUP(C36,'Refinitiv SLB'!F36:S213,14)</f>
        <v>#N/A</v>
      </c>
      <c r="AM36" s="4" t="str">
        <f t="shared" si="2"/>
        <v>#N/A N/A</v>
      </c>
      <c r="AN36" s="9" t="str">
        <f t="shared" si="3"/>
        <v>Regit Eins GmbHAT MATURITYFLOATINGEURSr Unsecured</v>
      </c>
      <c r="AO36" s="7" t="b">
        <f>ISNUMBER( IFERROR(VLOOKUP(A36,Pairs!$E$2:$E$57,1,FALSE),FALSE))</f>
        <v>0</v>
      </c>
      <c r="AP36" s="7"/>
      <c r="AQ36" s="7"/>
    </row>
    <row r="37" ht="15.75" customHeight="1">
      <c r="A37" s="3">
        <v>215.0</v>
      </c>
      <c r="B37" s="4" t="s">
        <v>303</v>
      </c>
      <c r="C37" s="4" t="str">
        <f>VLOOKUP(D37,'slb RAW'!$E:$F,2)</f>
        <v>#N/A Field Not Applicable</v>
      </c>
      <c r="D37" s="4" t="s">
        <v>321</v>
      </c>
      <c r="E37" s="4" t="s">
        <v>322</v>
      </c>
      <c r="F37" s="4" t="s">
        <v>306</v>
      </c>
      <c r="G37" s="4" t="s">
        <v>45</v>
      </c>
      <c r="H37" s="4" t="s">
        <v>45</v>
      </c>
      <c r="I37" s="4" t="s">
        <v>45</v>
      </c>
      <c r="J37" s="4">
        <v>0.0</v>
      </c>
      <c r="K37" s="4" t="s">
        <v>307</v>
      </c>
      <c r="L37" s="4" t="s">
        <v>323</v>
      </c>
      <c r="M37" s="6" t="s">
        <v>48</v>
      </c>
      <c r="N37" s="4" t="s">
        <v>49</v>
      </c>
      <c r="O37" s="4" t="s">
        <v>50</v>
      </c>
      <c r="P37" s="4" t="s">
        <v>145</v>
      </c>
      <c r="Q37" s="4" t="s">
        <v>52</v>
      </c>
      <c r="R37" s="4" t="s">
        <v>53</v>
      </c>
      <c r="S37" s="4" t="s">
        <v>54</v>
      </c>
      <c r="T37" s="4" t="s">
        <v>55</v>
      </c>
      <c r="U37" s="4" t="s">
        <v>70</v>
      </c>
      <c r="V37" s="4" t="s">
        <v>71</v>
      </c>
      <c r="W37" s="4">
        <v>3.5982E8</v>
      </c>
      <c r="X37" s="4" t="s">
        <v>309</v>
      </c>
      <c r="Y37" s="4" t="s">
        <v>310</v>
      </c>
      <c r="Z37" s="4" t="s">
        <v>60</v>
      </c>
      <c r="AA37" s="4" t="s">
        <v>61</v>
      </c>
      <c r="AB37" s="4" t="s">
        <v>136</v>
      </c>
      <c r="AC37" s="4" t="s">
        <v>311</v>
      </c>
      <c r="AD37" s="3" t="s">
        <v>312</v>
      </c>
      <c r="AE37" s="7">
        <v>5.0</v>
      </c>
      <c r="AF37" s="7">
        <v>5.0</v>
      </c>
      <c r="AG37" s="4" t="str">
        <f t="shared" si="1"/>
        <v>yes</v>
      </c>
      <c r="AH37" s="8" t="s">
        <v>64</v>
      </c>
      <c r="AI37" s="4" t="s">
        <v>317</v>
      </c>
      <c r="AJ37" s="7" t="str">
        <f>VLOOKUP(D37,'slb RAW'!$E$2:$AF$293,9)</f>
        <v>#N/A N/A</v>
      </c>
      <c r="AK37" s="4" t="str">
        <f>VLOOKUP(D37,'slb RAW'!$E$2:$AE$293,27)</f>
        <v>#N/A N/A</v>
      </c>
      <c r="AL37" s="4" t="str">
        <f>VLOOKUP(C37,'Refinitiv SLB'!F37:S214,14)</f>
        <v>#N/A</v>
      </c>
      <c r="AM37" s="4" t="str">
        <f t="shared" si="2"/>
        <v>#N/A N/A</v>
      </c>
      <c r="AN37" s="9" t="str">
        <f t="shared" si="3"/>
        <v>Regit Eins GmbHAT MATURITYFLOATINGEURSr Unsecured</v>
      </c>
      <c r="AO37" s="7" t="b">
        <f>ISNUMBER( IFERROR(VLOOKUP(A37,Pairs!$E$2:$E$57,1,FALSE),FALSE))</f>
        <v>0</v>
      </c>
      <c r="AP37" s="7"/>
      <c r="AQ37" s="7"/>
    </row>
    <row r="38" ht="15.75" customHeight="1">
      <c r="A38" s="3">
        <v>183.0</v>
      </c>
      <c r="B38" s="4" t="s">
        <v>324</v>
      </c>
      <c r="C38" s="4" t="str">
        <f>VLOOKUP(D38,'slb RAW'!$E:$F,2)</f>
        <v>US62459LAA70</v>
      </c>
      <c r="D38" s="4" t="s">
        <v>325</v>
      </c>
      <c r="E38" s="4" t="s">
        <v>326</v>
      </c>
      <c r="F38" s="4" t="s">
        <v>327</v>
      </c>
      <c r="G38" s="4" t="s">
        <v>170</v>
      </c>
      <c r="H38" s="4" t="s">
        <v>170</v>
      </c>
      <c r="I38" s="4" t="s">
        <v>259</v>
      </c>
      <c r="J38" s="4">
        <v>5.25</v>
      </c>
      <c r="K38" s="4" t="s">
        <v>328</v>
      </c>
      <c r="L38" s="4" t="s">
        <v>329</v>
      </c>
      <c r="M38" s="4">
        <v>5.25</v>
      </c>
      <c r="N38" s="4" t="s">
        <v>115</v>
      </c>
      <c r="O38" s="4" t="s">
        <v>116</v>
      </c>
      <c r="P38" s="4" t="s">
        <v>262</v>
      </c>
      <c r="Q38" s="4" t="s">
        <v>52</v>
      </c>
      <c r="R38" s="4" t="s">
        <v>263</v>
      </c>
      <c r="S38" s="4" t="s">
        <v>297</v>
      </c>
      <c r="T38" s="4" t="s">
        <v>55</v>
      </c>
      <c r="U38" s="4" t="s">
        <v>56</v>
      </c>
      <c r="V38" s="4" t="s">
        <v>71</v>
      </c>
      <c r="W38" s="4">
        <v>8.0E8</v>
      </c>
      <c r="X38" s="4" t="s">
        <v>134</v>
      </c>
      <c r="Y38" s="4" t="s">
        <v>330</v>
      </c>
      <c r="Z38" s="4" t="s">
        <v>60</v>
      </c>
      <c r="AA38" s="4" t="s">
        <v>61</v>
      </c>
      <c r="AB38" s="4" t="s">
        <v>280</v>
      </c>
      <c r="AC38" s="4" t="s">
        <v>281</v>
      </c>
      <c r="AD38" s="3" t="s">
        <v>331</v>
      </c>
      <c r="AE38" s="7">
        <v>25.0</v>
      </c>
      <c r="AF38" s="12"/>
      <c r="AG38" s="4" t="str">
        <f t="shared" si="1"/>
        <v/>
      </c>
      <c r="AH38" s="8" t="s">
        <v>125</v>
      </c>
      <c r="AI38" s="4" t="s">
        <v>332</v>
      </c>
      <c r="AJ38" s="7">
        <f>VLOOKUP(D38,'slb RAW'!$E$2:$AF$293,9)</f>
        <v>5.25</v>
      </c>
      <c r="AK38" s="4">
        <f>VLOOKUP(D38,'slb RAW'!$E$2:$AE$293,27)</f>
        <v>5.212</v>
      </c>
      <c r="AL38" s="4" t="str">
        <f>VLOOKUP(C38,'Refinitiv SLB'!F38:S215,14)</f>
        <v>#N/A</v>
      </c>
      <c r="AM38" s="4">
        <f t="shared" si="2"/>
        <v>5.212</v>
      </c>
      <c r="AN38" s="9" t="str">
        <f t="shared" si="3"/>
        <v>Movida Europe SACALLABLEFIXEDUSDSr Unsecured</v>
      </c>
      <c r="AO38" s="7" t="b">
        <f>ISNUMBER( IFERROR(VLOOKUP(A38,Pairs!$E$2:$E$57,1,FALSE),FALSE))</f>
        <v>0</v>
      </c>
      <c r="AP38" s="7"/>
      <c r="AQ38" s="7"/>
    </row>
    <row r="39" ht="15.75" customHeight="1">
      <c r="A39" s="3">
        <v>184.0</v>
      </c>
      <c r="B39" s="4" t="s">
        <v>324</v>
      </c>
      <c r="C39" s="4" t="str">
        <f>VLOOKUP(D39,'slb RAW'!$E:$F,2)</f>
        <v>USL65266AA36</v>
      </c>
      <c r="D39" s="4" t="s">
        <v>333</v>
      </c>
      <c r="E39" s="4" t="s">
        <v>334</v>
      </c>
      <c r="F39" s="4" t="s">
        <v>327</v>
      </c>
      <c r="G39" s="4" t="s">
        <v>170</v>
      </c>
      <c r="H39" s="4" t="s">
        <v>170</v>
      </c>
      <c r="I39" s="4" t="s">
        <v>259</v>
      </c>
      <c r="J39" s="4">
        <v>5.25</v>
      </c>
      <c r="K39" s="4" t="s">
        <v>328</v>
      </c>
      <c r="L39" s="4" t="s">
        <v>329</v>
      </c>
      <c r="M39" s="15">
        <v>5.25</v>
      </c>
      <c r="N39" s="4" t="s">
        <v>115</v>
      </c>
      <c r="O39" s="4" t="s">
        <v>116</v>
      </c>
      <c r="P39" s="4" t="s">
        <v>271</v>
      </c>
      <c r="Q39" s="4" t="s">
        <v>52</v>
      </c>
      <c r="R39" s="4" t="s">
        <v>263</v>
      </c>
      <c r="S39" s="4" t="s">
        <v>297</v>
      </c>
      <c r="T39" s="4" t="s">
        <v>55</v>
      </c>
      <c r="U39" s="4" t="s">
        <v>56</v>
      </c>
      <c r="V39" s="4" t="s">
        <v>71</v>
      </c>
      <c r="W39" s="4">
        <v>8.0E8</v>
      </c>
      <c r="X39" s="4" t="s">
        <v>134</v>
      </c>
      <c r="Y39" s="4" t="s">
        <v>330</v>
      </c>
      <c r="Z39" s="4" t="s">
        <v>60</v>
      </c>
      <c r="AA39" s="4" t="s">
        <v>61</v>
      </c>
      <c r="AB39" s="4" t="s">
        <v>280</v>
      </c>
      <c r="AC39" s="4" t="s">
        <v>281</v>
      </c>
      <c r="AD39" s="3" t="s">
        <v>331</v>
      </c>
      <c r="AE39" s="7">
        <v>25.0</v>
      </c>
      <c r="AF39" s="12"/>
      <c r="AG39" s="4" t="str">
        <f t="shared" si="1"/>
        <v/>
      </c>
      <c r="AH39" s="8" t="s">
        <v>125</v>
      </c>
      <c r="AI39" s="4" t="s">
        <v>335</v>
      </c>
      <c r="AJ39" s="7">
        <f>VLOOKUP(D39,'slb RAW'!$E$2:$AF$293,9)</f>
        <v>5.25</v>
      </c>
      <c r="AK39" s="4">
        <f>VLOOKUP(D39,'slb RAW'!$E$2:$AE$293,27)</f>
        <v>5.187</v>
      </c>
      <c r="AL39" s="4" t="str">
        <f>VLOOKUP(C39,'Refinitiv SLB'!F39:S216,14)</f>
        <v>#N/A</v>
      </c>
      <c r="AM39" s="4">
        <f t="shared" si="2"/>
        <v>5.187</v>
      </c>
      <c r="AN39" s="9" t="str">
        <f t="shared" si="3"/>
        <v>Movida Europe SACALLABLEFIXEDUSDSr Unsecured</v>
      </c>
      <c r="AO39" s="7" t="b">
        <f>ISNUMBER( IFERROR(VLOOKUP(A39,Pairs!$E$2:$E$57,1,FALSE),FALSE))</f>
        <v>0</v>
      </c>
      <c r="AP39" s="7"/>
      <c r="AQ39" s="7"/>
    </row>
    <row r="40" ht="15.75" customHeight="1">
      <c r="A40" s="3">
        <v>276.0</v>
      </c>
      <c r="B40" s="4" t="s">
        <v>336</v>
      </c>
      <c r="C40" s="4" t="str">
        <f>VLOOKUP(D40,'slb RAW'!$E:$F,2)</f>
        <v>DE000A3H2VA6</v>
      </c>
      <c r="D40" s="4" t="s">
        <v>337</v>
      </c>
      <c r="E40" s="4" t="s">
        <v>338</v>
      </c>
      <c r="F40" s="4" t="s">
        <v>339</v>
      </c>
      <c r="G40" s="4" t="s">
        <v>45</v>
      </c>
      <c r="H40" s="4" t="s">
        <v>45</v>
      </c>
      <c r="I40" s="4" t="s">
        <v>45</v>
      </c>
      <c r="J40" s="4">
        <v>4.0</v>
      </c>
      <c r="K40" s="4" t="s">
        <v>340</v>
      </c>
      <c r="L40" s="4" t="s">
        <v>174</v>
      </c>
      <c r="M40" s="16">
        <v>4.0</v>
      </c>
      <c r="N40" s="4" t="s">
        <v>341</v>
      </c>
      <c r="O40" s="4" t="s">
        <v>116</v>
      </c>
      <c r="P40" s="4" t="s">
        <v>174</v>
      </c>
      <c r="Q40" s="4" t="s">
        <v>342</v>
      </c>
      <c r="R40" s="4" t="s">
        <v>53</v>
      </c>
      <c r="S40" s="4" t="s">
        <v>54</v>
      </c>
      <c r="T40" s="4" t="s">
        <v>55</v>
      </c>
      <c r="U40" s="4" t="s">
        <v>343</v>
      </c>
      <c r="V40" s="4" t="s">
        <v>57</v>
      </c>
      <c r="W40" s="4">
        <v>1.82193E8</v>
      </c>
      <c r="X40" s="4" t="s">
        <v>58</v>
      </c>
      <c r="Y40" s="4" t="s">
        <v>59</v>
      </c>
      <c r="Z40" s="4" t="s">
        <v>60</v>
      </c>
      <c r="AA40" s="4" t="s">
        <v>61</v>
      </c>
      <c r="AB40" s="4" t="s">
        <v>177</v>
      </c>
      <c r="AC40" s="4" t="s">
        <v>192</v>
      </c>
      <c r="AD40" s="10" t="s">
        <v>48</v>
      </c>
      <c r="AE40" s="8" t="s">
        <v>139</v>
      </c>
      <c r="AF40" s="12"/>
      <c r="AG40" s="4" t="str">
        <f t="shared" si="1"/>
        <v/>
      </c>
      <c r="AH40" s="12"/>
      <c r="AI40" s="4" t="s">
        <v>344</v>
      </c>
      <c r="AJ40" s="7">
        <f>VLOOKUP(D40,'slb RAW'!$E$2:$AF$293,9)</f>
        <v>4</v>
      </c>
      <c r="AK40" s="4">
        <f>VLOOKUP(D40,'slb RAW'!$E$2:$AE$293,27)</f>
        <v>8.437</v>
      </c>
      <c r="AL40" s="4" t="str">
        <f>VLOOKUP(C40,'Refinitiv SLB'!F40:S217,14)</f>
        <v>#N/A</v>
      </c>
      <c r="AM40" s="4">
        <f t="shared" si="2"/>
        <v>8.437</v>
      </c>
      <c r="AN40" s="9" t="str">
        <f t="shared" si="3"/>
        <v>Vossloh AGPERP/CALLVARIABLEEURSubordinated</v>
      </c>
      <c r="AO40" s="7" t="b">
        <f>ISNUMBER( IFERROR(VLOOKUP(A40,Pairs!$E$2:$E$57,1,FALSE),FALSE))</f>
        <v>0</v>
      </c>
      <c r="AP40" s="7"/>
      <c r="AQ40" s="7"/>
    </row>
    <row r="41" ht="15.75" customHeight="1">
      <c r="A41" s="3">
        <v>46.0</v>
      </c>
      <c r="B41" s="4" t="s">
        <v>345</v>
      </c>
      <c r="C41" s="4" t="str">
        <f>VLOOKUP(D41,'slb RAW'!$E:$F,2)</f>
        <v>US21039CAB00</v>
      </c>
      <c r="D41" s="4" t="s">
        <v>346</v>
      </c>
      <c r="E41" s="4" t="s">
        <v>347</v>
      </c>
      <c r="F41" s="4" t="s">
        <v>348</v>
      </c>
      <c r="G41" s="4" t="s">
        <v>185</v>
      </c>
      <c r="H41" s="4" t="s">
        <v>185</v>
      </c>
      <c r="I41" s="4" t="s">
        <v>186</v>
      </c>
      <c r="J41" s="4">
        <v>3.75</v>
      </c>
      <c r="K41" s="4" t="s">
        <v>349</v>
      </c>
      <c r="L41" s="4" t="s">
        <v>350</v>
      </c>
      <c r="M41" s="4">
        <v>3.75</v>
      </c>
      <c r="N41" s="4" t="s">
        <v>115</v>
      </c>
      <c r="O41" s="4" t="s">
        <v>116</v>
      </c>
      <c r="P41" s="4" t="s">
        <v>262</v>
      </c>
      <c r="Q41" s="4" t="s">
        <v>52</v>
      </c>
      <c r="R41" s="4" t="s">
        <v>263</v>
      </c>
      <c r="S41" s="4" t="s">
        <v>351</v>
      </c>
      <c r="T41" s="4" t="s">
        <v>55</v>
      </c>
      <c r="U41" s="4" t="s">
        <v>56</v>
      </c>
      <c r="V41" s="4" t="s">
        <v>71</v>
      </c>
      <c r="W41" s="4">
        <v>5.0E8</v>
      </c>
      <c r="X41" s="4" t="s">
        <v>85</v>
      </c>
      <c r="Y41" s="4" t="s">
        <v>86</v>
      </c>
      <c r="Z41" s="4" t="s">
        <v>60</v>
      </c>
      <c r="AA41" s="4" t="s">
        <v>61</v>
      </c>
      <c r="AB41" s="4" t="s">
        <v>87</v>
      </c>
      <c r="AC41" s="4" t="s">
        <v>88</v>
      </c>
      <c r="AD41" s="3" t="s">
        <v>352</v>
      </c>
      <c r="AE41" s="7">
        <v>12.5</v>
      </c>
      <c r="AF41" s="12"/>
      <c r="AG41" s="4" t="str">
        <f t="shared" si="1"/>
        <v/>
      </c>
      <c r="AH41" s="8" t="s">
        <v>140</v>
      </c>
      <c r="AI41" s="4" t="s">
        <v>353</v>
      </c>
      <c r="AJ41" s="7">
        <f>VLOOKUP(D41,'slb RAW'!$E$2:$AF$293,9)</f>
        <v>3.75</v>
      </c>
      <c r="AK41" s="4">
        <f>VLOOKUP(D41,'slb RAW'!$E$2:$AE$293,27)</f>
        <v>3.686</v>
      </c>
      <c r="AL41" s="4">
        <f>VLOOKUP(C41,'Refinitiv SLB'!F41:S218,14)</f>
        <v>1.328</v>
      </c>
      <c r="AM41" s="4">
        <f t="shared" si="2"/>
        <v>3.686</v>
      </c>
      <c r="AN41" s="9" t="str">
        <f t="shared" si="3"/>
        <v>Constellium SECALLABLEFIXEDUSDSr Unsecured</v>
      </c>
      <c r="AO41" s="7" t="b">
        <f>ISNUMBER( IFERROR(VLOOKUP(A41,Pairs!$E$2:$E$57,1,FALSE),FALSE))</f>
        <v>1</v>
      </c>
      <c r="AP41" s="7"/>
      <c r="AQ41" s="7"/>
    </row>
    <row r="42" ht="15.75" customHeight="1">
      <c r="A42" s="3">
        <v>47.0</v>
      </c>
      <c r="B42" s="4" t="s">
        <v>345</v>
      </c>
      <c r="C42" s="4" t="str">
        <f>VLOOKUP(D42,'slb RAW'!$E:$F,2)</f>
        <v>USF21107AB74</v>
      </c>
      <c r="D42" s="4" t="s">
        <v>354</v>
      </c>
      <c r="E42" s="4" t="s">
        <v>355</v>
      </c>
      <c r="F42" s="4" t="s">
        <v>348</v>
      </c>
      <c r="G42" s="4" t="s">
        <v>185</v>
      </c>
      <c r="H42" s="4" t="s">
        <v>185</v>
      </c>
      <c r="I42" s="4" t="s">
        <v>186</v>
      </c>
      <c r="J42" s="4">
        <v>3.75</v>
      </c>
      <c r="K42" s="4" t="s">
        <v>349</v>
      </c>
      <c r="L42" s="4" t="s">
        <v>350</v>
      </c>
      <c r="M42" s="4">
        <v>3.75</v>
      </c>
      <c r="N42" s="4" t="s">
        <v>115</v>
      </c>
      <c r="O42" s="4" t="s">
        <v>116</v>
      </c>
      <c r="P42" s="4" t="s">
        <v>271</v>
      </c>
      <c r="Q42" s="4" t="s">
        <v>52</v>
      </c>
      <c r="R42" s="4" t="s">
        <v>263</v>
      </c>
      <c r="S42" s="4" t="s">
        <v>351</v>
      </c>
      <c r="T42" s="4" t="s">
        <v>55</v>
      </c>
      <c r="U42" s="4" t="s">
        <v>56</v>
      </c>
      <c r="V42" s="4" t="s">
        <v>71</v>
      </c>
      <c r="W42" s="4">
        <v>5.0E8</v>
      </c>
      <c r="X42" s="4" t="s">
        <v>85</v>
      </c>
      <c r="Y42" s="4" t="s">
        <v>86</v>
      </c>
      <c r="Z42" s="4" t="s">
        <v>60</v>
      </c>
      <c r="AA42" s="4" t="s">
        <v>61</v>
      </c>
      <c r="AB42" s="4" t="s">
        <v>87</v>
      </c>
      <c r="AC42" s="4" t="s">
        <v>88</v>
      </c>
      <c r="AD42" s="3" t="s">
        <v>352</v>
      </c>
      <c r="AE42" s="7">
        <v>12.5</v>
      </c>
      <c r="AF42" s="12"/>
      <c r="AG42" s="4" t="str">
        <f t="shared" si="1"/>
        <v/>
      </c>
      <c r="AH42" s="8" t="s">
        <v>140</v>
      </c>
      <c r="AI42" s="4" t="s">
        <v>356</v>
      </c>
      <c r="AJ42" s="7">
        <f>VLOOKUP(D42,'slb RAW'!$E$2:$AF$293,9)</f>
        <v>3.75</v>
      </c>
      <c r="AK42" s="4">
        <f>VLOOKUP(D42,'slb RAW'!$E$2:$AE$293,27)</f>
        <v>3.716</v>
      </c>
      <c r="AL42" s="4">
        <f>VLOOKUP(C42,'Refinitiv SLB'!F42:S219,14)</f>
        <v>2.5252</v>
      </c>
      <c r="AM42" s="4">
        <f t="shared" si="2"/>
        <v>3.716</v>
      </c>
      <c r="AN42" s="9" t="str">
        <f t="shared" si="3"/>
        <v>Constellium SECALLABLEFIXEDUSDSr Unsecured</v>
      </c>
      <c r="AO42" s="7" t="b">
        <f>ISNUMBER( IFERROR(VLOOKUP(A42,Pairs!$E$2:$E$57,1,FALSE),FALSE))</f>
        <v>1</v>
      </c>
      <c r="AP42" s="7"/>
      <c r="AQ42" s="7"/>
    </row>
    <row r="43" ht="15.75" customHeight="1">
      <c r="A43" s="3">
        <v>119.0</v>
      </c>
      <c r="B43" s="4" t="s">
        <v>357</v>
      </c>
      <c r="C43" s="4" t="str">
        <f>VLOOKUP(D43,'slb RAW'!$E:$F,2)</f>
        <v>ES0305072011</v>
      </c>
      <c r="D43" s="4" t="s">
        <v>358</v>
      </c>
      <c r="E43" s="4" t="s">
        <v>359</v>
      </c>
      <c r="F43" s="4" t="s">
        <v>222</v>
      </c>
      <c r="G43" s="4" t="s">
        <v>223</v>
      </c>
      <c r="H43" s="4" t="s">
        <v>223</v>
      </c>
      <c r="I43" s="4" t="s">
        <v>223</v>
      </c>
      <c r="J43" s="4">
        <v>4.0</v>
      </c>
      <c r="K43" s="4" t="s">
        <v>360</v>
      </c>
      <c r="L43" s="4" t="s">
        <v>361</v>
      </c>
      <c r="M43" s="17">
        <v>0.0193</v>
      </c>
      <c r="N43" s="4" t="s">
        <v>49</v>
      </c>
      <c r="O43" s="4" t="s">
        <v>50</v>
      </c>
      <c r="P43" s="4" t="s">
        <v>226</v>
      </c>
      <c r="Q43" s="4" t="s">
        <v>52</v>
      </c>
      <c r="R43" s="4" t="s">
        <v>53</v>
      </c>
      <c r="S43" s="4" t="s">
        <v>54</v>
      </c>
      <c r="T43" s="4" t="s">
        <v>55</v>
      </c>
      <c r="U43" s="4" t="s">
        <v>56</v>
      </c>
      <c r="V43" s="4" t="s">
        <v>57</v>
      </c>
      <c r="W43" s="4">
        <v>2.320375E7</v>
      </c>
      <c r="X43" s="4" t="s">
        <v>134</v>
      </c>
      <c r="Y43" s="4" t="s">
        <v>227</v>
      </c>
      <c r="Z43" s="4" t="s">
        <v>60</v>
      </c>
      <c r="AA43" s="4" t="s">
        <v>61</v>
      </c>
      <c r="AB43" s="4" t="s">
        <v>228</v>
      </c>
      <c r="AC43" s="4" t="s">
        <v>229</v>
      </c>
      <c r="AD43" s="10" t="s">
        <v>48</v>
      </c>
      <c r="AE43" s="8" t="s">
        <v>139</v>
      </c>
      <c r="AF43" s="12"/>
      <c r="AG43" s="4" t="str">
        <f t="shared" si="1"/>
        <v/>
      </c>
      <c r="AH43" s="12"/>
      <c r="AI43" s="4" t="s">
        <v>362</v>
      </c>
      <c r="AJ43" s="7" t="str">
        <f>VLOOKUP(D43,'slb RAW'!$E$2:$AF$293,9)</f>
        <v>#N/A N/A</v>
      </c>
      <c r="AK43" s="4" t="str">
        <f>VLOOKUP(D43,'slb RAW'!$E$2:$AE$293,27)</f>
        <v>#N/A N/A</v>
      </c>
      <c r="AL43" s="4" t="str">
        <f>VLOOKUP(C43,'Refinitiv SLB'!F43:S220,14)</f>
        <v>#N/A</v>
      </c>
      <c r="AM43" s="4" t="str">
        <f t="shared" si="2"/>
        <v>#N/A N/A</v>
      </c>
      <c r="AN43" s="9" t="str">
        <f t="shared" si="3"/>
        <v>Grupo Pikolin SLAT MATURITYFIXEDEURSr Unsecured</v>
      </c>
      <c r="AO43" s="7" t="b">
        <f>ISNUMBER( IFERROR(VLOOKUP(A43,Pairs!$E$2:$E$57,1,FALSE),FALSE))</f>
        <v>0</v>
      </c>
      <c r="AP43" s="7"/>
      <c r="AQ43" s="7"/>
    </row>
    <row r="44" ht="15.75" customHeight="1">
      <c r="A44" s="3">
        <v>120.0</v>
      </c>
      <c r="B44" s="4" t="s">
        <v>363</v>
      </c>
      <c r="C44" s="4" t="str">
        <f>VLOOKUP(D44,'slb RAW'!$E:$F,2)</f>
        <v>XS2303070911</v>
      </c>
      <c r="D44" s="4" t="s">
        <v>364</v>
      </c>
      <c r="E44" s="4" t="s">
        <v>365</v>
      </c>
      <c r="F44" s="4" t="s">
        <v>366</v>
      </c>
      <c r="G44" s="4" t="s">
        <v>367</v>
      </c>
      <c r="H44" s="4" t="s">
        <v>367</v>
      </c>
      <c r="I44" s="4" t="s">
        <v>368</v>
      </c>
      <c r="J44" s="4">
        <v>0.25</v>
      </c>
      <c r="K44" s="4" t="s">
        <v>360</v>
      </c>
      <c r="L44" s="4" t="s">
        <v>369</v>
      </c>
      <c r="M44" s="17">
        <v>0.4834</v>
      </c>
      <c r="N44" s="4" t="s">
        <v>115</v>
      </c>
      <c r="O44" s="4" t="s">
        <v>116</v>
      </c>
      <c r="P44" s="4" t="s">
        <v>226</v>
      </c>
      <c r="Q44" s="4" t="s">
        <v>52</v>
      </c>
      <c r="R44" s="4" t="s">
        <v>53</v>
      </c>
      <c r="S44" s="4" t="s">
        <v>190</v>
      </c>
      <c r="T44" s="4" t="s">
        <v>55</v>
      </c>
      <c r="U44" s="4" t="s">
        <v>56</v>
      </c>
      <c r="V44" s="4" t="s">
        <v>57</v>
      </c>
      <c r="W44" s="4">
        <v>6.10625E8</v>
      </c>
      <c r="X44" s="4" t="s">
        <v>134</v>
      </c>
      <c r="Y44" s="4" t="s">
        <v>330</v>
      </c>
      <c r="Z44" s="4" t="s">
        <v>60</v>
      </c>
      <c r="AA44" s="4" t="s">
        <v>61</v>
      </c>
      <c r="AB44" s="4" t="s">
        <v>136</v>
      </c>
      <c r="AC44" s="4" t="s">
        <v>137</v>
      </c>
      <c r="AD44" s="3" t="s">
        <v>370</v>
      </c>
      <c r="AE44" s="7">
        <v>25.0</v>
      </c>
      <c r="AF44" s="12"/>
      <c r="AG44" s="4" t="str">
        <f t="shared" si="1"/>
        <v/>
      </c>
      <c r="AH44" s="8" t="s">
        <v>125</v>
      </c>
      <c r="AI44" s="4" t="s">
        <v>371</v>
      </c>
      <c r="AJ44" s="7" t="str">
        <f>VLOOKUP(D44,'slb RAW'!$E$2:$AF$293,9)</f>
        <v>#N/A N/A</v>
      </c>
      <c r="AK44" s="4">
        <f>VLOOKUP(D44,'slb RAW'!$E$2:$AE$293,27)</f>
        <v>0.469</v>
      </c>
      <c r="AL44" s="4">
        <f>VLOOKUP(C44,'Refinitiv SLB'!F44:S221,14)</f>
        <v>4.231</v>
      </c>
      <c r="AM44" s="4">
        <f t="shared" si="2"/>
        <v>0.469</v>
      </c>
      <c r="AN44" s="9" t="str">
        <f t="shared" si="3"/>
        <v>H&amp;M Finance BVCALLABLEFIXEDEURSr Unsecured</v>
      </c>
      <c r="AO44" s="7" t="b">
        <f>ISNUMBER( IFERROR(VLOOKUP(A44,Pairs!$E$2:$E$57,1,FALSE),FALSE))</f>
        <v>0</v>
      </c>
      <c r="AP44" s="7"/>
      <c r="AQ44" s="7"/>
    </row>
    <row r="45" ht="15.75" customHeight="1">
      <c r="A45" s="3">
        <v>147.0</v>
      </c>
      <c r="B45" s="4" t="s">
        <v>372</v>
      </c>
      <c r="C45" s="4" t="str">
        <f>VLOOKUP(D45,'slb RAW'!$E:$F,2)</f>
        <v>#N/A Field Not Applicable</v>
      </c>
      <c r="D45" s="4" t="s">
        <v>373</v>
      </c>
      <c r="E45" s="4" t="s">
        <v>374</v>
      </c>
      <c r="F45" s="4" t="s">
        <v>375</v>
      </c>
      <c r="G45" s="4" t="s">
        <v>45</v>
      </c>
      <c r="H45" s="4" t="s">
        <v>45</v>
      </c>
      <c r="I45" s="4" t="s">
        <v>45</v>
      </c>
      <c r="J45" s="4">
        <v>0.0</v>
      </c>
      <c r="K45" s="4" t="s">
        <v>376</v>
      </c>
      <c r="L45" s="4" t="s">
        <v>377</v>
      </c>
      <c r="M45" s="10" t="s">
        <v>48</v>
      </c>
      <c r="N45" s="4" t="s">
        <v>49</v>
      </c>
      <c r="O45" s="4" t="s">
        <v>50</v>
      </c>
      <c r="P45" s="4" t="s">
        <v>51</v>
      </c>
      <c r="Q45" s="4" t="s">
        <v>52</v>
      </c>
      <c r="R45" s="4" t="s">
        <v>53</v>
      </c>
      <c r="S45" s="4" t="s">
        <v>54</v>
      </c>
      <c r="T45" s="4" t="s">
        <v>55</v>
      </c>
      <c r="U45" s="4" t="s">
        <v>70</v>
      </c>
      <c r="V45" s="4" t="s">
        <v>71</v>
      </c>
      <c r="W45" s="4">
        <v>4.7E8</v>
      </c>
      <c r="X45" s="4" t="s">
        <v>378</v>
      </c>
      <c r="Y45" s="4" t="s">
        <v>379</v>
      </c>
      <c r="Z45" s="4" t="s">
        <v>60</v>
      </c>
      <c r="AA45" s="4" t="s">
        <v>61</v>
      </c>
      <c r="AB45" s="4" t="s">
        <v>378</v>
      </c>
      <c r="AC45" s="4" t="s">
        <v>378</v>
      </c>
      <c r="AD45" s="3" t="s">
        <v>380</v>
      </c>
      <c r="AE45" s="8" t="s">
        <v>139</v>
      </c>
      <c r="AF45" s="12"/>
      <c r="AG45" s="4" t="str">
        <f t="shared" si="1"/>
        <v/>
      </c>
      <c r="AH45" s="8" t="s">
        <v>140</v>
      </c>
      <c r="AI45" s="4" t="s">
        <v>381</v>
      </c>
      <c r="AJ45" s="7" t="str">
        <f>VLOOKUP(D45,'slb RAW'!$E$2:$AF$293,9)</f>
        <v>#N/A N/A</v>
      </c>
      <c r="AK45" s="4" t="str">
        <f>VLOOKUP(D45,'slb RAW'!$E$2:$AE$293,27)</f>
        <v>#N/A N/A</v>
      </c>
      <c r="AL45" s="4" t="str">
        <f>VLOOKUP(C45,'Refinitiv SLB'!F45:S222,14)</f>
        <v>#N/A</v>
      </c>
      <c r="AM45" s="4" t="str">
        <f t="shared" si="2"/>
        <v>#N/A N/A</v>
      </c>
      <c r="AN45" s="9" t="str">
        <f t="shared" si="3"/>
        <v>Jenoptik AGAT MATURITYFLOATINGEURSr Unsecured</v>
      </c>
      <c r="AO45" s="7" t="b">
        <f>ISNUMBER( IFERROR(VLOOKUP(A45,Pairs!$E$2:$E$57,1,FALSE),FALSE))</f>
        <v>0</v>
      </c>
      <c r="AP45" s="7"/>
      <c r="AQ45" s="7"/>
    </row>
    <row r="46" ht="15.75" customHeight="1">
      <c r="A46" s="3">
        <v>146.0</v>
      </c>
      <c r="B46" s="4" t="s">
        <v>372</v>
      </c>
      <c r="C46" s="4" t="str">
        <f>VLOOKUP(D46,'slb RAW'!$E:$F,2)</f>
        <v>#N/A Field Not Applicable</v>
      </c>
      <c r="D46" s="4" t="s">
        <v>382</v>
      </c>
      <c r="E46" s="4" t="s">
        <v>383</v>
      </c>
      <c r="F46" s="4" t="s">
        <v>375</v>
      </c>
      <c r="G46" s="4" t="s">
        <v>45</v>
      </c>
      <c r="H46" s="4" t="s">
        <v>45</v>
      </c>
      <c r="I46" s="4" t="s">
        <v>45</v>
      </c>
      <c r="J46" s="4">
        <v>0.0</v>
      </c>
      <c r="K46" s="4" t="s">
        <v>376</v>
      </c>
      <c r="L46" s="4" t="s">
        <v>384</v>
      </c>
      <c r="M46" s="10" t="s">
        <v>48</v>
      </c>
      <c r="N46" s="4" t="s">
        <v>49</v>
      </c>
      <c r="O46" s="4" t="s">
        <v>50</v>
      </c>
      <c r="P46" s="4" t="s">
        <v>69</v>
      </c>
      <c r="Q46" s="4" t="s">
        <v>52</v>
      </c>
      <c r="R46" s="4" t="s">
        <v>53</v>
      </c>
      <c r="S46" s="4" t="s">
        <v>54</v>
      </c>
      <c r="T46" s="4" t="s">
        <v>55</v>
      </c>
      <c r="U46" s="4" t="s">
        <v>70</v>
      </c>
      <c r="V46" s="4" t="s">
        <v>71</v>
      </c>
      <c r="W46" s="4">
        <v>4.1125E8</v>
      </c>
      <c r="X46" s="4" t="s">
        <v>378</v>
      </c>
      <c r="Y46" s="4" t="s">
        <v>379</v>
      </c>
      <c r="Z46" s="4" t="s">
        <v>60</v>
      </c>
      <c r="AA46" s="4" t="s">
        <v>61</v>
      </c>
      <c r="AB46" s="4" t="s">
        <v>378</v>
      </c>
      <c r="AC46" s="4" t="s">
        <v>378</v>
      </c>
      <c r="AD46" s="3" t="s">
        <v>380</v>
      </c>
      <c r="AE46" s="8" t="s">
        <v>139</v>
      </c>
      <c r="AF46" s="12"/>
      <c r="AG46" s="4" t="str">
        <f t="shared" si="1"/>
        <v/>
      </c>
      <c r="AH46" s="8" t="s">
        <v>140</v>
      </c>
      <c r="AI46" s="4" t="s">
        <v>381</v>
      </c>
      <c r="AJ46" s="7" t="str">
        <f>VLOOKUP(D46,'slb RAW'!$E$2:$AF$293,9)</f>
        <v>#N/A N/A</v>
      </c>
      <c r="AK46" s="4" t="str">
        <f>VLOOKUP(D46,'slb RAW'!$E$2:$AE$293,27)</f>
        <v>#N/A N/A</v>
      </c>
      <c r="AL46" s="4" t="str">
        <f>VLOOKUP(C46,'Refinitiv SLB'!F46:S223,14)</f>
        <v>#N/A</v>
      </c>
      <c r="AM46" s="4" t="str">
        <f t="shared" si="2"/>
        <v>#N/A N/A</v>
      </c>
      <c r="AN46" s="9" t="str">
        <f t="shared" si="3"/>
        <v>Jenoptik AGAT MATURITYFLOATINGEURSr Unsecured</v>
      </c>
      <c r="AO46" s="7" t="b">
        <f>ISNUMBER( IFERROR(VLOOKUP(A46,Pairs!$E$2:$E$57,1,FALSE),FALSE))</f>
        <v>0</v>
      </c>
      <c r="AP46" s="7"/>
      <c r="AQ46" s="7"/>
    </row>
    <row r="47" ht="15.75" customHeight="1">
      <c r="A47" s="3">
        <v>150.0</v>
      </c>
      <c r="B47" s="4" t="s">
        <v>372</v>
      </c>
      <c r="C47" s="4" t="str">
        <f>VLOOKUP(D47,'slb RAW'!$E:$F,2)</f>
        <v>#N/A Field Not Applicable</v>
      </c>
      <c r="D47" s="4" t="s">
        <v>385</v>
      </c>
      <c r="E47" s="4" t="s">
        <v>386</v>
      </c>
      <c r="F47" s="4" t="s">
        <v>375</v>
      </c>
      <c r="G47" s="4" t="s">
        <v>45</v>
      </c>
      <c r="H47" s="4" t="s">
        <v>45</v>
      </c>
      <c r="I47" s="4" t="s">
        <v>45</v>
      </c>
      <c r="J47" s="4">
        <v>0.0</v>
      </c>
      <c r="K47" s="4" t="s">
        <v>376</v>
      </c>
      <c r="L47" s="4" t="s">
        <v>387</v>
      </c>
      <c r="M47" s="10" t="s">
        <v>48</v>
      </c>
      <c r="N47" s="4" t="s">
        <v>49</v>
      </c>
      <c r="O47" s="4" t="s">
        <v>50</v>
      </c>
      <c r="P47" s="4" t="s">
        <v>76</v>
      </c>
      <c r="Q47" s="4" t="s">
        <v>52</v>
      </c>
      <c r="R47" s="4" t="s">
        <v>53</v>
      </c>
      <c r="S47" s="4" t="s">
        <v>54</v>
      </c>
      <c r="T47" s="4" t="s">
        <v>55</v>
      </c>
      <c r="U47" s="4" t="s">
        <v>70</v>
      </c>
      <c r="V47" s="4" t="s">
        <v>71</v>
      </c>
      <c r="W47" s="4">
        <v>4.1125E8</v>
      </c>
      <c r="X47" s="4" t="s">
        <v>378</v>
      </c>
      <c r="Y47" s="4" t="s">
        <v>379</v>
      </c>
      <c r="Z47" s="4" t="s">
        <v>60</v>
      </c>
      <c r="AA47" s="4" t="s">
        <v>61</v>
      </c>
      <c r="AB47" s="4" t="s">
        <v>378</v>
      </c>
      <c r="AC47" s="4" t="s">
        <v>378</v>
      </c>
      <c r="AD47" s="3" t="s">
        <v>388</v>
      </c>
      <c r="AE47" s="8" t="s">
        <v>139</v>
      </c>
      <c r="AF47" s="12"/>
      <c r="AG47" s="4" t="str">
        <f t="shared" si="1"/>
        <v/>
      </c>
      <c r="AH47" s="8" t="s">
        <v>140</v>
      </c>
      <c r="AI47" s="4" t="s">
        <v>381</v>
      </c>
      <c r="AJ47" s="7" t="str">
        <f>VLOOKUP(D47,'slb RAW'!$E$2:$AF$293,9)</f>
        <v>#N/A N/A</v>
      </c>
      <c r="AK47" s="4" t="str">
        <f>VLOOKUP(D47,'slb RAW'!$E$2:$AE$293,27)</f>
        <v>#N/A N/A</v>
      </c>
      <c r="AL47" s="4" t="str">
        <f>VLOOKUP(C47,'Refinitiv SLB'!F47:S224,14)</f>
        <v>#N/A</v>
      </c>
      <c r="AM47" s="4" t="str">
        <f t="shared" si="2"/>
        <v>#N/A N/A</v>
      </c>
      <c r="AN47" s="9" t="str">
        <f t="shared" si="3"/>
        <v>Jenoptik AGAT MATURITYFLOATINGEURSr Unsecured</v>
      </c>
      <c r="AO47" s="7" t="b">
        <f>ISNUMBER( IFERROR(VLOOKUP(A47,Pairs!$E$2:$E$57,1,FALSE),FALSE))</f>
        <v>0</v>
      </c>
      <c r="AP47" s="7"/>
      <c r="AQ47" s="7"/>
    </row>
    <row r="48" ht="15.75" customHeight="1">
      <c r="A48" s="3">
        <v>148.0</v>
      </c>
      <c r="B48" s="4" t="s">
        <v>372</v>
      </c>
      <c r="C48" s="4" t="str">
        <f>VLOOKUP(D48,'slb RAW'!$E:$F,2)</f>
        <v>#N/A Field Not Applicable</v>
      </c>
      <c r="D48" s="4" t="s">
        <v>389</v>
      </c>
      <c r="E48" s="4" t="s">
        <v>390</v>
      </c>
      <c r="F48" s="4" t="s">
        <v>375</v>
      </c>
      <c r="G48" s="4" t="s">
        <v>45</v>
      </c>
      <c r="H48" s="4" t="s">
        <v>45</v>
      </c>
      <c r="I48" s="4" t="s">
        <v>45</v>
      </c>
      <c r="J48" s="4">
        <v>0.0</v>
      </c>
      <c r="K48" s="4" t="s">
        <v>376</v>
      </c>
      <c r="L48" s="4" t="s">
        <v>387</v>
      </c>
      <c r="M48" s="10" t="s">
        <v>48</v>
      </c>
      <c r="N48" s="4" t="s">
        <v>49</v>
      </c>
      <c r="O48" s="4" t="s">
        <v>50</v>
      </c>
      <c r="P48" s="4" t="s">
        <v>391</v>
      </c>
      <c r="Q48" s="4" t="s">
        <v>52</v>
      </c>
      <c r="R48" s="4" t="s">
        <v>263</v>
      </c>
      <c r="S48" s="4" t="s">
        <v>54</v>
      </c>
      <c r="T48" s="4" t="s">
        <v>55</v>
      </c>
      <c r="U48" s="4" t="s">
        <v>70</v>
      </c>
      <c r="V48" s="4" t="s">
        <v>392</v>
      </c>
      <c r="W48" s="4">
        <v>5.9E7</v>
      </c>
      <c r="X48" s="4" t="s">
        <v>378</v>
      </c>
      <c r="Y48" s="4" t="s">
        <v>379</v>
      </c>
      <c r="Z48" s="4" t="s">
        <v>60</v>
      </c>
      <c r="AA48" s="4" t="s">
        <v>61</v>
      </c>
      <c r="AB48" s="4" t="s">
        <v>378</v>
      </c>
      <c r="AC48" s="4" t="s">
        <v>378</v>
      </c>
      <c r="AD48" s="3" t="s">
        <v>388</v>
      </c>
      <c r="AE48" s="8" t="s">
        <v>139</v>
      </c>
      <c r="AF48" s="12"/>
      <c r="AG48" s="4" t="str">
        <f t="shared" si="1"/>
        <v/>
      </c>
      <c r="AH48" s="8" t="s">
        <v>140</v>
      </c>
      <c r="AI48" s="4" t="s">
        <v>393</v>
      </c>
      <c r="AJ48" s="7" t="str">
        <f>VLOOKUP(D48,'slb RAW'!$E$2:$AF$293,9)</f>
        <v>#N/A N/A</v>
      </c>
      <c r="AK48" s="4" t="str">
        <f>VLOOKUP(D48,'slb RAW'!$E$2:$AE$293,27)</f>
        <v>#N/A N/A</v>
      </c>
      <c r="AL48" s="4" t="str">
        <f>VLOOKUP(C48,'Refinitiv SLB'!F48:S225,14)</f>
        <v>#N/A</v>
      </c>
      <c r="AM48" s="4" t="str">
        <f t="shared" si="2"/>
        <v>#N/A N/A</v>
      </c>
      <c r="AN48" s="9" t="str">
        <f t="shared" si="3"/>
        <v>Jenoptik AGAT MATURITYFLOATINGUSDSr Unsecured</v>
      </c>
      <c r="AO48" s="7" t="b">
        <f>ISNUMBER( IFERROR(VLOOKUP(A48,Pairs!$E$2:$E$57,1,FALSE),FALSE))</f>
        <v>0</v>
      </c>
      <c r="AP48" s="7"/>
      <c r="AQ48" s="7"/>
    </row>
    <row r="49" ht="15.75" customHeight="1">
      <c r="A49" s="3">
        <v>149.0</v>
      </c>
      <c r="B49" s="4" t="s">
        <v>372</v>
      </c>
      <c r="C49" s="4" t="str">
        <f>VLOOKUP(D49,'slb RAW'!$E:$F,2)</f>
        <v>#N/A Field Not Applicable</v>
      </c>
      <c r="D49" s="4" t="s">
        <v>394</v>
      </c>
      <c r="E49" s="4" t="s">
        <v>395</v>
      </c>
      <c r="F49" s="4" t="s">
        <v>375</v>
      </c>
      <c r="G49" s="4" t="s">
        <v>45</v>
      </c>
      <c r="H49" s="4" t="s">
        <v>45</v>
      </c>
      <c r="I49" s="4" t="s">
        <v>45</v>
      </c>
      <c r="J49" s="4">
        <v>0.0</v>
      </c>
      <c r="K49" s="4" t="s">
        <v>376</v>
      </c>
      <c r="L49" s="4" t="s">
        <v>396</v>
      </c>
      <c r="M49" s="6" t="s">
        <v>48</v>
      </c>
      <c r="N49" s="4" t="s">
        <v>49</v>
      </c>
      <c r="O49" s="4" t="s">
        <v>50</v>
      </c>
      <c r="P49" s="4" t="s">
        <v>145</v>
      </c>
      <c r="Q49" s="4" t="s">
        <v>52</v>
      </c>
      <c r="R49" s="4" t="s">
        <v>53</v>
      </c>
      <c r="S49" s="4" t="s">
        <v>54</v>
      </c>
      <c r="T49" s="4" t="s">
        <v>55</v>
      </c>
      <c r="U49" s="4" t="s">
        <v>70</v>
      </c>
      <c r="V49" s="4" t="s">
        <v>71</v>
      </c>
      <c r="W49" s="4">
        <v>4.1125E8</v>
      </c>
      <c r="X49" s="4" t="s">
        <v>378</v>
      </c>
      <c r="Y49" s="4" t="s">
        <v>379</v>
      </c>
      <c r="Z49" s="4" t="s">
        <v>60</v>
      </c>
      <c r="AA49" s="4" t="s">
        <v>61</v>
      </c>
      <c r="AB49" s="4" t="s">
        <v>378</v>
      </c>
      <c r="AC49" s="4" t="s">
        <v>378</v>
      </c>
      <c r="AD49" s="3" t="s">
        <v>388</v>
      </c>
      <c r="AE49" s="8" t="s">
        <v>139</v>
      </c>
      <c r="AF49" s="12"/>
      <c r="AG49" s="4" t="str">
        <f t="shared" si="1"/>
        <v/>
      </c>
      <c r="AH49" s="8" t="s">
        <v>140</v>
      </c>
      <c r="AI49" s="4" t="s">
        <v>381</v>
      </c>
      <c r="AJ49" s="7" t="str">
        <f>VLOOKUP(D49,'slb RAW'!$E$2:$AF$293,9)</f>
        <v>#N/A N/A</v>
      </c>
      <c r="AK49" s="4" t="str">
        <f>VLOOKUP(D49,'slb RAW'!$E$2:$AE$293,27)</f>
        <v>#N/A N/A</v>
      </c>
      <c r="AL49" s="4" t="str">
        <f>VLOOKUP(C49,'Refinitiv SLB'!F49:S226,14)</f>
        <v>#N/A</v>
      </c>
      <c r="AM49" s="4" t="str">
        <f t="shared" si="2"/>
        <v>#N/A N/A</v>
      </c>
      <c r="AN49" s="9" t="str">
        <f t="shared" si="3"/>
        <v>Jenoptik AGAT MATURITYFLOATINGEURSr Unsecured</v>
      </c>
      <c r="AO49" s="7" t="b">
        <f>ISNUMBER( IFERROR(VLOOKUP(A49,Pairs!$E$2:$E$57,1,FALSE),FALSE))</f>
        <v>0</v>
      </c>
      <c r="AP49" s="7"/>
      <c r="AQ49" s="7"/>
    </row>
    <row r="50" ht="15.75" customHeight="1">
      <c r="A50" s="3">
        <v>253.0</v>
      </c>
      <c r="B50" s="4" t="s">
        <v>273</v>
      </c>
      <c r="C50" s="4" t="str">
        <f>VLOOKUP(D50,'slb RAW'!$E:$F,2)</f>
        <v>#N/A Field Not Applicable</v>
      </c>
      <c r="D50" s="4" t="s">
        <v>397</v>
      </c>
      <c r="E50" s="4" t="s">
        <v>398</v>
      </c>
      <c r="F50" s="4" t="s">
        <v>276</v>
      </c>
      <c r="G50" s="4" t="s">
        <v>45</v>
      </c>
      <c r="H50" s="4" t="s">
        <v>45</v>
      </c>
      <c r="I50" s="4" t="s">
        <v>45</v>
      </c>
      <c r="J50" s="4">
        <v>0.0</v>
      </c>
      <c r="K50" s="4" t="s">
        <v>277</v>
      </c>
      <c r="L50" s="4" t="s">
        <v>278</v>
      </c>
      <c r="M50" s="6" t="s">
        <v>48</v>
      </c>
      <c r="N50" s="4" t="s">
        <v>49</v>
      </c>
      <c r="O50" s="4" t="s">
        <v>50</v>
      </c>
      <c r="P50" s="4" t="s">
        <v>101</v>
      </c>
      <c r="Q50" s="4" t="s">
        <v>52</v>
      </c>
      <c r="R50" s="4" t="s">
        <v>53</v>
      </c>
      <c r="S50" s="4" t="s">
        <v>54</v>
      </c>
      <c r="T50" s="4" t="s">
        <v>55</v>
      </c>
      <c r="U50" s="4" t="s">
        <v>56</v>
      </c>
      <c r="V50" s="4" t="s">
        <v>57</v>
      </c>
      <c r="W50" s="4">
        <v>8.44921E8</v>
      </c>
      <c r="X50" s="4" t="s">
        <v>58</v>
      </c>
      <c r="Y50" s="4" t="s">
        <v>279</v>
      </c>
      <c r="Z50" s="4" t="s">
        <v>60</v>
      </c>
      <c r="AA50" s="4" t="s">
        <v>61</v>
      </c>
      <c r="AB50" s="4" t="s">
        <v>280</v>
      </c>
      <c r="AC50" s="4" t="s">
        <v>281</v>
      </c>
      <c r="AD50" s="3" t="s">
        <v>287</v>
      </c>
      <c r="AE50" s="8" t="s">
        <v>139</v>
      </c>
      <c r="AF50" s="12"/>
      <c r="AG50" s="4" t="str">
        <f t="shared" si="1"/>
        <v/>
      </c>
      <c r="AH50" s="8" t="s">
        <v>140</v>
      </c>
      <c r="AI50" s="4" t="s">
        <v>283</v>
      </c>
      <c r="AJ50" s="7" t="str">
        <f>VLOOKUP(D50,'slb RAW'!$E$2:$AF$293,9)</f>
        <v>#N/A N/A</v>
      </c>
      <c r="AK50" s="4" t="str">
        <f>VLOOKUP(D50,'slb RAW'!$E$2:$AE$293,27)</f>
        <v>#N/A N/A</v>
      </c>
      <c r="AL50" s="4" t="str">
        <f>VLOOKUP(C50,'Refinitiv SLB'!F50:S227,14)</f>
        <v>#N/A</v>
      </c>
      <c r="AM50" s="4" t="str">
        <f t="shared" si="2"/>
        <v>#N/A N/A</v>
      </c>
      <c r="AN50" s="9" t="str">
        <f t="shared" si="3"/>
        <v>Traton SEAT MATURITYFIXEDEURSr Unsecured</v>
      </c>
      <c r="AO50" s="7" t="b">
        <f>ISNUMBER( IFERROR(VLOOKUP(A50,Pairs!$E$2:$E$57,1,FALSE),FALSE))</f>
        <v>0</v>
      </c>
      <c r="AP50" s="7"/>
      <c r="AQ50" s="7"/>
    </row>
    <row r="51" ht="15.75" customHeight="1">
      <c r="A51" s="3">
        <v>255.0</v>
      </c>
      <c r="B51" s="4" t="s">
        <v>273</v>
      </c>
      <c r="C51" s="4" t="str">
        <f>VLOOKUP(D51,'slb RAW'!$E:$F,2)</f>
        <v>#N/A Field Not Applicable</v>
      </c>
      <c r="D51" s="4" t="s">
        <v>399</v>
      </c>
      <c r="E51" s="4" t="s">
        <v>400</v>
      </c>
      <c r="F51" s="4" t="s">
        <v>276</v>
      </c>
      <c r="G51" s="4" t="s">
        <v>45</v>
      </c>
      <c r="H51" s="4" t="s">
        <v>45</v>
      </c>
      <c r="I51" s="4" t="s">
        <v>45</v>
      </c>
      <c r="J51" s="4">
        <v>0.0</v>
      </c>
      <c r="K51" s="4" t="s">
        <v>277</v>
      </c>
      <c r="L51" s="4" t="s">
        <v>278</v>
      </c>
      <c r="M51" s="6" t="s">
        <v>48</v>
      </c>
      <c r="N51" s="4" t="s">
        <v>49</v>
      </c>
      <c r="O51" s="4" t="s">
        <v>50</v>
      </c>
      <c r="P51" s="4" t="s">
        <v>104</v>
      </c>
      <c r="Q51" s="4" t="s">
        <v>52</v>
      </c>
      <c r="R51" s="4" t="s">
        <v>53</v>
      </c>
      <c r="S51" s="4" t="s">
        <v>54</v>
      </c>
      <c r="T51" s="4" t="s">
        <v>55</v>
      </c>
      <c r="U51" s="4" t="s">
        <v>56</v>
      </c>
      <c r="V51" s="4" t="s">
        <v>57</v>
      </c>
      <c r="W51" s="4">
        <v>8.44921E8</v>
      </c>
      <c r="X51" s="4" t="s">
        <v>58</v>
      </c>
      <c r="Y51" s="4" t="s">
        <v>279</v>
      </c>
      <c r="Z51" s="4" t="s">
        <v>60</v>
      </c>
      <c r="AA51" s="4" t="s">
        <v>61</v>
      </c>
      <c r="AB51" s="4" t="s">
        <v>280</v>
      </c>
      <c r="AC51" s="4" t="s">
        <v>281</v>
      </c>
      <c r="AD51" s="3" t="s">
        <v>287</v>
      </c>
      <c r="AE51" s="8" t="s">
        <v>139</v>
      </c>
      <c r="AF51" s="12"/>
      <c r="AG51" s="4" t="str">
        <f t="shared" si="1"/>
        <v/>
      </c>
      <c r="AH51" s="8" t="s">
        <v>140</v>
      </c>
      <c r="AI51" s="4" t="s">
        <v>283</v>
      </c>
      <c r="AJ51" s="7" t="str">
        <f>VLOOKUP(D51,'slb RAW'!$E$2:$AF$293,9)</f>
        <v>#N/A N/A</v>
      </c>
      <c r="AK51" s="4" t="str">
        <f>VLOOKUP(D51,'slb RAW'!$E$2:$AE$293,27)</f>
        <v>#N/A N/A</v>
      </c>
      <c r="AL51" s="4" t="str">
        <f>VLOOKUP(C51,'Refinitiv SLB'!F51:S228,14)</f>
        <v>#N/A</v>
      </c>
      <c r="AM51" s="4" t="str">
        <f t="shared" si="2"/>
        <v>#N/A N/A</v>
      </c>
      <c r="AN51" s="9" t="str">
        <f t="shared" si="3"/>
        <v>Traton SEAT MATURITYFIXEDEURSr Unsecured</v>
      </c>
      <c r="AO51" s="7" t="b">
        <f>ISNUMBER( IFERROR(VLOOKUP(A51,Pairs!$E$2:$E$57,1,FALSE),FALSE))</f>
        <v>0</v>
      </c>
      <c r="AP51" s="7"/>
      <c r="AQ51" s="7"/>
    </row>
    <row r="52" ht="15.75" customHeight="1">
      <c r="A52" s="3">
        <v>254.0</v>
      </c>
      <c r="B52" s="4" t="s">
        <v>273</v>
      </c>
      <c r="C52" s="4" t="str">
        <f>VLOOKUP(D52,'slb RAW'!$E:$F,2)</f>
        <v>#N/A Field Not Applicable</v>
      </c>
      <c r="D52" s="4" t="s">
        <v>401</v>
      </c>
      <c r="E52" s="4" t="s">
        <v>402</v>
      </c>
      <c r="F52" s="4" t="s">
        <v>276</v>
      </c>
      <c r="G52" s="4" t="s">
        <v>45</v>
      </c>
      <c r="H52" s="4" t="s">
        <v>45</v>
      </c>
      <c r="I52" s="4" t="s">
        <v>45</v>
      </c>
      <c r="J52" s="4">
        <v>0.0</v>
      </c>
      <c r="K52" s="4" t="s">
        <v>277</v>
      </c>
      <c r="L52" s="4" t="s">
        <v>278</v>
      </c>
      <c r="M52" s="6" t="s">
        <v>48</v>
      </c>
      <c r="N52" s="4" t="s">
        <v>49</v>
      </c>
      <c r="O52" s="4" t="s">
        <v>50</v>
      </c>
      <c r="P52" s="4" t="s">
        <v>107</v>
      </c>
      <c r="Q52" s="4" t="s">
        <v>52</v>
      </c>
      <c r="R52" s="4" t="s">
        <v>53</v>
      </c>
      <c r="S52" s="4" t="s">
        <v>54</v>
      </c>
      <c r="T52" s="4" t="s">
        <v>55</v>
      </c>
      <c r="U52" s="4" t="s">
        <v>56</v>
      </c>
      <c r="V52" s="4" t="s">
        <v>57</v>
      </c>
      <c r="W52" s="4">
        <v>8.44921E8</v>
      </c>
      <c r="X52" s="4" t="s">
        <v>58</v>
      </c>
      <c r="Y52" s="4" t="s">
        <v>279</v>
      </c>
      <c r="Z52" s="4" t="s">
        <v>60</v>
      </c>
      <c r="AA52" s="4" t="s">
        <v>61</v>
      </c>
      <c r="AB52" s="4" t="s">
        <v>280</v>
      </c>
      <c r="AC52" s="4" t="s">
        <v>281</v>
      </c>
      <c r="AD52" s="3" t="s">
        <v>403</v>
      </c>
      <c r="AE52" s="8" t="s">
        <v>139</v>
      </c>
      <c r="AF52" s="12"/>
      <c r="AG52" s="4" t="str">
        <f t="shared" si="1"/>
        <v/>
      </c>
      <c r="AH52" s="8" t="s">
        <v>140</v>
      </c>
      <c r="AI52" s="4" t="s">
        <v>283</v>
      </c>
      <c r="AJ52" s="7" t="str">
        <f>VLOOKUP(D52,'slb RAW'!$E$2:$AF$293,9)</f>
        <v>#N/A N/A</v>
      </c>
      <c r="AK52" s="4" t="str">
        <f>VLOOKUP(D52,'slb RAW'!$E$2:$AE$293,27)</f>
        <v>#N/A N/A</v>
      </c>
      <c r="AL52" s="4" t="str">
        <f>VLOOKUP(C52,'Refinitiv SLB'!F52:S229,14)</f>
        <v>#N/A</v>
      </c>
      <c r="AM52" s="4" t="str">
        <f t="shared" si="2"/>
        <v>#N/A N/A</v>
      </c>
      <c r="AN52" s="9" t="str">
        <f t="shared" si="3"/>
        <v>Traton SEAT MATURITYFIXEDEURSr Unsecured</v>
      </c>
      <c r="AO52" s="7" t="b">
        <f>ISNUMBER( IFERROR(VLOOKUP(A52,Pairs!$E$2:$E$57,1,FALSE),FALSE))</f>
        <v>0</v>
      </c>
      <c r="AP52" s="7"/>
      <c r="AQ52" s="7"/>
    </row>
    <row r="53" ht="15.75" customHeight="1">
      <c r="A53" s="3">
        <v>202.0</v>
      </c>
      <c r="B53" s="4" t="s">
        <v>404</v>
      </c>
      <c r="C53" s="4" t="str">
        <f>VLOOKUP(D53,'slb RAW'!$E:$F,2)</f>
        <v>XS2314265237</v>
      </c>
      <c r="D53" s="4" t="s">
        <v>405</v>
      </c>
      <c r="E53" s="4" t="s">
        <v>406</v>
      </c>
      <c r="F53" s="4" t="s">
        <v>407</v>
      </c>
      <c r="G53" s="4" t="s">
        <v>408</v>
      </c>
      <c r="H53" s="4" t="s">
        <v>408</v>
      </c>
      <c r="I53" s="4" t="s">
        <v>408</v>
      </c>
      <c r="J53" s="4">
        <v>3.875</v>
      </c>
      <c r="K53" s="4" t="s">
        <v>409</v>
      </c>
      <c r="L53" s="4" t="s">
        <v>410</v>
      </c>
      <c r="M53" s="4">
        <v>3.875</v>
      </c>
      <c r="N53" s="4" t="s">
        <v>115</v>
      </c>
      <c r="O53" s="4" t="s">
        <v>116</v>
      </c>
      <c r="P53" s="4" t="s">
        <v>174</v>
      </c>
      <c r="Q53" s="4" t="s">
        <v>52</v>
      </c>
      <c r="R53" s="4" t="s">
        <v>53</v>
      </c>
      <c r="S53" s="4" t="s">
        <v>411</v>
      </c>
      <c r="T53" s="4" t="s">
        <v>175</v>
      </c>
      <c r="U53" s="4" t="s">
        <v>56</v>
      </c>
      <c r="V53" s="4" t="s">
        <v>71</v>
      </c>
      <c r="W53" s="4">
        <v>9.2452075E8</v>
      </c>
      <c r="X53" s="4" t="s">
        <v>120</v>
      </c>
      <c r="Y53" s="4" t="s">
        <v>120</v>
      </c>
      <c r="Z53" s="4" t="s">
        <v>203</v>
      </c>
      <c r="AA53" s="4" t="s">
        <v>412</v>
      </c>
      <c r="AB53" s="4" t="s">
        <v>413</v>
      </c>
      <c r="AC53" s="4" t="s">
        <v>413</v>
      </c>
      <c r="AD53" s="3" t="s">
        <v>414</v>
      </c>
      <c r="AE53" s="7">
        <v>50.0</v>
      </c>
      <c r="AF53" s="12"/>
      <c r="AG53" s="4" t="str">
        <f t="shared" si="1"/>
        <v/>
      </c>
      <c r="AH53" s="8" t="s">
        <v>125</v>
      </c>
      <c r="AI53" s="4" t="s">
        <v>415</v>
      </c>
      <c r="AJ53" s="7">
        <f>VLOOKUP(D53,'slb RAW'!$E$2:$AF$293,9)</f>
        <v>3.875</v>
      </c>
      <c r="AK53" s="4">
        <f>VLOOKUP(D53,'slb RAW'!$E$2:$AE$293,27)</f>
        <v>3.449</v>
      </c>
      <c r="AL53" s="4">
        <f>VLOOKUP(C53,'Refinitiv SLB'!F53:S230,14)</f>
        <v>0.035</v>
      </c>
      <c r="AM53" s="4">
        <f t="shared" si="2"/>
        <v>3.449</v>
      </c>
      <c r="AN53" s="9" t="str">
        <f t="shared" si="3"/>
        <v>Public Power Corp SACALLABLEFIXEDEURSr Unsecured</v>
      </c>
      <c r="AO53" s="7" t="b">
        <f>ISNUMBER( IFERROR(VLOOKUP(A53,Pairs!$E$2:$E$57,1,FALSE),FALSE))</f>
        <v>0</v>
      </c>
      <c r="AP53" s="7"/>
      <c r="AQ53" s="7"/>
    </row>
    <row r="54" ht="15.75" customHeight="1">
      <c r="A54" s="3">
        <v>159.0</v>
      </c>
      <c r="B54" s="4" t="s">
        <v>416</v>
      </c>
      <c r="C54" s="4" t="str">
        <f>VLOOKUP(D54,'slb RAW'!$E:$F,2)</f>
        <v>XS2317288301</v>
      </c>
      <c r="D54" s="4" t="s">
        <v>417</v>
      </c>
      <c r="E54" s="4" t="s">
        <v>418</v>
      </c>
      <c r="F54" s="4" t="s">
        <v>419</v>
      </c>
      <c r="G54" s="4" t="s">
        <v>367</v>
      </c>
      <c r="H54" s="4" t="s">
        <v>367</v>
      </c>
      <c r="I54" s="4" t="s">
        <v>367</v>
      </c>
      <c r="J54" s="4">
        <v>0.375</v>
      </c>
      <c r="K54" s="4" t="s">
        <v>409</v>
      </c>
      <c r="L54" s="4" t="s">
        <v>420</v>
      </c>
      <c r="M54" s="11">
        <v>0.4046</v>
      </c>
      <c r="N54" s="4" t="s">
        <v>115</v>
      </c>
      <c r="O54" s="4" t="s">
        <v>116</v>
      </c>
      <c r="P54" s="4" t="s">
        <v>174</v>
      </c>
      <c r="Q54" s="4" t="s">
        <v>52</v>
      </c>
      <c r="R54" s="4" t="s">
        <v>53</v>
      </c>
      <c r="S54" s="4" t="s">
        <v>175</v>
      </c>
      <c r="T54" s="4" t="s">
        <v>421</v>
      </c>
      <c r="U54" s="4" t="s">
        <v>56</v>
      </c>
      <c r="V54" s="4" t="s">
        <v>57</v>
      </c>
      <c r="W54" s="4">
        <v>7.15758E8</v>
      </c>
      <c r="X54" s="4" t="s">
        <v>422</v>
      </c>
      <c r="Y54" s="4" t="s">
        <v>423</v>
      </c>
      <c r="Z54" s="4" t="s">
        <v>60</v>
      </c>
      <c r="AA54" s="4" t="s">
        <v>61</v>
      </c>
      <c r="AB54" s="4" t="s">
        <v>228</v>
      </c>
      <c r="AC54" s="4" t="s">
        <v>424</v>
      </c>
      <c r="AD54" s="3" t="s">
        <v>425</v>
      </c>
      <c r="AE54" s="7">
        <v>25.0</v>
      </c>
      <c r="AF54" s="12"/>
      <c r="AG54" s="4" t="str">
        <f t="shared" si="1"/>
        <v/>
      </c>
      <c r="AH54" s="8" t="s">
        <v>125</v>
      </c>
      <c r="AI54" s="4" t="s">
        <v>426</v>
      </c>
      <c r="AJ54" s="7" t="str">
        <f>VLOOKUP(D54,'slb RAW'!$E$2:$AF$293,9)</f>
        <v>#N/A N/A</v>
      </c>
      <c r="AK54" s="4">
        <f>VLOOKUP(D54,'slb RAW'!$E$2:$AE$293,27)</f>
        <v>0.467</v>
      </c>
      <c r="AL54" s="4">
        <f>VLOOKUP(C54,'Refinitiv SLB'!F54:S231,14)</f>
        <v>6.3234</v>
      </c>
      <c r="AM54" s="4">
        <f t="shared" si="2"/>
        <v>0.467</v>
      </c>
      <c r="AN54" s="9" t="str">
        <f t="shared" si="3"/>
        <v>Koninklijke Ahold Delhaize NVCALLABLEFIXEDEURSr Unsecured</v>
      </c>
      <c r="AO54" s="7" t="b">
        <f>ISNUMBER( IFERROR(VLOOKUP(A54,Pairs!$E$2:$E$57,1,FALSE),FALSE))</f>
        <v>1</v>
      </c>
      <c r="AP54" s="7"/>
      <c r="AQ54" s="7"/>
    </row>
    <row r="55" ht="15.75" customHeight="1">
      <c r="A55" s="3">
        <v>201.0</v>
      </c>
      <c r="B55" s="4" t="s">
        <v>207</v>
      </c>
      <c r="C55" s="4" t="str">
        <f>VLOOKUP(D55,'slb RAW'!$E:$F,2)</f>
        <v>PLO037100016</v>
      </c>
      <c r="D55" s="4" t="s">
        <v>427</v>
      </c>
      <c r="E55" s="4" t="s">
        <v>428</v>
      </c>
      <c r="F55" s="4" t="s">
        <v>210</v>
      </c>
      <c r="G55" s="4" t="s">
        <v>112</v>
      </c>
      <c r="H55" s="4" t="s">
        <v>112</v>
      </c>
      <c r="I55" s="4" t="s">
        <v>112</v>
      </c>
      <c r="J55" s="4">
        <v>2.875</v>
      </c>
      <c r="K55" s="4" t="s">
        <v>429</v>
      </c>
      <c r="L55" s="4" t="s">
        <v>430</v>
      </c>
      <c r="M55" s="11">
        <v>2.9098</v>
      </c>
      <c r="N55" s="4" t="s">
        <v>49</v>
      </c>
      <c r="O55" s="4" t="s">
        <v>50</v>
      </c>
      <c r="P55" s="4" t="s">
        <v>431</v>
      </c>
      <c r="Q55" s="4" t="s">
        <v>52</v>
      </c>
      <c r="R55" s="4" t="s">
        <v>119</v>
      </c>
      <c r="S55" s="4" t="s">
        <v>54</v>
      </c>
      <c r="T55" s="4" t="s">
        <v>175</v>
      </c>
      <c r="U55" s="4" t="s">
        <v>56</v>
      </c>
      <c r="V55" s="4" t="s">
        <v>71</v>
      </c>
      <c r="W55" s="4">
        <v>2.54011E8</v>
      </c>
      <c r="X55" s="4" t="s">
        <v>214</v>
      </c>
      <c r="Y55" s="4" t="s">
        <v>215</v>
      </c>
      <c r="Z55" s="4" t="s">
        <v>60</v>
      </c>
      <c r="AA55" s="4" t="s">
        <v>61</v>
      </c>
      <c r="AB55" s="4" t="s">
        <v>214</v>
      </c>
      <c r="AC55" s="4" t="s">
        <v>216</v>
      </c>
      <c r="AD55" s="3" t="s">
        <v>432</v>
      </c>
      <c r="AE55" s="8" t="s">
        <v>124</v>
      </c>
      <c r="AF55" s="12"/>
      <c r="AG55" s="4" t="str">
        <f t="shared" si="1"/>
        <v/>
      </c>
      <c r="AH55" s="8" t="s">
        <v>64</v>
      </c>
      <c r="AI55" s="4" t="s">
        <v>433</v>
      </c>
      <c r="AJ55" s="7" t="str">
        <f>VLOOKUP(D55,'slb RAW'!$E$2:$AF$293,9)</f>
        <v>#N/A N/A</v>
      </c>
      <c r="AK55" s="4">
        <f>VLOOKUP(D55,'slb RAW'!$E$2:$AE$293,27)</f>
        <v>2.875</v>
      </c>
      <c r="AL55" s="4" t="str">
        <f>VLOOKUP(C55,'Refinitiv SLB'!F55:S232,14)</f>
        <v>#N/A</v>
      </c>
      <c r="AM55" s="4">
        <f t="shared" si="2"/>
        <v>2.875</v>
      </c>
      <c r="AN55" s="9" t="str">
        <f t="shared" si="3"/>
        <v>Polski Koncern Naftowy ORLEN SAAT MATURITYFIXEDPLNSr Unsecured</v>
      </c>
      <c r="AO55" s="7" t="b">
        <f>ISNUMBER( IFERROR(VLOOKUP(A55,Pairs!$E$2:$E$57,1,FALSE),FALSE))</f>
        <v>0</v>
      </c>
      <c r="AP55" s="7"/>
      <c r="AQ55" s="7"/>
    </row>
    <row r="56" ht="15.75" customHeight="1">
      <c r="A56" s="3">
        <v>122.0</v>
      </c>
      <c r="B56" s="4" t="s">
        <v>434</v>
      </c>
      <c r="C56" s="4" t="str">
        <f>VLOOKUP(D56,'slb RAW'!$E:$F,2)</f>
        <v>XS2326550899</v>
      </c>
      <c r="D56" s="4" t="s">
        <v>435</v>
      </c>
      <c r="E56" s="4" t="s">
        <v>436</v>
      </c>
      <c r="F56" s="4" t="s">
        <v>437</v>
      </c>
      <c r="G56" s="4" t="s">
        <v>45</v>
      </c>
      <c r="H56" s="4" t="s">
        <v>45</v>
      </c>
      <c r="I56" s="4" t="s">
        <v>45</v>
      </c>
      <c r="J56" s="4">
        <v>2.5</v>
      </c>
      <c r="K56" s="4" t="s">
        <v>438</v>
      </c>
      <c r="L56" s="4" t="s">
        <v>439</v>
      </c>
      <c r="M56" s="4">
        <v>2.5</v>
      </c>
      <c r="N56" s="4" t="s">
        <v>115</v>
      </c>
      <c r="O56" s="4" t="s">
        <v>116</v>
      </c>
      <c r="P56" s="4" t="s">
        <v>262</v>
      </c>
      <c r="Q56" s="4" t="s">
        <v>52</v>
      </c>
      <c r="R56" s="4" t="s">
        <v>53</v>
      </c>
      <c r="S56" s="4" t="s">
        <v>297</v>
      </c>
      <c r="T56" s="4" t="s">
        <v>55</v>
      </c>
      <c r="U56" s="4" t="s">
        <v>56</v>
      </c>
      <c r="V56" s="4" t="s">
        <v>71</v>
      </c>
      <c r="W56" s="4">
        <v>3.55671E8</v>
      </c>
      <c r="X56" s="4" t="s">
        <v>58</v>
      </c>
      <c r="Y56" s="4" t="s">
        <v>279</v>
      </c>
      <c r="Z56" s="4" t="s">
        <v>60</v>
      </c>
      <c r="AA56" s="4" t="s">
        <v>61</v>
      </c>
      <c r="AB56" s="4" t="s">
        <v>280</v>
      </c>
      <c r="AC56" s="4" t="s">
        <v>281</v>
      </c>
      <c r="AD56" s="10" t="s">
        <v>48</v>
      </c>
      <c r="AE56" s="8" t="s">
        <v>139</v>
      </c>
      <c r="AF56" s="12"/>
      <c r="AG56" s="4" t="str">
        <f t="shared" si="1"/>
        <v/>
      </c>
      <c r="AH56" s="12"/>
      <c r="AI56" s="4" t="s">
        <v>440</v>
      </c>
      <c r="AJ56" s="7">
        <f>VLOOKUP(D56,'slb RAW'!$E$2:$AF$293,9)</f>
        <v>2.5</v>
      </c>
      <c r="AK56" s="4">
        <f>VLOOKUP(D56,'slb RAW'!$E$2:$AE$293,27)</f>
        <v>2.449</v>
      </c>
      <c r="AL56" s="4">
        <f>VLOOKUP(C56,'Refinitiv SLB'!F56:S233,14)</f>
        <v>6.3234</v>
      </c>
      <c r="AM56" s="4">
        <f t="shared" si="2"/>
        <v>2.449</v>
      </c>
      <c r="AN56" s="9" t="str">
        <f t="shared" si="3"/>
        <v>Hapag-Lloyd AGCALLABLEFIXEDEURSr Unsecured</v>
      </c>
      <c r="AO56" s="7" t="b">
        <f>ISNUMBER( IFERROR(VLOOKUP(A56,Pairs!$E$2:$E$57,1,FALSE),FALSE))</f>
        <v>0</v>
      </c>
      <c r="AP56" s="7"/>
      <c r="AQ56" s="7"/>
    </row>
    <row r="57" ht="15.75" customHeight="1">
      <c r="A57" s="3">
        <v>268.0</v>
      </c>
      <c r="B57" s="4" t="s">
        <v>441</v>
      </c>
      <c r="C57" s="4" t="str">
        <f>VLOOKUP(D57,'slb RAW'!$E:$F,2)</f>
        <v>XS2320746394</v>
      </c>
      <c r="D57" s="4" t="s">
        <v>442</v>
      </c>
      <c r="E57" s="4" t="s">
        <v>443</v>
      </c>
      <c r="F57" s="4" t="s">
        <v>444</v>
      </c>
      <c r="G57" s="4" t="s">
        <v>258</v>
      </c>
      <c r="H57" s="4" t="s">
        <v>258</v>
      </c>
      <c r="I57" s="4" t="s">
        <v>258</v>
      </c>
      <c r="J57" s="4">
        <v>0.9</v>
      </c>
      <c r="K57" s="4" t="s">
        <v>445</v>
      </c>
      <c r="L57" s="4" t="s">
        <v>446</v>
      </c>
      <c r="M57" s="11">
        <v>0.9001</v>
      </c>
      <c r="N57" s="4" t="s">
        <v>115</v>
      </c>
      <c r="O57" s="4" t="s">
        <v>116</v>
      </c>
      <c r="P57" s="4" t="s">
        <v>174</v>
      </c>
      <c r="Q57" s="4" t="s">
        <v>52</v>
      </c>
      <c r="R57" s="4" t="s">
        <v>53</v>
      </c>
      <c r="S57" s="4" t="s">
        <v>447</v>
      </c>
      <c r="T57" s="4" t="s">
        <v>133</v>
      </c>
      <c r="U57" s="4" t="s">
        <v>56</v>
      </c>
      <c r="V57" s="4" t="s">
        <v>57</v>
      </c>
      <c r="W57" s="4">
        <v>5.88655E8</v>
      </c>
      <c r="X57" s="4" t="s">
        <v>120</v>
      </c>
      <c r="Y57" s="4" t="s">
        <v>238</v>
      </c>
      <c r="Z57" s="4" t="s">
        <v>203</v>
      </c>
      <c r="AA57" s="4" t="s">
        <v>412</v>
      </c>
      <c r="AB57" s="4" t="s">
        <v>413</v>
      </c>
      <c r="AC57" s="4" t="s">
        <v>413</v>
      </c>
      <c r="AD57" s="3" t="s">
        <v>448</v>
      </c>
      <c r="AE57" s="7">
        <v>25.0</v>
      </c>
      <c r="AF57" s="12"/>
      <c r="AG57" s="4" t="str">
        <f t="shared" si="1"/>
        <v/>
      </c>
      <c r="AH57" s="8" t="s">
        <v>125</v>
      </c>
      <c r="AI57" s="4" t="s">
        <v>449</v>
      </c>
      <c r="AJ57" s="7" t="str">
        <f>VLOOKUP(D57,'slb RAW'!$E$2:$AF$293,9)</f>
        <v>#N/A N/A</v>
      </c>
      <c r="AK57" s="4">
        <f>VLOOKUP(D57,'slb RAW'!$E$2:$AE$293,27)</f>
        <v>0.883</v>
      </c>
      <c r="AL57" s="4">
        <f>VLOOKUP(C57,'Refinitiv SLB'!F57:S234,14)</f>
        <v>6.3234</v>
      </c>
      <c r="AM57" s="4">
        <f t="shared" si="2"/>
        <v>0.883</v>
      </c>
      <c r="AN57" s="9" t="str">
        <f t="shared" si="3"/>
        <v>Verbund AGCALLABLEFIXEDEURSr Unsecured</v>
      </c>
      <c r="AO57" s="7" t="b">
        <f>ISNUMBER( IFERROR(VLOOKUP(A57,Pairs!$E$2:$E$57,1,FALSE),FALSE))</f>
        <v>0</v>
      </c>
      <c r="AP57" s="7"/>
      <c r="AQ57" s="7"/>
    </row>
    <row r="58" ht="15.75" customHeight="1">
      <c r="A58" s="3">
        <v>123.0</v>
      </c>
      <c r="B58" s="4" t="s">
        <v>434</v>
      </c>
      <c r="C58" s="4" t="str">
        <f>VLOOKUP(D58,'slb RAW'!$E:$F,2)</f>
        <v>XS2326548562</v>
      </c>
      <c r="D58" s="4" t="s">
        <v>450</v>
      </c>
      <c r="E58" s="4" t="s">
        <v>451</v>
      </c>
      <c r="F58" s="4" t="s">
        <v>437</v>
      </c>
      <c r="G58" s="4" t="s">
        <v>45</v>
      </c>
      <c r="H58" s="4" t="s">
        <v>45</v>
      </c>
      <c r="I58" s="4" t="s">
        <v>45</v>
      </c>
      <c r="J58" s="4">
        <v>2.5</v>
      </c>
      <c r="K58" s="4" t="s">
        <v>438</v>
      </c>
      <c r="L58" s="4" t="s">
        <v>439</v>
      </c>
      <c r="M58" s="4">
        <v>2.5</v>
      </c>
      <c r="N58" s="4" t="s">
        <v>115</v>
      </c>
      <c r="O58" s="4" t="s">
        <v>116</v>
      </c>
      <c r="P58" s="4" t="s">
        <v>271</v>
      </c>
      <c r="Q58" s="4" t="s">
        <v>52</v>
      </c>
      <c r="R58" s="4" t="s">
        <v>53</v>
      </c>
      <c r="S58" s="4" t="s">
        <v>297</v>
      </c>
      <c r="T58" s="4" t="s">
        <v>55</v>
      </c>
      <c r="U58" s="4" t="s">
        <v>56</v>
      </c>
      <c r="V58" s="4" t="s">
        <v>71</v>
      </c>
      <c r="W58" s="4">
        <v>3.55671E8</v>
      </c>
      <c r="X58" s="4" t="s">
        <v>58</v>
      </c>
      <c r="Y58" s="4" t="s">
        <v>279</v>
      </c>
      <c r="Z58" s="4" t="s">
        <v>60</v>
      </c>
      <c r="AA58" s="4" t="s">
        <v>61</v>
      </c>
      <c r="AB58" s="4" t="s">
        <v>280</v>
      </c>
      <c r="AC58" s="4" t="s">
        <v>281</v>
      </c>
      <c r="AD58" s="10" t="s">
        <v>48</v>
      </c>
      <c r="AE58" s="8" t="s">
        <v>139</v>
      </c>
      <c r="AF58" s="12"/>
      <c r="AG58" s="4" t="str">
        <f t="shared" si="1"/>
        <v/>
      </c>
      <c r="AH58" s="12"/>
      <c r="AI58" s="4" t="s">
        <v>452</v>
      </c>
      <c r="AJ58" s="7">
        <f>VLOOKUP(D58,'slb RAW'!$E$2:$AF$293,9)</f>
        <v>2.5</v>
      </c>
      <c r="AK58" s="4">
        <f>VLOOKUP(D58,'slb RAW'!$E$2:$AE$293,27)</f>
        <v>2.431</v>
      </c>
      <c r="AL58" s="4">
        <f>VLOOKUP(C58,'Refinitiv SLB'!F58:S235,14)</f>
        <v>0.412</v>
      </c>
      <c r="AM58" s="4">
        <f t="shared" si="2"/>
        <v>2.431</v>
      </c>
      <c r="AN58" s="9" t="str">
        <f t="shared" si="3"/>
        <v>Hapag-Lloyd AGCALLABLEFIXEDEURSr Unsecured</v>
      </c>
      <c r="AO58" s="7" t="b">
        <f>ISNUMBER( IFERROR(VLOOKUP(A58,Pairs!$E$2:$E$57,1,FALSE),FALSE))</f>
        <v>0</v>
      </c>
      <c r="AP58" s="7"/>
      <c r="AQ58" s="7"/>
    </row>
    <row r="59" ht="15.75" customHeight="1">
      <c r="A59" s="3">
        <v>190.0</v>
      </c>
      <c r="B59" s="4" t="s">
        <v>453</v>
      </c>
      <c r="C59" s="4" t="str">
        <f>VLOOKUP(D59,'slb RAW'!$E:$F,2)</f>
        <v>XS2333301757</v>
      </c>
      <c r="D59" s="4" t="s">
        <v>454</v>
      </c>
      <c r="E59" s="4" t="s">
        <v>455</v>
      </c>
      <c r="F59" s="4" t="s">
        <v>456</v>
      </c>
      <c r="G59" s="4" t="s">
        <v>45</v>
      </c>
      <c r="H59" s="4" t="s">
        <v>45</v>
      </c>
      <c r="I59" s="4" t="s">
        <v>45</v>
      </c>
      <c r="J59" s="4">
        <v>4.75</v>
      </c>
      <c r="K59" s="4" t="s">
        <v>457</v>
      </c>
      <c r="L59" s="4" t="s">
        <v>458</v>
      </c>
      <c r="M59" s="11">
        <v>4.7591</v>
      </c>
      <c r="N59" s="4" t="s">
        <v>115</v>
      </c>
      <c r="O59" s="4" t="s">
        <v>116</v>
      </c>
      <c r="P59" s="4" t="s">
        <v>262</v>
      </c>
      <c r="Q59" s="4" t="s">
        <v>459</v>
      </c>
      <c r="R59" s="4" t="s">
        <v>53</v>
      </c>
      <c r="S59" s="4" t="s">
        <v>351</v>
      </c>
      <c r="T59" s="4" t="s">
        <v>55</v>
      </c>
      <c r="U59" s="4" t="s">
        <v>56</v>
      </c>
      <c r="V59" s="4" t="s">
        <v>71</v>
      </c>
      <c r="W59" s="4">
        <v>4.80348E8</v>
      </c>
      <c r="X59" s="4" t="s">
        <v>85</v>
      </c>
      <c r="Y59" s="4" t="s">
        <v>176</v>
      </c>
      <c r="Z59" s="4" t="s">
        <v>60</v>
      </c>
      <c r="AA59" s="4" t="s">
        <v>61</v>
      </c>
      <c r="AB59" s="4" t="s">
        <v>177</v>
      </c>
      <c r="AC59" s="4" t="s">
        <v>178</v>
      </c>
      <c r="AD59" s="3" t="s">
        <v>460</v>
      </c>
      <c r="AE59" s="7">
        <v>12.5</v>
      </c>
      <c r="AF59" s="12"/>
      <c r="AG59" s="4" t="str">
        <f t="shared" si="1"/>
        <v/>
      </c>
      <c r="AH59" s="8" t="s">
        <v>125</v>
      </c>
      <c r="AI59" s="4" t="s">
        <v>461</v>
      </c>
      <c r="AJ59" s="7" t="str">
        <f>VLOOKUP(D59,'slb RAW'!$E$2:$AF$293,9)</f>
        <v>#N/A N/A</v>
      </c>
      <c r="AK59" s="4">
        <f>VLOOKUP(D59,'slb RAW'!$E$2:$AE$293,27)</f>
        <v>4.595</v>
      </c>
      <c r="AL59" s="4">
        <f>VLOOKUP(C59,'Refinitiv SLB'!F59:S236,14)</f>
        <v>0.412</v>
      </c>
      <c r="AM59" s="4">
        <f t="shared" si="2"/>
        <v>4.595</v>
      </c>
      <c r="AN59" s="9" t="str">
        <f t="shared" si="3"/>
        <v>PCF GmbHCALLABLEFIXEDEURSecured</v>
      </c>
      <c r="AO59" s="7" t="b">
        <f>ISNUMBER( IFERROR(VLOOKUP(A59,Pairs!$E$2:$E$57,1,FALSE),FALSE))</f>
        <v>0</v>
      </c>
      <c r="AP59" s="7"/>
      <c r="AQ59" s="7"/>
    </row>
    <row r="60" ht="15.75" customHeight="1">
      <c r="A60" s="3">
        <v>191.0</v>
      </c>
      <c r="B60" s="4" t="s">
        <v>453</v>
      </c>
      <c r="C60" s="4" t="str">
        <f>VLOOKUP(D60,'slb RAW'!$E:$F,2)</f>
        <v>XS2333302722</v>
      </c>
      <c r="D60" s="4" t="s">
        <v>462</v>
      </c>
      <c r="E60" s="4" t="s">
        <v>463</v>
      </c>
      <c r="F60" s="4" t="s">
        <v>456</v>
      </c>
      <c r="G60" s="4" t="s">
        <v>45</v>
      </c>
      <c r="H60" s="4" t="s">
        <v>45</v>
      </c>
      <c r="I60" s="4" t="s">
        <v>45</v>
      </c>
      <c r="J60" s="4">
        <v>4.75</v>
      </c>
      <c r="K60" s="4" t="s">
        <v>457</v>
      </c>
      <c r="L60" s="4" t="s">
        <v>458</v>
      </c>
      <c r="M60" s="11">
        <v>4.6886</v>
      </c>
      <c r="N60" s="4" t="s">
        <v>115</v>
      </c>
      <c r="O60" s="4" t="s">
        <v>116</v>
      </c>
      <c r="P60" s="4" t="s">
        <v>262</v>
      </c>
      <c r="Q60" s="4" t="s">
        <v>459</v>
      </c>
      <c r="R60" s="4" t="s">
        <v>53</v>
      </c>
      <c r="S60" s="4" t="s">
        <v>351</v>
      </c>
      <c r="T60" s="4" t="s">
        <v>55</v>
      </c>
      <c r="U60" s="4" t="s">
        <v>70</v>
      </c>
      <c r="V60" s="4" t="s">
        <v>392</v>
      </c>
      <c r="W60" s="4">
        <v>4.203045E8</v>
      </c>
      <c r="X60" s="4" t="s">
        <v>85</v>
      </c>
      <c r="Y60" s="4" t="s">
        <v>176</v>
      </c>
      <c r="Z60" s="4" t="s">
        <v>60</v>
      </c>
      <c r="AA60" s="4" t="s">
        <v>61</v>
      </c>
      <c r="AB60" s="4" t="s">
        <v>177</v>
      </c>
      <c r="AC60" s="4" t="s">
        <v>178</v>
      </c>
      <c r="AD60" s="3" t="s">
        <v>460</v>
      </c>
      <c r="AE60" s="7">
        <v>12.5</v>
      </c>
      <c r="AF60" s="12"/>
      <c r="AG60" s="4" t="str">
        <f t="shared" si="1"/>
        <v/>
      </c>
      <c r="AH60" s="8" t="s">
        <v>125</v>
      </c>
      <c r="AI60" s="4" t="s">
        <v>461</v>
      </c>
      <c r="AJ60" s="7" t="str">
        <f>VLOOKUP(D60,'slb RAW'!$E$2:$AF$293,9)</f>
        <v>#N/A N/A</v>
      </c>
      <c r="AK60" s="4">
        <f>VLOOKUP(D60,'slb RAW'!$E$2:$AE$293,27)</f>
        <v>4.57</v>
      </c>
      <c r="AL60" s="4">
        <f>VLOOKUP(C60,'Refinitiv SLB'!F60:S237,14)</f>
        <v>4.231</v>
      </c>
      <c r="AM60" s="4">
        <f t="shared" si="2"/>
        <v>4.57</v>
      </c>
      <c r="AN60" s="9" t="str">
        <f t="shared" si="3"/>
        <v>PCF GmbHCALLABLEFLOATINGEURSecured</v>
      </c>
      <c r="AO60" s="7" t="b">
        <f>ISNUMBER( IFERROR(VLOOKUP(A60,Pairs!$E$2:$E$57,1,FALSE),FALSE))</f>
        <v>0</v>
      </c>
      <c r="AP60" s="7"/>
      <c r="AQ60" s="7"/>
    </row>
    <row r="61" ht="15.75" customHeight="1">
      <c r="A61" s="3">
        <v>192.0</v>
      </c>
      <c r="B61" s="4" t="s">
        <v>453</v>
      </c>
      <c r="C61" s="4" t="str">
        <f>VLOOKUP(D61,'slb RAW'!$E:$F,2)</f>
        <v>XS2333301674</v>
      </c>
      <c r="D61" s="4" t="s">
        <v>464</v>
      </c>
      <c r="E61" s="4" t="s">
        <v>465</v>
      </c>
      <c r="F61" s="4" t="s">
        <v>456</v>
      </c>
      <c r="G61" s="4" t="s">
        <v>45</v>
      </c>
      <c r="H61" s="4" t="s">
        <v>45</v>
      </c>
      <c r="I61" s="4" t="s">
        <v>45</v>
      </c>
      <c r="J61" s="4">
        <v>4.75</v>
      </c>
      <c r="K61" s="4" t="s">
        <v>457</v>
      </c>
      <c r="L61" s="4" t="s">
        <v>458</v>
      </c>
      <c r="M61" s="11">
        <v>4.6369</v>
      </c>
      <c r="N61" s="4" t="s">
        <v>115</v>
      </c>
      <c r="O61" s="4" t="s">
        <v>116</v>
      </c>
      <c r="P61" s="4" t="s">
        <v>271</v>
      </c>
      <c r="Q61" s="4" t="s">
        <v>459</v>
      </c>
      <c r="R61" s="4" t="s">
        <v>53</v>
      </c>
      <c r="S61" s="4" t="s">
        <v>351</v>
      </c>
      <c r="T61" s="4" t="s">
        <v>55</v>
      </c>
      <c r="U61" s="4" t="s">
        <v>56</v>
      </c>
      <c r="V61" s="4" t="s">
        <v>71</v>
      </c>
      <c r="W61" s="4">
        <v>4.80348E8</v>
      </c>
      <c r="X61" s="4" t="s">
        <v>85</v>
      </c>
      <c r="Y61" s="4" t="s">
        <v>176</v>
      </c>
      <c r="Z61" s="4" t="s">
        <v>60</v>
      </c>
      <c r="AA61" s="4" t="s">
        <v>61</v>
      </c>
      <c r="AB61" s="4" t="s">
        <v>177</v>
      </c>
      <c r="AC61" s="4" t="s">
        <v>178</v>
      </c>
      <c r="AD61" s="3" t="s">
        <v>460</v>
      </c>
      <c r="AE61" s="7">
        <v>12.5</v>
      </c>
      <c r="AF61" s="12"/>
      <c r="AG61" s="4" t="str">
        <f t="shared" si="1"/>
        <v/>
      </c>
      <c r="AH61" s="8" t="s">
        <v>125</v>
      </c>
      <c r="AI61" s="4" t="s">
        <v>466</v>
      </c>
      <c r="AJ61" s="7" t="str">
        <f>VLOOKUP(D61,'slb RAW'!$E$2:$AF$293,9)</f>
        <v>#N/A N/A</v>
      </c>
      <c r="AK61" s="4">
        <f>VLOOKUP(D61,'slb RAW'!$E$2:$AE$293,27)</f>
        <v>4.629</v>
      </c>
      <c r="AL61" s="4">
        <f>VLOOKUP(C61,'Refinitiv SLB'!F61:S238,14)</f>
        <v>4.231</v>
      </c>
      <c r="AM61" s="4">
        <f t="shared" si="2"/>
        <v>4.629</v>
      </c>
      <c r="AN61" s="9" t="str">
        <f t="shared" si="3"/>
        <v>PCF GmbHCALLABLEFIXEDEURSecured</v>
      </c>
      <c r="AO61" s="7" t="b">
        <f>ISNUMBER( IFERROR(VLOOKUP(A61,Pairs!$E$2:$E$57,1,FALSE),FALSE))</f>
        <v>0</v>
      </c>
      <c r="AP61" s="7"/>
      <c r="AQ61" s="7"/>
    </row>
    <row r="62" ht="15.75" customHeight="1">
      <c r="A62" s="3">
        <v>193.0</v>
      </c>
      <c r="B62" s="4" t="s">
        <v>453</v>
      </c>
      <c r="C62" s="4" t="str">
        <f>VLOOKUP(D62,'slb RAW'!$E:$F,2)</f>
        <v>XS2333302052</v>
      </c>
      <c r="D62" s="4" t="s">
        <v>467</v>
      </c>
      <c r="E62" s="4" t="s">
        <v>468</v>
      </c>
      <c r="F62" s="4" t="s">
        <v>456</v>
      </c>
      <c r="G62" s="4" t="s">
        <v>45</v>
      </c>
      <c r="H62" s="4" t="s">
        <v>45</v>
      </c>
      <c r="I62" s="4" t="s">
        <v>45</v>
      </c>
      <c r="J62" s="4">
        <v>4.75</v>
      </c>
      <c r="K62" s="4" t="s">
        <v>457</v>
      </c>
      <c r="L62" s="4" t="s">
        <v>458</v>
      </c>
      <c r="M62" s="11">
        <v>4.6187</v>
      </c>
      <c r="N62" s="4" t="s">
        <v>115</v>
      </c>
      <c r="O62" s="4" t="s">
        <v>116</v>
      </c>
      <c r="P62" s="4" t="s">
        <v>271</v>
      </c>
      <c r="Q62" s="4" t="s">
        <v>459</v>
      </c>
      <c r="R62" s="4" t="s">
        <v>53</v>
      </c>
      <c r="S62" s="4" t="s">
        <v>351</v>
      </c>
      <c r="T62" s="4" t="s">
        <v>55</v>
      </c>
      <c r="U62" s="4" t="s">
        <v>70</v>
      </c>
      <c r="V62" s="4" t="s">
        <v>392</v>
      </c>
      <c r="W62" s="4">
        <v>4.203045E8</v>
      </c>
      <c r="X62" s="4" t="s">
        <v>85</v>
      </c>
      <c r="Y62" s="4" t="s">
        <v>176</v>
      </c>
      <c r="Z62" s="4" t="s">
        <v>60</v>
      </c>
      <c r="AA62" s="4" t="s">
        <v>61</v>
      </c>
      <c r="AB62" s="4" t="s">
        <v>177</v>
      </c>
      <c r="AC62" s="4" t="s">
        <v>178</v>
      </c>
      <c r="AD62" s="3" t="s">
        <v>460</v>
      </c>
      <c r="AE62" s="7">
        <v>12.5</v>
      </c>
      <c r="AF62" s="12"/>
      <c r="AG62" s="4" t="str">
        <f t="shared" si="1"/>
        <v/>
      </c>
      <c r="AH62" s="8" t="s">
        <v>125</v>
      </c>
      <c r="AI62" s="4" t="s">
        <v>466</v>
      </c>
      <c r="AJ62" s="7" t="str">
        <f>VLOOKUP(D62,'slb RAW'!$E$2:$AF$293,9)</f>
        <v>#N/A N/A</v>
      </c>
      <c r="AK62" s="4">
        <f>VLOOKUP(D62,'slb RAW'!$E$2:$AE$293,27)</f>
        <v>4.614</v>
      </c>
      <c r="AL62" s="4">
        <f>VLOOKUP(C62,'Refinitiv SLB'!F62:S239,14)</f>
        <v>4.231</v>
      </c>
      <c r="AM62" s="4">
        <f t="shared" si="2"/>
        <v>4.614</v>
      </c>
      <c r="AN62" s="9" t="str">
        <f t="shared" si="3"/>
        <v>PCF GmbHCALLABLEFLOATINGEURSecured</v>
      </c>
      <c r="AO62" s="7" t="b">
        <f>ISNUMBER( IFERROR(VLOOKUP(A62,Pairs!$E$2:$E$57,1,FALSE),FALSE))</f>
        <v>0</v>
      </c>
      <c r="AP62" s="7"/>
      <c r="AQ62" s="7"/>
    </row>
    <row r="63" ht="15.75" customHeight="1">
      <c r="A63" s="3">
        <v>153.0</v>
      </c>
      <c r="B63" s="4" t="s">
        <v>469</v>
      </c>
      <c r="C63" s="4" t="str">
        <f>VLOOKUP(D63,'slb RAW'!$E:$F,2)</f>
        <v>XS2328873463</v>
      </c>
      <c r="D63" s="4" t="s">
        <v>470</v>
      </c>
      <c r="E63" s="4" t="s">
        <v>471</v>
      </c>
      <c r="F63" s="4" t="s">
        <v>472</v>
      </c>
      <c r="G63" s="4" t="s">
        <v>258</v>
      </c>
      <c r="H63" s="4" t="s">
        <v>258</v>
      </c>
      <c r="I63" s="4" t="s">
        <v>258</v>
      </c>
      <c r="J63" s="4">
        <v>1.15</v>
      </c>
      <c r="K63" s="4" t="s">
        <v>473</v>
      </c>
      <c r="L63" s="4" t="s">
        <v>474</v>
      </c>
      <c r="M63" s="4">
        <v>1.224</v>
      </c>
      <c r="N63" s="4" t="s">
        <v>49</v>
      </c>
      <c r="O63" s="4" t="s">
        <v>50</v>
      </c>
      <c r="P63" s="4" t="s">
        <v>174</v>
      </c>
      <c r="Q63" s="4" t="s">
        <v>52</v>
      </c>
      <c r="R63" s="4" t="s">
        <v>53</v>
      </c>
      <c r="S63" s="4" t="s">
        <v>54</v>
      </c>
      <c r="T63" s="4" t="s">
        <v>55</v>
      </c>
      <c r="U63" s="4" t="s">
        <v>56</v>
      </c>
      <c r="V63" s="4" t="s">
        <v>57</v>
      </c>
      <c r="W63" s="4">
        <v>1.437672E8</v>
      </c>
      <c r="X63" s="4" t="s">
        <v>120</v>
      </c>
      <c r="Y63" s="4" t="s">
        <v>120</v>
      </c>
      <c r="Z63" s="4" t="s">
        <v>203</v>
      </c>
      <c r="AA63" s="4" t="s">
        <v>204</v>
      </c>
      <c r="AB63" s="4" t="s">
        <v>204</v>
      </c>
      <c r="AC63" s="4" t="s">
        <v>204</v>
      </c>
      <c r="AD63" s="3" t="s">
        <v>475</v>
      </c>
      <c r="AE63" s="7">
        <v>50.0</v>
      </c>
      <c r="AF63" s="12"/>
      <c r="AG63" s="4" t="str">
        <f t="shared" si="1"/>
        <v/>
      </c>
      <c r="AH63" s="8" t="s">
        <v>140</v>
      </c>
      <c r="AI63" s="4" t="s">
        <v>476</v>
      </c>
      <c r="AJ63" s="7">
        <f>VLOOKUP(D63,'slb RAW'!$E$2:$AF$293,9)</f>
        <v>1.224</v>
      </c>
      <c r="AK63" s="4">
        <f>VLOOKUP(D63,'slb RAW'!$E$2:$AE$293,27)</f>
        <v>1.296</v>
      </c>
      <c r="AL63" s="4">
        <f>VLOOKUP(C63,'Refinitiv SLB'!F63:S240,14)</f>
        <v>4.231</v>
      </c>
      <c r="AM63" s="4">
        <f t="shared" si="2"/>
        <v>1.296</v>
      </c>
      <c r="AN63" s="9" t="str">
        <f t="shared" si="3"/>
        <v>Kelag-Kaerntner Elektrizitaets AGAT MATURITYFIXEDEURSr Unsecured</v>
      </c>
      <c r="AO63" s="7" t="b">
        <f>ISNUMBER( IFERROR(VLOOKUP(A63,Pairs!$E$2:$E$57,1,FALSE),FALSE))</f>
        <v>0</v>
      </c>
      <c r="AP63" s="7"/>
      <c r="AQ63" s="7"/>
    </row>
    <row r="64" ht="15.75" customHeight="1">
      <c r="A64" s="3">
        <v>30.0</v>
      </c>
      <c r="B64" s="4" t="s">
        <v>477</v>
      </c>
      <c r="C64" s="4" t="str">
        <f>VLOOKUP(D64,'slb RAW'!$E:$F,2)</f>
        <v>DE000BHY0SL9</v>
      </c>
      <c r="D64" s="4" t="s">
        <v>478</v>
      </c>
      <c r="E64" s="4" t="s">
        <v>479</v>
      </c>
      <c r="F64" s="4" t="s">
        <v>480</v>
      </c>
      <c r="G64" s="4" t="s">
        <v>45</v>
      </c>
      <c r="H64" s="4" t="s">
        <v>45</v>
      </c>
      <c r="I64" s="4" t="s">
        <v>45</v>
      </c>
      <c r="J64" s="4">
        <v>0.375</v>
      </c>
      <c r="K64" s="4" t="s">
        <v>481</v>
      </c>
      <c r="L64" s="4" t="s">
        <v>482</v>
      </c>
      <c r="M64" s="18">
        <v>0.4154</v>
      </c>
      <c r="N64" s="4" t="s">
        <v>49</v>
      </c>
      <c r="O64" s="4" t="s">
        <v>50</v>
      </c>
      <c r="P64" s="4" t="s">
        <v>226</v>
      </c>
      <c r="Q64" s="4" t="s">
        <v>483</v>
      </c>
      <c r="R64" s="4" t="s">
        <v>53</v>
      </c>
      <c r="S64" s="4" t="s">
        <v>484</v>
      </c>
      <c r="T64" s="4" t="s">
        <v>55</v>
      </c>
      <c r="U64" s="4" t="s">
        <v>56</v>
      </c>
      <c r="V64" s="4" t="s">
        <v>57</v>
      </c>
      <c r="W64" s="4">
        <v>6.01385E8</v>
      </c>
      <c r="X64" s="4" t="s">
        <v>485</v>
      </c>
      <c r="Y64" s="4" t="s">
        <v>486</v>
      </c>
      <c r="Z64" s="4" t="s">
        <v>60</v>
      </c>
      <c r="AA64" s="4" t="s">
        <v>487</v>
      </c>
      <c r="AB64" s="4" t="s">
        <v>488</v>
      </c>
      <c r="AC64" s="4" t="s">
        <v>488</v>
      </c>
      <c r="AD64" s="3" t="s">
        <v>489</v>
      </c>
      <c r="AE64" s="7">
        <v>25.0</v>
      </c>
      <c r="AF64" s="12"/>
      <c r="AG64" s="4" t="str">
        <f t="shared" si="1"/>
        <v/>
      </c>
      <c r="AH64" s="8" t="s">
        <v>125</v>
      </c>
      <c r="AI64" s="4" t="s">
        <v>490</v>
      </c>
      <c r="AJ64" s="7" t="str">
        <f>VLOOKUP(D64,'slb RAW'!$E$2:$AF$293,9)</f>
        <v>#N/A N/A</v>
      </c>
      <c r="AK64" s="4">
        <f>VLOOKUP(D64,'slb RAW'!$E$2:$AE$293,27)</f>
        <v>0.392</v>
      </c>
      <c r="AL64" s="4" t="str">
        <f>VLOOKUP(C64,'Refinitiv SLB'!F64:S241,14)</f>
        <v>#N/A</v>
      </c>
      <c r="AM64" s="4">
        <f t="shared" si="2"/>
        <v>0.392</v>
      </c>
      <c r="AN64" s="9" t="str">
        <f t="shared" si="3"/>
        <v>Berlin Hyp AGAT MATURITYFIXEDEURSr Preferred</v>
      </c>
      <c r="AO64" s="7" t="b">
        <f>ISNUMBER( IFERROR(VLOOKUP(A64,Pairs!$E$2:$E$57,1,FALSE),FALSE))</f>
        <v>0</v>
      </c>
      <c r="AP64" s="7"/>
      <c r="AQ64" s="7"/>
    </row>
    <row r="65" ht="15.75" customHeight="1">
      <c r="A65" s="3">
        <v>9.0</v>
      </c>
      <c r="B65" s="4" t="s">
        <v>491</v>
      </c>
      <c r="C65" s="4" t="str">
        <f>VLOOKUP(D65,'slb RAW'!$E:$F,2)</f>
        <v>XS2337326727</v>
      </c>
      <c r="D65" s="4" t="s">
        <v>492</v>
      </c>
      <c r="E65" s="4" t="s">
        <v>493</v>
      </c>
      <c r="F65" s="4" t="s">
        <v>494</v>
      </c>
      <c r="G65" s="4" t="s">
        <v>200</v>
      </c>
      <c r="H65" s="4" t="s">
        <v>200</v>
      </c>
      <c r="I65" s="4" t="s">
        <v>200</v>
      </c>
      <c r="J65" s="4">
        <v>1.75</v>
      </c>
      <c r="K65" s="4" t="s">
        <v>495</v>
      </c>
      <c r="L65" s="4" t="s">
        <v>496</v>
      </c>
      <c r="M65" s="18">
        <v>1.8186</v>
      </c>
      <c r="N65" s="4" t="s">
        <v>115</v>
      </c>
      <c r="O65" s="4" t="s">
        <v>116</v>
      </c>
      <c r="P65" s="4" t="s">
        <v>226</v>
      </c>
      <c r="Q65" s="4" t="s">
        <v>52</v>
      </c>
      <c r="R65" s="4" t="s">
        <v>53</v>
      </c>
      <c r="S65" s="4" t="s">
        <v>497</v>
      </c>
      <c r="T65" s="4" t="s">
        <v>55</v>
      </c>
      <c r="U65" s="4" t="s">
        <v>56</v>
      </c>
      <c r="V65" s="4" t="s">
        <v>57</v>
      </c>
      <c r="W65" s="4">
        <v>6.01335E8</v>
      </c>
      <c r="X65" s="4" t="s">
        <v>58</v>
      </c>
      <c r="Y65" s="4" t="s">
        <v>279</v>
      </c>
      <c r="Z65" s="4" t="s">
        <v>60</v>
      </c>
      <c r="AA65" s="4" t="s">
        <v>61</v>
      </c>
      <c r="AB65" s="4" t="s">
        <v>280</v>
      </c>
      <c r="AC65" s="4" t="s">
        <v>281</v>
      </c>
      <c r="AD65" s="4" t="s">
        <v>498</v>
      </c>
      <c r="AE65" s="8" t="s">
        <v>124</v>
      </c>
      <c r="AF65" s="12"/>
      <c r="AG65" s="4" t="str">
        <f t="shared" si="1"/>
        <v/>
      </c>
      <c r="AH65" s="8" t="s">
        <v>125</v>
      </c>
      <c r="AI65" s="4" t="s">
        <v>499</v>
      </c>
      <c r="AJ65" s="7" t="str">
        <f>VLOOKUP(D65,'slb RAW'!$E$2:$AF$293,9)</f>
        <v>#N/A N/A</v>
      </c>
      <c r="AK65" s="4">
        <f>VLOOKUP(D65,'slb RAW'!$E$2:$AE$293,27)</f>
        <v>1.763</v>
      </c>
      <c r="AL65" s="4">
        <f>VLOOKUP(C65,'Refinitiv SLB'!F65:S242,14)</f>
        <v>1.836</v>
      </c>
      <c r="AM65" s="4">
        <f t="shared" si="2"/>
        <v>1.763</v>
      </c>
      <c r="AN65" s="9" t="str">
        <f t="shared" si="3"/>
        <v>Aeroporti di Roma SpACALLABLEFIXEDEURSr Unsecured</v>
      </c>
      <c r="AO65" s="7" t="b">
        <f>ISNUMBER( IFERROR(VLOOKUP(A65,Pairs!$E$2:$E$57,1,FALSE),FALSE))</f>
        <v>0</v>
      </c>
      <c r="AP65" s="7"/>
      <c r="AQ65" s="7"/>
    </row>
    <row r="66" ht="15.75" customHeight="1">
      <c r="A66" s="3">
        <v>224.0</v>
      </c>
      <c r="B66" s="4" t="s">
        <v>500</v>
      </c>
      <c r="C66" s="4" t="str">
        <f>VLOOKUP(D66,'slb RAW'!$E:$F,2)</f>
        <v>XS2332306344</v>
      </c>
      <c r="D66" s="4" t="s">
        <v>501</v>
      </c>
      <c r="E66" s="4" t="s">
        <v>502</v>
      </c>
      <c r="F66" s="4" t="s">
        <v>503</v>
      </c>
      <c r="G66" s="4" t="s">
        <v>185</v>
      </c>
      <c r="H66" s="4" t="s">
        <v>185</v>
      </c>
      <c r="I66" s="4" t="s">
        <v>185</v>
      </c>
      <c r="J66" s="4">
        <v>2.125</v>
      </c>
      <c r="K66" s="4" t="s">
        <v>504</v>
      </c>
      <c r="L66" s="4" t="s">
        <v>505</v>
      </c>
      <c r="M66" s="11">
        <v>2.1088</v>
      </c>
      <c r="N66" s="4" t="s">
        <v>115</v>
      </c>
      <c r="O66" s="4" t="s">
        <v>116</v>
      </c>
      <c r="P66" s="4" t="s">
        <v>174</v>
      </c>
      <c r="Q66" s="4" t="s">
        <v>52</v>
      </c>
      <c r="R66" s="4" t="s">
        <v>53</v>
      </c>
      <c r="S66" s="4" t="s">
        <v>297</v>
      </c>
      <c r="T66" s="4" t="s">
        <v>55</v>
      </c>
      <c r="U66" s="4" t="s">
        <v>56</v>
      </c>
      <c r="V66" s="4" t="s">
        <v>71</v>
      </c>
      <c r="W66" s="4">
        <v>4.79752E8</v>
      </c>
      <c r="X66" s="4" t="s">
        <v>58</v>
      </c>
      <c r="Y66" s="4" t="s">
        <v>506</v>
      </c>
      <c r="Z66" s="4" t="s">
        <v>60</v>
      </c>
      <c r="AA66" s="4" t="s">
        <v>61</v>
      </c>
      <c r="AB66" s="4" t="s">
        <v>177</v>
      </c>
      <c r="AC66" s="4" t="s">
        <v>192</v>
      </c>
      <c r="AD66" s="3" t="s">
        <v>507</v>
      </c>
      <c r="AE66" s="7">
        <v>25.0</v>
      </c>
      <c r="AF66" s="12"/>
      <c r="AG66" s="4" t="str">
        <f t="shared" si="1"/>
        <v/>
      </c>
      <c r="AH66" s="8" t="s">
        <v>125</v>
      </c>
      <c r="AI66" s="4" t="s">
        <v>508</v>
      </c>
      <c r="AJ66" s="7" t="str">
        <f>VLOOKUP(D66,'slb RAW'!$E$2:$AF$293,9)</f>
        <v>#N/A N/A</v>
      </c>
      <c r="AK66" s="4">
        <f>VLOOKUP(D66,'slb RAW'!$E$2:$AE$293,27)</f>
        <v>1.859</v>
      </c>
      <c r="AL66" s="4">
        <f>VLOOKUP(C66,'Refinitiv SLB'!F66:S243,14)</f>
        <v>5.0011</v>
      </c>
      <c r="AM66" s="4">
        <f t="shared" si="2"/>
        <v>1.859</v>
      </c>
      <c r="AN66" s="9" t="str">
        <f t="shared" si="3"/>
        <v>Rexel SACALLABLEFIXEDEURSr Unsecured</v>
      </c>
      <c r="AO66" s="7" t="b">
        <f>ISNUMBER( IFERROR(VLOOKUP(A66,Pairs!$E$2:$E$57,1,FALSE),FALSE))</f>
        <v>0</v>
      </c>
      <c r="AP66" s="7"/>
      <c r="AQ66" s="7"/>
    </row>
    <row r="67" ht="15.75" customHeight="1">
      <c r="A67" s="3">
        <v>127.0</v>
      </c>
      <c r="B67" s="4" t="s">
        <v>509</v>
      </c>
      <c r="C67" s="4" t="str">
        <f>VLOOKUP(D67,'slb RAW'!$E:$F,2)</f>
        <v>US427169AA59</v>
      </c>
      <c r="D67" s="4" t="s">
        <v>510</v>
      </c>
      <c r="E67" s="4" t="s">
        <v>511</v>
      </c>
      <c r="F67" s="4" t="s">
        <v>512</v>
      </c>
      <c r="G67" s="4" t="s">
        <v>170</v>
      </c>
      <c r="H67" s="4" t="s">
        <v>170</v>
      </c>
      <c r="I67" s="4" t="s">
        <v>170</v>
      </c>
      <c r="J67" s="4">
        <v>4.75</v>
      </c>
      <c r="K67" s="4" t="s">
        <v>513</v>
      </c>
      <c r="L67" s="4" t="s">
        <v>514</v>
      </c>
      <c r="M67" s="4">
        <v>4.75</v>
      </c>
      <c r="N67" s="4" t="s">
        <v>115</v>
      </c>
      <c r="O67" s="4" t="s">
        <v>116</v>
      </c>
      <c r="P67" s="4" t="s">
        <v>262</v>
      </c>
      <c r="Q67" s="4" t="s">
        <v>459</v>
      </c>
      <c r="R67" s="4" t="s">
        <v>263</v>
      </c>
      <c r="S67" s="4" t="s">
        <v>351</v>
      </c>
      <c r="T67" s="4" t="s">
        <v>55</v>
      </c>
      <c r="U67" s="4" t="s">
        <v>56</v>
      </c>
      <c r="V67" s="4" t="s">
        <v>71</v>
      </c>
      <c r="W67" s="4">
        <v>3.5E8</v>
      </c>
      <c r="X67" s="4" t="s">
        <v>85</v>
      </c>
      <c r="Y67" s="4" t="s">
        <v>515</v>
      </c>
      <c r="Z67" s="4" t="s">
        <v>60</v>
      </c>
      <c r="AA67" s="4" t="s">
        <v>61</v>
      </c>
      <c r="AB67" s="4" t="s">
        <v>87</v>
      </c>
      <c r="AC67" s="4" t="s">
        <v>515</v>
      </c>
      <c r="AD67" s="3" t="s">
        <v>516</v>
      </c>
      <c r="AE67" s="7">
        <v>25.0</v>
      </c>
      <c r="AF67" s="12"/>
      <c r="AG67" s="4" t="str">
        <f t="shared" si="1"/>
        <v/>
      </c>
      <c r="AH67" s="8" t="s">
        <v>125</v>
      </c>
      <c r="AI67" s="4" t="s">
        <v>517</v>
      </c>
      <c r="AJ67" s="7">
        <f>VLOOKUP(D67,'slb RAW'!$E$2:$AF$293,9)</f>
        <v>4.75</v>
      </c>
      <c r="AK67" s="4">
        <f>VLOOKUP(D67,'slb RAW'!$E$2:$AE$293,27)</f>
        <v>4.624</v>
      </c>
      <c r="AL67" s="4">
        <f>VLOOKUP(C67,'Refinitiv SLB'!F67:S244,14)</f>
        <v>6.3234</v>
      </c>
      <c r="AM67" s="4">
        <f t="shared" si="2"/>
        <v>4.624</v>
      </c>
      <c r="AN67" s="9" t="str">
        <f t="shared" si="3"/>
        <v>Herens Holdco SarlCALLABLEFIXEDUSDSecured</v>
      </c>
      <c r="AO67" s="7" t="b">
        <f>ISNUMBER( IFERROR(VLOOKUP(A67,Pairs!$E$2:$E$57,1,FALSE),FALSE))</f>
        <v>0</v>
      </c>
      <c r="AP67" s="7"/>
      <c r="AQ67" s="7"/>
    </row>
    <row r="68" ht="15.75" customHeight="1">
      <c r="A68" s="3">
        <v>130.0</v>
      </c>
      <c r="B68" s="4" t="s">
        <v>518</v>
      </c>
      <c r="C68" s="4" t="str">
        <f>VLOOKUP(D68,'slb RAW'!$E:$F,2)</f>
        <v>XS2340137426</v>
      </c>
      <c r="D68" s="4" t="s">
        <v>519</v>
      </c>
      <c r="E68" s="4" t="s">
        <v>520</v>
      </c>
      <c r="F68" s="4" t="s">
        <v>512</v>
      </c>
      <c r="G68" s="4" t="s">
        <v>170</v>
      </c>
      <c r="H68" s="4" t="s">
        <v>170</v>
      </c>
      <c r="I68" s="4" t="s">
        <v>170</v>
      </c>
      <c r="J68" s="4">
        <v>5.25</v>
      </c>
      <c r="K68" s="4" t="s">
        <v>513</v>
      </c>
      <c r="L68" s="4" t="s">
        <v>521</v>
      </c>
      <c r="M68" s="4">
        <v>5.25</v>
      </c>
      <c r="N68" s="4" t="s">
        <v>115</v>
      </c>
      <c r="O68" s="4" t="s">
        <v>116</v>
      </c>
      <c r="P68" s="4" t="s">
        <v>262</v>
      </c>
      <c r="Q68" s="4" t="s">
        <v>52</v>
      </c>
      <c r="R68" s="4" t="s">
        <v>53</v>
      </c>
      <c r="S68" s="4" t="s">
        <v>522</v>
      </c>
      <c r="T68" s="4" t="s">
        <v>55</v>
      </c>
      <c r="U68" s="4" t="s">
        <v>56</v>
      </c>
      <c r="V68" s="4" t="s">
        <v>71</v>
      </c>
      <c r="W68" s="4">
        <v>5.582974E8</v>
      </c>
      <c r="X68" s="4" t="s">
        <v>85</v>
      </c>
      <c r="Y68" s="4" t="s">
        <v>515</v>
      </c>
      <c r="Z68" s="4" t="s">
        <v>60</v>
      </c>
      <c r="AA68" s="4" t="s">
        <v>61</v>
      </c>
      <c r="AB68" s="4" t="s">
        <v>87</v>
      </c>
      <c r="AC68" s="4" t="s">
        <v>515</v>
      </c>
      <c r="AD68" s="3" t="s">
        <v>516</v>
      </c>
      <c r="AE68" s="7">
        <v>25.0</v>
      </c>
      <c r="AF68" s="12"/>
      <c r="AG68" s="4" t="str">
        <f t="shared" si="1"/>
        <v/>
      </c>
      <c r="AH68" s="8" t="s">
        <v>125</v>
      </c>
      <c r="AI68" s="4" t="s">
        <v>523</v>
      </c>
      <c r="AJ68" s="7">
        <f>VLOOKUP(D68,'slb RAW'!$E$2:$AF$293,9)</f>
        <v>5.25</v>
      </c>
      <c r="AK68" s="4">
        <f>VLOOKUP(D68,'slb RAW'!$E$2:$AE$293,27)</f>
        <v>5.421</v>
      </c>
      <c r="AL68" s="4">
        <f>VLOOKUP(C68,'Refinitiv SLB'!F68:S245,14)</f>
        <v>1.008</v>
      </c>
      <c r="AM68" s="4">
        <f t="shared" si="2"/>
        <v>5.421</v>
      </c>
      <c r="AN68" s="9" t="str">
        <f t="shared" si="3"/>
        <v>Herens Midco SarlCALLABLEFIXEDEURSr Unsecured</v>
      </c>
      <c r="AO68" s="7" t="b">
        <f>ISNUMBER( IFERROR(VLOOKUP(A68,Pairs!$E$2:$E$57,1,FALSE),FALSE))</f>
        <v>0</v>
      </c>
      <c r="AP68" s="7"/>
      <c r="AQ68" s="7"/>
    </row>
    <row r="69" ht="15.75" customHeight="1">
      <c r="A69" s="3">
        <v>128.0</v>
      </c>
      <c r="B69" s="4" t="s">
        <v>509</v>
      </c>
      <c r="C69" s="4" t="str">
        <f>VLOOKUP(D69,'slb RAW'!$E:$F,2)</f>
        <v>USL47909AA11</v>
      </c>
      <c r="D69" s="4" t="s">
        <v>524</v>
      </c>
      <c r="E69" s="4" t="s">
        <v>525</v>
      </c>
      <c r="F69" s="4" t="s">
        <v>512</v>
      </c>
      <c r="G69" s="4" t="s">
        <v>170</v>
      </c>
      <c r="H69" s="4" t="s">
        <v>170</v>
      </c>
      <c r="I69" s="4" t="s">
        <v>170</v>
      </c>
      <c r="J69" s="4">
        <v>4.75</v>
      </c>
      <c r="K69" s="4" t="s">
        <v>513</v>
      </c>
      <c r="L69" s="4" t="s">
        <v>514</v>
      </c>
      <c r="M69" s="4">
        <v>4.75</v>
      </c>
      <c r="N69" s="4" t="s">
        <v>115</v>
      </c>
      <c r="O69" s="4" t="s">
        <v>116</v>
      </c>
      <c r="P69" s="4" t="s">
        <v>271</v>
      </c>
      <c r="Q69" s="4" t="s">
        <v>459</v>
      </c>
      <c r="R69" s="4" t="s">
        <v>263</v>
      </c>
      <c r="S69" s="4" t="s">
        <v>351</v>
      </c>
      <c r="T69" s="4" t="s">
        <v>55</v>
      </c>
      <c r="U69" s="4" t="s">
        <v>56</v>
      </c>
      <c r="V69" s="4" t="s">
        <v>71</v>
      </c>
      <c r="W69" s="4">
        <v>3.5E8</v>
      </c>
      <c r="X69" s="4" t="s">
        <v>85</v>
      </c>
      <c r="Y69" s="4" t="s">
        <v>515</v>
      </c>
      <c r="Z69" s="4" t="s">
        <v>60</v>
      </c>
      <c r="AA69" s="4" t="s">
        <v>61</v>
      </c>
      <c r="AB69" s="4" t="s">
        <v>87</v>
      </c>
      <c r="AC69" s="4" t="s">
        <v>515</v>
      </c>
      <c r="AD69" s="3" t="s">
        <v>516</v>
      </c>
      <c r="AE69" s="7">
        <v>25.0</v>
      </c>
      <c r="AF69" s="12"/>
      <c r="AG69" s="4" t="str">
        <f t="shared" si="1"/>
        <v/>
      </c>
      <c r="AH69" s="8" t="s">
        <v>125</v>
      </c>
      <c r="AI69" s="4" t="s">
        <v>517</v>
      </c>
      <c r="AJ69" s="7">
        <f>VLOOKUP(D69,'slb RAW'!$E$2:$AF$293,9)</f>
        <v>4.75</v>
      </c>
      <c r="AK69" s="4">
        <f>VLOOKUP(D69,'slb RAW'!$E$2:$AE$293,27)</f>
        <v>4.641</v>
      </c>
      <c r="AL69" s="4" t="str">
        <f>VLOOKUP(C69,'Refinitiv SLB'!F69:S246,14)</f>
        <v>#N/A</v>
      </c>
      <c r="AM69" s="4">
        <f t="shared" si="2"/>
        <v>4.641</v>
      </c>
      <c r="AN69" s="9" t="str">
        <f t="shared" si="3"/>
        <v>Herens Holdco SarlCALLABLEFIXEDUSDSecured</v>
      </c>
      <c r="AO69" s="7" t="b">
        <f>ISNUMBER( IFERROR(VLOOKUP(A69,Pairs!$E$2:$E$57,1,FALSE),FALSE))</f>
        <v>0</v>
      </c>
      <c r="AP69" s="7"/>
      <c r="AQ69" s="7"/>
    </row>
    <row r="70" ht="15.75" customHeight="1">
      <c r="A70" s="3">
        <v>129.0</v>
      </c>
      <c r="B70" s="4" t="s">
        <v>518</v>
      </c>
      <c r="C70" s="4" t="str">
        <f>VLOOKUP(D70,'slb RAW'!$E:$F,2)</f>
        <v>XS2340137343</v>
      </c>
      <c r="D70" s="4" t="s">
        <v>526</v>
      </c>
      <c r="E70" s="4" t="s">
        <v>527</v>
      </c>
      <c r="F70" s="4" t="s">
        <v>512</v>
      </c>
      <c r="G70" s="4" t="s">
        <v>170</v>
      </c>
      <c r="H70" s="4" t="s">
        <v>170</v>
      </c>
      <c r="I70" s="4" t="s">
        <v>170</v>
      </c>
      <c r="J70" s="4">
        <v>5.25</v>
      </c>
      <c r="K70" s="4" t="s">
        <v>513</v>
      </c>
      <c r="L70" s="4" t="s">
        <v>521</v>
      </c>
      <c r="M70" s="15">
        <v>5.25</v>
      </c>
      <c r="N70" s="4" t="s">
        <v>115</v>
      </c>
      <c r="O70" s="4" t="s">
        <v>116</v>
      </c>
      <c r="P70" s="4" t="s">
        <v>271</v>
      </c>
      <c r="Q70" s="4" t="s">
        <v>52</v>
      </c>
      <c r="R70" s="4" t="s">
        <v>53</v>
      </c>
      <c r="S70" s="4" t="s">
        <v>522</v>
      </c>
      <c r="T70" s="4" t="s">
        <v>55</v>
      </c>
      <c r="U70" s="4" t="s">
        <v>56</v>
      </c>
      <c r="V70" s="4" t="s">
        <v>71</v>
      </c>
      <c r="W70" s="4">
        <v>5.582974E8</v>
      </c>
      <c r="X70" s="4" t="s">
        <v>85</v>
      </c>
      <c r="Y70" s="4" t="s">
        <v>515</v>
      </c>
      <c r="Z70" s="4" t="s">
        <v>60</v>
      </c>
      <c r="AA70" s="4" t="s">
        <v>61</v>
      </c>
      <c r="AB70" s="4" t="s">
        <v>87</v>
      </c>
      <c r="AC70" s="4" t="s">
        <v>515</v>
      </c>
      <c r="AD70" s="3" t="s">
        <v>516</v>
      </c>
      <c r="AE70" s="7">
        <v>25.0</v>
      </c>
      <c r="AF70" s="12"/>
      <c r="AG70" s="4" t="str">
        <f t="shared" si="1"/>
        <v/>
      </c>
      <c r="AH70" s="8" t="s">
        <v>125</v>
      </c>
      <c r="AI70" s="4" t="s">
        <v>528</v>
      </c>
      <c r="AJ70" s="7">
        <f>VLOOKUP(D70,'slb RAW'!$E$2:$AF$293,9)</f>
        <v>5.25</v>
      </c>
      <c r="AK70" s="4">
        <f>VLOOKUP(D70,'slb RAW'!$E$2:$AE$293,27)</f>
        <v>5.44</v>
      </c>
      <c r="AL70" s="4">
        <f>VLOOKUP(C70,'Refinitiv SLB'!F70:S247,14)</f>
        <v>5.129</v>
      </c>
      <c r="AM70" s="4">
        <f t="shared" si="2"/>
        <v>5.44</v>
      </c>
      <c r="AN70" s="9" t="str">
        <f t="shared" si="3"/>
        <v>Herens Midco SarlCALLABLEFIXEDEURSr Unsecured</v>
      </c>
      <c r="AO70" s="7" t="b">
        <f>ISNUMBER( IFERROR(VLOOKUP(A70,Pairs!$E$2:$E$57,1,FALSE),FALSE))</f>
        <v>0</v>
      </c>
      <c r="AP70" s="7"/>
      <c r="AQ70" s="7"/>
    </row>
    <row r="71" ht="15.75" customHeight="1">
      <c r="A71" s="3">
        <v>257.0</v>
      </c>
      <c r="B71" s="4" t="s">
        <v>529</v>
      </c>
      <c r="C71" s="4" t="str">
        <f>VLOOKUP(D71,'slb RAW'!$E:$F,2)</f>
        <v>AT0000A2QS11</v>
      </c>
      <c r="D71" s="4" t="s">
        <v>530</v>
      </c>
      <c r="E71" s="4" t="s">
        <v>531</v>
      </c>
      <c r="F71" s="4" t="s">
        <v>532</v>
      </c>
      <c r="G71" s="4" t="s">
        <v>258</v>
      </c>
      <c r="H71" s="4" t="s">
        <v>258</v>
      </c>
      <c r="I71" s="4" t="s">
        <v>258</v>
      </c>
      <c r="J71" s="4">
        <v>3.125</v>
      </c>
      <c r="K71" s="4" t="s">
        <v>533</v>
      </c>
      <c r="L71" s="4" t="s">
        <v>534</v>
      </c>
      <c r="M71" s="11">
        <v>9.7329</v>
      </c>
      <c r="N71" s="4" t="s">
        <v>49</v>
      </c>
      <c r="O71" s="4" t="s">
        <v>50</v>
      </c>
      <c r="P71" s="4" t="s">
        <v>174</v>
      </c>
      <c r="Q71" s="4" t="s">
        <v>52</v>
      </c>
      <c r="R71" s="4" t="s">
        <v>53</v>
      </c>
      <c r="S71" s="4" t="s">
        <v>54</v>
      </c>
      <c r="T71" s="4" t="s">
        <v>55</v>
      </c>
      <c r="U71" s="4" t="s">
        <v>56</v>
      </c>
      <c r="V71" s="4" t="s">
        <v>57</v>
      </c>
      <c r="W71" s="4">
        <v>1.82463E8</v>
      </c>
      <c r="X71" s="4" t="s">
        <v>134</v>
      </c>
      <c r="Y71" s="4" t="s">
        <v>535</v>
      </c>
      <c r="Z71" s="4" t="s">
        <v>60</v>
      </c>
      <c r="AA71" s="4" t="s">
        <v>61</v>
      </c>
      <c r="AB71" s="4" t="s">
        <v>62</v>
      </c>
      <c r="AC71" s="4" t="s">
        <v>62</v>
      </c>
      <c r="AD71" s="3" t="s">
        <v>536</v>
      </c>
      <c r="AE71" s="7">
        <v>15.0</v>
      </c>
      <c r="AF71" s="12"/>
      <c r="AG71" s="4" t="str">
        <f t="shared" si="1"/>
        <v/>
      </c>
      <c r="AH71" s="8" t="s">
        <v>64</v>
      </c>
      <c r="AI71" s="4" t="s">
        <v>537</v>
      </c>
      <c r="AJ71" s="7" t="str">
        <f>VLOOKUP(D71,'slb RAW'!$E$2:$AF$293,9)</f>
        <v>#N/A N/A</v>
      </c>
      <c r="AK71" s="4">
        <f>VLOOKUP(D71,'slb RAW'!$E$2:$AE$293,27)</f>
        <v>2.666</v>
      </c>
      <c r="AL71" s="4" t="str">
        <f>VLOOKUP(C71,'Refinitiv SLB'!F71:S248,14)</f>
        <v>#N/A</v>
      </c>
      <c r="AM71" s="4">
        <f t="shared" si="2"/>
        <v>2.666</v>
      </c>
      <c r="AN71" s="9" t="str">
        <f t="shared" si="3"/>
        <v>UBM Development AGAT MATURITYFIXEDEURSr Unsecured</v>
      </c>
      <c r="AO71" s="7" t="b">
        <f>ISNUMBER( IFERROR(VLOOKUP(A71,Pairs!$E$2:$E$57,1,FALSE),FALSE))</f>
        <v>1</v>
      </c>
      <c r="AP71" s="7"/>
      <c r="AQ71" s="7"/>
    </row>
    <row r="72" ht="15.75" customHeight="1">
      <c r="A72" s="3">
        <v>141.0</v>
      </c>
      <c r="B72" s="4" t="s">
        <v>538</v>
      </c>
      <c r="C72" s="4" t="str">
        <f>VLOOKUP(D72,'slb RAW'!$E:$F,2)</f>
        <v>US46188AAA25</v>
      </c>
      <c r="D72" s="4" t="s">
        <v>539</v>
      </c>
      <c r="E72" s="4" t="s">
        <v>540</v>
      </c>
      <c r="F72" s="4" t="s">
        <v>541</v>
      </c>
      <c r="G72" s="4" t="s">
        <v>258</v>
      </c>
      <c r="H72" s="4" t="s">
        <v>258</v>
      </c>
      <c r="I72" s="4" t="s">
        <v>259</v>
      </c>
      <c r="J72" s="4">
        <v>5.0</v>
      </c>
      <c r="K72" s="4" t="s">
        <v>542</v>
      </c>
      <c r="L72" s="4" t="s">
        <v>543</v>
      </c>
      <c r="M72" s="4">
        <v>5.25</v>
      </c>
      <c r="N72" s="4" t="s">
        <v>115</v>
      </c>
      <c r="O72" s="4" t="s">
        <v>116</v>
      </c>
      <c r="P72" s="4" t="s">
        <v>262</v>
      </c>
      <c r="Q72" s="4" t="s">
        <v>52</v>
      </c>
      <c r="R72" s="4" t="s">
        <v>263</v>
      </c>
      <c r="S72" s="4" t="s">
        <v>297</v>
      </c>
      <c r="T72" s="4" t="s">
        <v>55</v>
      </c>
      <c r="U72" s="4" t="s">
        <v>56</v>
      </c>
      <c r="V72" s="4" t="s">
        <v>71</v>
      </c>
      <c r="W72" s="4">
        <v>4.0E8</v>
      </c>
      <c r="X72" s="4" t="s">
        <v>134</v>
      </c>
      <c r="Y72" s="4" t="s">
        <v>544</v>
      </c>
      <c r="Z72" s="4" t="s">
        <v>60</v>
      </c>
      <c r="AA72" s="4" t="s">
        <v>61</v>
      </c>
      <c r="AB72" s="4" t="s">
        <v>136</v>
      </c>
      <c r="AC72" s="4" t="s">
        <v>545</v>
      </c>
      <c r="AD72" s="3" t="s">
        <v>546</v>
      </c>
      <c r="AE72" s="7">
        <v>25.0</v>
      </c>
      <c r="AF72" s="12"/>
      <c r="AG72" s="4" t="str">
        <f t="shared" si="1"/>
        <v/>
      </c>
      <c r="AH72" s="8" t="s">
        <v>140</v>
      </c>
      <c r="AI72" s="4" t="s">
        <v>547</v>
      </c>
      <c r="AJ72" s="7">
        <f>VLOOKUP(D72,'slb RAW'!$E$2:$AF$293,9)</f>
        <v>5.25</v>
      </c>
      <c r="AK72" s="4">
        <f>VLOOKUP(D72,'slb RAW'!$E$2:$AE$293,27)</f>
        <v>5.434</v>
      </c>
      <c r="AL72" s="4">
        <f>VLOOKUP(C72,'Refinitiv SLB'!F72:S249,14)</f>
        <v>6.3234</v>
      </c>
      <c r="AM72" s="4">
        <f t="shared" si="2"/>
        <v>5.434</v>
      </c>
      <c r="AN72" s="9" t="str">
        <f t="shared" si="3"/>
        <v>Iochpe-Maxion Austria GmbH / Maxion Wheels de Mexico S de RL de CVCALLABLEFIXEDUSDSr Unsecured</v>
      </c>
      <c r="AO72" s="7" t="b">
        <f>ISNUMBER( IFERROR(VLOOKUP(A72,Pairs!$E$2:$E$57,1,FALSE),FALSE))</f>
        <v>0</v>
      </c>
      <c r="AP72" s="7"/>
      <c r="AQ72" s="7"/>
    </row>
    <row r="73" ht="15.75" customHeight="1">
      <c r="A73" s="3">
        <v>140.0</v>
      </c>
      <c r="B73" s="4" t="s">
        <v>538</v>
      </c>
      <c r="C73" s="4" t="str">
        <f>VLOOKUP(D73,'slb RAW'!$E:$F,2)</f>
        <v>USA3R74HAA50</v>
      </c>
      <c r="D73" s="4" t="s">
        <v>548</v>
      </c>
      <c r="E73" s="4" t="s">
        <v>549</v>
      </c>
      <c r="F73" s="4" t="s">
        <v>541</v>
      </c>
      <c r="G73" s="4" t="s">
        <v>258</v>
      </c>
      <c r="H73" s="4" t="s">
        <v>258</v>
      </c>
      <c r="I73" s="4" t="s">
        <v>259</v>
      </c>
      <c r="J73" s="4">
        <v>5.0</v>
      </c>
      <c r="K73" s="4" t="s">
        <v>542</v>
      </c>
      <c r="L73" s="4" t="s">
        <v>543</v>
      </c>
      <c r="M73" s="4">
        <v>5.25</v>
      </c>
      <c r="N73" s="4" t="s">
        <v>115</v>
      </c>
      <c r="O73" s="4" t="s">
        <v>116</v>
      </c>
      <c r="P73" s="4" t="s">
        <v>271</v>
      </c>
      <c r="Q73" s="4" t="s">
        <v>52</v>
      </c>
      <c r="R73" s="4" t="s">
        <v>263</v>
      </c>
      <c r="S73" s="4" t="s">
        <v>297</v>
      </c>
      <c r="T73" s="4" t="s">
        <v>55</v>
      </c>
      <c r="U73" s="4" t="s">
        <v>56</v>
      </c>
      <c r="V73" s="4" t="s">
        <v>71</v>
      </c>
      <c r="W73" s="4">
        <v>4.0E8</v>
      </c>
      <c r="X73" s="4" t="s">
        <v>134</v>
      </c>
      <c r="Y73" s="4" t="s">
        <v>544</v>
      </c>
      <c r="Z73" s="4" t="s">
        <v>60</v>
      </c>
      <c r="AA73" s="4" t="s">
        <v>61</v>
      </c>
      <c r="AB73" s="4" t="s">
        <v>136</v>
      </c>
      <c r="AC73" s="4" t="s">
        <v>545</v>
      </c>
      <c r="AD73" s="3" t="s">
        <v>546</v>
      </c>
      <c r="AE73" s="7">
        <v>25.0</v>
      </c>
      <c r="AF73" s="12"/>
      <c r="AG73" s="4" t="str">
        <f t="shared" si="1"/>
        <v/>
      </c>
      <c r="AH73" s="19"/>
      <c r="AI73" s="4" t="s">
        <v>550</v>
      </c>
      <c r="AJ73" s="7">
        <f>VLOOKUP(D73,'slb RAW'!$E$2:$AF$293,9)</f>
        <v>5.25</v>
      </c>
      <c r="AK73" s="4">
        <f>VLOOKUP(D73,'slb RAW'!$E$2:$AE$293,27)</f>
        <v>5.392</v>
      </c>
      <c r="AL73" s="4">
        <f>VLOOKUP(C73,'Refinitiv SLB'!F73:S250,14)</f>
        <v>6.3234</v>
      </c>
      <c r="AM73" s="4">
        <f t="shared" si="2"/>
        <v>5.392</v>
      </c>
      <c r="AN73" s="9" t="str">
        <f t="shared" si="3"/>
        <v>Iochpe-Maxion Austria GmbH / Maxion Wheels de Mexico S de RL de CVCALLABLEFIXEDUSDSr Unsecured</v>
      </c>
      <c r="AO73" s="7" t="b">
        <f>ISNUMBER( IFERROR(VLOOKUP(A73,Pairs!$E$2:$E$57,1,FALSE),FALSE))</f>
        <v>0</v>
      </c>
      <c r="AP73" s="7"/>
      <c r="AQ73" s="7"/>
    </row>
    <row r="74" ht="15.75" customHeight="1">
      <c r="A74" s="3">
        <v>256.0</v>
      </c>
      <c r="B74" s="4" t="s">
        <v>529</v>
      </c>
      <c r="C74" s="4" t="str">
        <f>VLOOKUP(D74,'slb RAW'!$E:$F,2)</f>
        <v>XS2355161956</v>
      </c>
      <c r="D74" s="4" t="s">
        <v>551</v>
      </c>
      <c r="E74" s="4" t="s">
        <v>552</v>
      </c>
      <c r="F74" s="4" t="s">
        <v>532</v>
      </c>
      <c r="G74" s="4" t="s">
        <v>258</v>
      </c>
      <c r="H74" s="4" t="s">
        <v>258</v>
      </c>
      <c r="I74" s="4" t="s">
        <v>258</v>
      </c>
      <c r="J74" s="4">
        <v>5.5</v>
      </c>
      <c r="K74" s="4" t="s">
        <v>553</v>
      </c>
      <c r="L74" s="4" t="s">
        <v>174</v>
      </c>
      <c r="M74" s="13">
        <v>2.4873</v>
      </c>
      <c r="N74" s="4" t="s">
        <v>341</v>
      </c>
      <c r="O74" s="4" t="s">
        <v>116</v>
      </c>
      <c r="P74" s="4" t="s">
        <v>554</v>
      </c>
      <c r="Q74" s="4" t="s">
        <v>555</v>
      </c>
      <c r="R74" s="4" t="s">
        <v>53</v>
      </c>
      <c r="S74" s="4" t="s">
        <v>54</v>
      </c>
      <c r="T74" s="4" t="s">
        <v>55</v>
      </c>
      <c r="U74" s="4" t="s">
        <v>343</v>
      </c>
      <c r="V74" s="4" t="s">
        <v>57</v>
      </c>
      <c r="W74" s="4">
        <v>1.18745E8</v>
      </c>
      <c r="X74" s="4" t="s">
        <v>134</v>
      </c>
      <c r="Y74" s="4" t="s">
        <v>535</v>
      </c>
      <c r="Z74" s="4" t="s">
        <v>60</v>
      </c>
      <c r="AA74" s="4" t="s">
        <v>61</v>
      </c>
      <c r="AB74" s="4" t="s">
        <v>62</v>
      </c>
      <c r="AC74" s="4" t="s">
        <v>62</v>
      </c>
      <c r="AD74" s="3" t="s">
        <v>556</v>
      </c>
      <c r="AE74" s="8" t="s">
        <v>194</v>
      </c>
      <c r="AF74" s="12"/>
      <c r="AG74" s="4" t="str">
        <f t="shared" si="1"/>
        <v/>
      </c>
      <c r="AH74" s="8" t="s">
        <v>64</v>
      </c>
      <c r="AI74" s="4" t="s">
        <v>557</v>
      </c>
      <c r="AJ74" s="7" t="str">
        <f>VLOOKUP(D74,'slb RAW'!$E$2:$AF$293,9)</f>
        <v>#N/A N/A</v>
      </c>
      <c r="AK74" s="4">
        <f>VLOOKUP(D74,'slb RAW'!$E$2:$AE$293,27)</f>
        <v>9.726</v>
      </c>
      <c r="AL74" s="4">
        <f>VLOOKUP(C74,'Refinitiv SLB'!F74:S251,14)</f>
        <v>5.129</v>
      </c>
      <c r="AM74" s="4">
        <f t="shared" si="2"/>
        <v>9.726</v>
      </c>
      <c r="AN74" s="9" t="str">
        <f t="shared" si="3"/>
        <v>UBM Development AGPERP/CALLVARIABLEEURJr Subordinated</v>
      </c>
      <c r="AO74" s="7" t="b">
        <f>ISNUMBER( IFERROR(VLOOKUP(A74,Pairs!$E$2:$E$57,1,FALSE),FALSE))</f>
        <v>0</v>
      </c>
      <c r="AP74" s="7"/>
      <c r="AQ74" s="7"/>
    </row>
    <row r="75" ht="15.75" customHeight="1">
      <c r="A75" s="3">
        <v>69.0</v>
      </c>
      <c r="B75" s="4" t="s">
        <v>558</v>
      </c>
      <c r="C75" s="4" t="str">
        <f>VLOOKUP(D75,'slb RAW'!$E:$F,2)</f>
        <v>XS2338570331</v>
      </c>
      <c r="D75" s="4" t="s">
        <v>559</v>
      </c>
      <c r="E75" s="4" t="s">
        <v>560</v>
      </c>
      <c r="F75" s="4" t="s">
        <v>561</v>
      </c>
      <c r="G75" s="4" t="s">
        <v>368</v>
      </c>
      <c r="H75" s="4" t="s">
        <v>368</v>
      </c>
      <c r="I75" s="4" t="s">
        <v>368</v>
      </c>
      <c r="J75" s="4">
        <v>0.875</v>
      </c>
      <c r="K75" s="4" t="s">
        <v>513</v>
      </c>
      <c r="L75" s="4" t="s">
        <v>562</v>
      </c>
      <c r="M75" s="20">
        <v>1.0294</v>
      </c>
      <c r="N75" s="4" t="s">
        <v>115</v>
      </c>
      <c r="O75" s="4" t="s">
        <v>116</v>
      </c>
      <c r="P75" s="4" t="s">
        <v>174</v>
      </c>
      <c r="Q75" s="4" t="s">
        <v>52</v>
      </c>
      <c r="R75" s="4" t="s">
        <v>53</v>
      </c>
      <c r="S75" s="4" t="s">
        <v>190</v>
      </c>
      <c r="T75" s="4" t="s">
        <v>421</v>
      </c>
      <c r="U75" s="4" t="s">
        <v>56</v>
      </c>
      <c r="V75" s="4" t="s">
        <v>57</v>
      </c>
      <c r="W75" s="4">
        <v>6.06845E8</v>
      </c>
      <c r="X75" s="4" t="s">
        <v>485</v>
      </c>
      <c r="Y75" s="4" t="s">
        <v>563</v>
      </c>
      <c r="Z75" s="4" t="s">
        <v>60</v>
      </c>
      <c r="AA75" s="4" t="s">
        <v>487</v>
      </c>
      <c r="AB75" s="4" t="s">
        <v>564</v>
      </c>
      <c r="AC75" s="4" t="s">
        <v>564</v>
      </c>
      <c r="AD75" s="3" t="s">
        <v>565</v>
      </c>
      <c r="AE75" s="8" t="s">
        <v>124</v>
      </c>
      <c r="AF75" s="12"/>
      <c r="AG75" s="4" t="str">
        <f t="shared" si="1"/>
        <v/>
      </c>
      <c r="AH75" s="8" t="s">
        <v>252</v>
      </c>
      <c r="AI75" s="4" t="s">
        <v>566</v>
      </c>
      <c r="AJ75" s="7" t="str">
        <f>VLOOKUP(D75,'slb RAW'!$E$2:$AF$293,9)</f>
        <v>#N/A N/A</v>
      </c>
      <c r="AK75" s="4">
        <f>VLOOKUP(D75,'slb RAW'!$E$2:$AE$293,27)</f>
        <v>1.016</v>
      </c>
      <c r="AL75" s="4">
        <f>VLOOKUP(C75,'Refinitiv SLB'!F75:S252,14)</f>
        <v>5.0011</v>
      </c>
      <c r="AM75" s="4">
        <f t="shared" si="2"/>
        <v>1.016</v>
      </c>
      <c r="AN75" s="9" t="str">
        <f t="shared" si="3"/>
        <v>EQT ABCALLABLEFIXEDEURSr Unsecured</v>
      </c>
      <c r="AO75" s="7" t="b">
        <f>ISNUMBER( IFERROR(VLOOKUP(A75,Pairs!$E$2:$E$57,1,FALSE),FALSE))</f>
        <v>0</v>
      </c>
      <c r="AP75" s="7"/>
      <c r="AQ75" s="7"/>
    </row>
    <row r="76" ht="15.75" customHeight="1">
      <c r="A76" s="3">
        <v>136.0</v>
      </c>
      <c r="B76" s="4" t="s">
        <v>567</v>
      </c>
      <c r="C76" s="4" t="str">
        <f>VLOOKUP(D76,'slb RAW'!$E:$F,2)</f>
        <v>FR0014003GX7</v>
      </c>
      <c r="D76" s="4" t="s">
        <v>568</v>
      </c>
      <c r="E76" s="4" t="s">
        <v>569</v>
      </c>
      <c r="F76" s="4" t="s">
        <v>570</v>
      </c>
      <c r="G76" s="4" t="s">
        <v>185</v>
      </c>
      <c r="H76" s="4" t="s">
        <v>185</v>
      </c>
      <c r="I76" s="4" t="s">
        <v>185</v>
      </c>
      <c r="J76" s="4">
        <v>1.0</v>
      </c>
      <c r="K76" s="4" t="s">
        <v>513</v>
      </c>
      <c r="L76" s="4" t="s">
        <v>571</v>
      </c>
      <c r="M76" s="3">
        <v>1.0572</v>
      </c>
      <c r="N76" s="4" t="s">
        <v>115</v>
      </c>
      <c r="O76" s="4" t="s">
        <v>116</v>
      </c>
      <c r="P76" s="4" t="s">
        <v>174</v>
      </c>
      <c r="Q76" s="4" t="s">
        <v>52</v>
      </c>
      <c r="R76" s="4" t="s">
        <v>53</v>
      </c>
      <c r="S76" s="4" t="s">
        <v>497</v>
      </c>
      <c r="T76" s="4" t="s">
        <v>55</v>
      </c>
      <c r="U76" s="4" t="s">
        <v>56</v>
      </c>
      <c r="V76" s="4" t="s">
        <v>57</v>
      </c>
      <c r="W76" s="4">
        <v>3.64107E8</v>
      </c>
      <c r="X76" s="4" t="s">
        <v>85</v>
      </c>
      <c r="Y76" s="4" t="s">
        <v>515</v>
      </c>
      <c r="Z76" s="4" t="s">
        <v>60</v>
      </c>
      <c r="AA76" s="4" t="s">
        <v>61</v>
      </c>
      <c r="AB76" s="4" t="s">
        <v>177</v>
      </c>
      <c r="AC76" s="4" t="s">
        <v>178</v>
      </c>
      <c r="AD76" s="3" t="s">
        <v>572</v>
      </c>
      <c r="AE76" s="8" t="s">
        <v>124</v>
      </c>
      <c r="AF76" s="12"/>
      <c r="AG76" s="4" t="str">
        <f t="shared" si="1"/>
        <v/>
      </c>
      <c r="AH76" s="8" t="s">
        <v>140</v>
      </c>
      <c r="AI76" s="4" t="s">
        <v>573</v>
      </c>
      <c r="AJ76" s="7" t="str">
        <f>VLOOKUP(D76,'slb RAW'!$E$2:$AF$293,9)</f>
        <v>#N/A N/A</v>
      </c>
      <c r="AK76" s="4">
        <f>VLOOKUP(D76,'slb RAW'!$E$2:$AE$293,27)</f>
        <v>1.149</v>
      </c>
      <c r="AL76" s="4" t="str">
        <f>VLOOKUP(C76,'Refinitiv SLB'!F76:S253,14)</f>
        <v>#N/A</v>
      </c>
      <c r="AM76" s="4">
        <f t="shared" si="2"/>
        <v>1.149</v>
      </c>
      <c r="AN76" s="9" t="str">
        <f t="shared" si="3"/>
        <v>Imerys SACALLABLEFIXEDEURSr Unsecured</v>
      </c>
      <c r="AO76" s="7" t="b">
        <f>ISNUMBER( IFERROR(VLOOKUP(A76,Pairs!$E$2:$E$57,1,FALSE),FALSE))</f>
        <v>0</v>
      </c>
      <c r="AP76" s="7"/>
      <c r="AQ76" s="7"/>
    </row>
    <row r="77" ht="15.75" customHeight="1">
      <c r="A77" s="3">
        <v>267.0</v>
      </c>
      <c r="B77" s="4" t="s">
        <v>574</v>
      </c>
      <c r="C77" s="4" t="str">
        <f>VLOOKUP(D77,'slb RAW'!$E:$F,2)</f>
        <v>FR0014003G27</v>
      </c>
      <c r="D77" s="4" t="s">
        <v>575</v>
      </c>
      <c r="E77" s="4" t="s">
        <v>576</v>
      </c>
      <c r="F77" s="4" t="s">
        <v>577</v>
      </c>
      <c r="G77" s="4" t="s">
        <v>185</v>
      </c>
      <c r="H77" s="4" t="s">
        <v>185</v>
      </c>
      <c r="I77" s="4" t="s">
        <v>185</v>
      </c>
      <c r="J77" s="4">
        <v>1.625</v>
      </c>
      <c r="K77" s="4" t="s">
        <v>513</v>
      </c>
      <c r="L77" s="4" t="s">
        <v>578</v>
      </c>
      <c r="M77" s="11">
        <v>1.8558</v>
      </c>
      <c r="N77" s="4" t="s">
        <v>115</v>
      </c>
      <c r="O77" s="4" t="s">
        <v>116</v>
      </c>
      <c r="P77" s="4" t="s">
        <v>174</v>
      </c>
      <c r="Q77" s="4" t="s">
        <v>52</v>
      </c>
      <c r="R77" s="4" t="s">
        <v>53</v>
      </c>
      <c r="S77" s="4" t="s">
        <v>190</v>
      </c>
      <c r="T77" s="4" t="s">
        <v>55</v>
      </c>
      <c r="U77" s="4" t="s">
        <v>56</v>
      </c>
      <c r="V77" s="4" t="s">
        <v>57</v>
      </c>
      <c r="W77" s="4">
        <v>6.06845E8</v>
      </c>
      <c r="X77" s="4" t="s">
        <v>85</v>
      </c>
      <c r="Y77" s="4" t="s">
        <v>265</v>
      </c>
      <c r="Z77" s="4" t="s">
        <v>60</v>
      </c>
      <c r="AA77" s="4" t="s">
        <v>61</v>
      </c>
      <c r="AB77" s="4" t="s">
        <v>177</v>
      </c>
      <c r="AC77" s="4" t="s">
        <v>579</v>
      </c>
      <c r="AD77" s="3" t="s">
        <v>580</v>
      </c>
      <c r="AE77" s="7">
        <v>25.0</v>
      </c>
      <c r="AF77" s="12"/>
      <c r="AG77" s="4" t="str">
        <f t="shared" si="1"/>
        <v/>
      </c>
      <c r="AH77" s="8" t="s">
        <v>125</v>
      </c>
      <c r="AI77" s="4" t="s">
        <v>581</v>
      </c>
      <c r="AJ77" s="7" t="str">
        <f>VLOOKUP(D77,'slb RAW'!$E$2:$AF$293,9)</f>
        <v>#N/A N/A</v>
      </c>
      <c r="AK77" s="4">
        <f>VLOOKUP(D77,'slb RAW'!$E$2:$AE$293,27)</f>
        <v>1.533</v>
      </c>
      <c r="AL77" s="4">
        <f>VLOOKUP(C77,'Refinitiv SLB'!F77:S254,14)</f>
        <v>1.63</v>
      </c>
      <c r="AM77" s="4">
        <f t="shared" si="2"/>
        <v>1.533</v>
      </c>
      <c r="AN77" s="9" t="str">
        <f t="shared" si="3"/>
        <v>Verallia SACALLABLEFIXEDEURSr Unsecured</v>
      </c>
      <c r="AO77" s="7" t="b">
        <f>ISNUMBER( IFERROR(VLOOKUP(A77,Pairs!$E$2:$E$57,1,FALSE),FALSE))</f>
        <v>0</v>
      </c>
      <c r="AP77" s="7"/>
      <c r="AQ77" s="7"/>
    </row>
    <row r="78" ht="15.75" customHeight="1">
      <c r="A78" s="3">
        <v>44.0</v>
      </c>
      <c r="B78" s="4" t="s">
        <v>345</v>
      </c>
      <c r="C78" s="4" t="str">
        <f>VLOOKUP(D78,'slb RAW'!$E:$F,2)</f>
        <v>XS2335148701</v>
      </c>
      <c r="D78" s="4" t="s">
        <v>582</v>
      </c>
      <c r="E78" s="4" t="s">
        <v>583</v>
      </c>
      <c r="F78" s="4" t="s">
        <v>348</v>
      </c>
      <c r="G78" s="4" t="s">
        <v>185</v>
      </c>
      <c r="H78" s="4" t="s">
        <v>185</v>
      </c>
      <c r="I78" s="4" t="s">
        <v>186</v>
      </c>
      <c r="J78" s="4">
        <v>3.125</v>
      </c>
      <c r="K78" s="4" t="s">
        <v>584</v>
      </c>
      <c r="L78" s="4" t="s">
        <v>585</v>
      </c>
      <c r="M78" s="4">
        <v>3.125</v>
      </c>
      <c r="N78" s="4" t="s">
        <v>115</v>
      </c>
      <c r="O78" s="4" t="s">
        <v>116</v>
      </c>
      <c r="P78" s="4" t="s">
        <v>262</v>
      </c>
      <c r="Q78" s="4" t="s">
        <v>52</v>
      </c>
      <c r="R78" s="4" t="s">
        <v>53</v>
      </c>
      <c r="S78" s="4" t="s">
        <v>351</v>
      </c>
      <c r="T78" s="4" t="s">
        <v>55</v>
      </c>
      <c r="U78" s="4" t="s">
        <v>56</v>
      </c>
      <c r="V78" s="4" t="s">
        <v>71</v>
      </c>
      <c r="W78" s="4">
        <v>3.66363E8</v>
      </c>
      <c r="X78" s="4" t="s">
        <v>85</v>
      </c>
      <c r="Y78" s="4" t="s">
        <v>86</v>
      </c>
      <c r="Z78" s="4" t="s">
        <v>60</v>
      </c>
      <c r="AA78" s="4" t="s">
        <v>61</v>
      </c>
      <c r="AB78" s="4" t="s">
        <v>87</v>
      </c>
      <c r="AC78" s="4" t="s">
        <v>88</v>
      </c>
      <c r="AD78" s="3" t="s">
        <v>586</v>
      </c>
      <c r="AE78" s="7">
        <v>12.5</v>
      </c>
      <c r="AF78" s="12"/>
      <c r="AG78" s="4" t="str">
        <f t="shared" si="1"/>
        <v/>
      </c>
      <c r="AH78" s="8" t="s">
        <v>140</v>
      </c>
      <c r="AI78" s="4" t="s">
        <v>587</v>
      </c>
      <c r="AJ78" s="7">
        <f>VLOOKUP(D78,'slb RAW'!$E$2:$AF$293,9)</f>
        <v>3.125</v>
      </c>
      <c r="AK78" s="4">
        <f>VLOOKUP(D78,'slb RAW'!$E$2:$AE$293,27)</f>
        <v>3.064</v>
      </c>
      <c r="AL78" s="4">
        <f>VLOOKUP(C78,'Refinitiv SLB'!F78:S255,14)</f>
        <v>4.231</v>
      </c>
      <c r="AM78" s="4">
        <f t="shared" si="2"/>
        <v>3.064</v>
      </c>
      <c r="AN78" s="9" t="str">
        <f t="shared" si="3"/>
        <v>Constellium SECALLABLEFIXEDEURSr Unsecured</v>
      </c>
      <c r="AO78" s="7" t="b">
        <f>ISNUMBER( IFERROR(VLOOKUP(A78,Pairs!$E$2:$E$57,1,FALSE),FALSE))</f>
        <v>0</v>
      </c>
      <c r="AP78" s="7"/>
      <c r="AQ78" s="7"/>
    </row>
    <row r="79" ht="15.75" customHeight="1">
      <c r="A79" s="3">
        <v>45.0</v>
      </c>
      <c r="B79" s="4" t="s">
        <v>345</v>
      </c>
      <c r="C79" s="4" t="str">
        <f>VLOOKUP(D79,'slb RAW'!$E:$F,2)</f>
        <v>XS2335148024</v>
      </c>
      <c r="D79" s="4" t="s">
        <v>588</v>
      </c>
      <c r="E79" s="4" t="s">
        <v>589</v>
      </c>
      <c r="F79" s="4" t="s">
        <v>348</v>
      </c>
      <c r="G79" s="4" t="s">
        <v>185</v>
      </c>
      <c r="H79" s="4" t="s">
        <v>185</v>
      </c>
      <c r="I79" s="4" t="s">
        <v>186</v>
      </c>
      <c r="J79" s="4">
        <v>3.125</v>
      </c>
      <c r="K79" s="4" t="s">
        <v>584</v>
      </c>
      <c r="L79" s="4" t="s">
        <v>585</v>
      </c>
      <c r="M79" s="4">
        <v>3.125</v>
      </c>
      <c r="N79" s="4" t="s">
        <v>115</v>
      </c>
      <c r="O79" s="4" t="s">
        <v>116</v>
      </c>
      <c r="P79" s="4" t="s">
        <v>271</v>
      </c>
      <c r="Q79" s="4" t="s">
        <v>52</v>
      </c>
      <c r="R79" s="4" t="s">
        <v>53</v>
      </c>
      <c r="S79" s="4" t="s">
        <v>351</v>
      </c>
      <c r="T79" s="4" t="s">
        <v>55</v>
      </c>
      <c r="U79" s="4" t="s">
        <v>56</v>
      </c>
      <c r="V79" s="4" t="s">
        <v>71</v>
      </c>
      <c r="W79" s="4">
        <v>3.66363E8</v>
      </c>
      <c r="X79" s="4" t="s">
        <v>85</v>
      </c>
      <c r="Y79" s="4" t="s">
        <v>86</v>
      </c>
      <c r="Z79" s="4" t="s">
        <v>60</v>
      </c>
      <c r="AA79" s="4" t="s">
        <v>61</v>
      </c>
      <c r="AB79" s="4" t="s">
        <v>87</v>
      </c>
      <c r="AC79" s="4" t="s">
        <v>88</v>
      </c>
      <c r="AD79" s="3" t="s">
        <v>586</v>
      </c>
      <c r="AE79" s="7">
        <v>12.5</v>
      </c>
      <c r="AF79" s="12"/>
      <c r="AG79" s="4" t="str">
        <f t="shared" si="1"/>
        <v/>
      </c>
      <c r="AH79" s="8" t="s">
        <v>140</v>
      </c>
      <c r="AI79" s="4" t="s">
        <v>590</v>
      </c>
      <c r="AJ79" s="7">
        <f>VLOOKUP(D79,'slb RAW'!$E$2:$AF$293,9)</f>
        <v>3.125</v>
      </c>
      <c r="AK79" s="4">
        <f>VLOOKUP(D79,'slb RAW'!$E$2:$AE$293,27)</f>
        <v>3.064</v>
      </c>
      <c r="AL79" s="4">
        <f>VLOOKUP(C79,'Refinitiv SLB'!F79:S256,14)</f>
        <v>4.231</v>
      </c>
      <c r="AM79" s="4">
        <f t="shared" si="2"/>
        <v>3.064</v>
      </c>
      <c r="AN79" s="9" t="str">
        <f t="shared" si="3"/>
        <v>Constellium SECALLABLEFIXEDEURSr Unsecured</v>
      </c>
      <c r="AO79" s="7" t="b">
        <f>ISNUMBER( IFERROR(VLOOKUP(A79,Pairs!$E$2:$E$57,1,FALSE),FALSE))</f>
        <v>0</v>
      </c>
      <c r="AP79" s="7"/>
      <c r="AQ79" s="7"/>
    </row>
    <row r="80" ht="15.75" customHeight="1">
      <c r="A80" s="3">
        <v>121.0</v>
      </c>
      <c r="B80" s="4" t="s">
        <v>591</v>
      </c>
      <c r="C80" s="4" t="str">
        <f>VLOOKUP(D80,'slb RAW'!$E:$F,2)</f>
        <v>XS2344772426</v>
      </c>
      <c r="D80" s="4" t="s">
        <v>592</v>
      </c>
      <c r="E80" s="4" t="s">
        <v>593</v>
      </c>
      <c r="F80" s="4" t="s">
        <v>594</v>
      </c>
      <c r="G80" s="4" t="s">
        <v>595</v>
      </c>
      <c r="H80" s="4" t="s">
        <v>595</v>
      </c>
      <c r="I80" s="4" t="s">
        <v>596</v>
      </c>
      <c r="J80" s="4">
        <v>1.75</v>
      </c>
      <c r="K80" s="4" t="s">
        <v>597</v>
      </c>
      <c r="L80" s="4" t="s">
        <v>598</v>
      </c>
      <c r="M80" s="17">
        <v>1.8707</v>
      </c>
      <c r="N80" s="4" t="s">
        <v>115</v>
      </c>
      <c r="O80" s="4" t="s">
        <v>116</v>
      </c>
      <c r="P80" s="4" t="s">
        <v>174</v>
      </c>
      <c r="Q80" s="4" t="s">
        <v>52</v>
      </c>
      <c r="R80" s="4" t="s">
        <v>53</v>
      </c>
      <c r="S80" s="4" t="s">
        <v>175</v>
      </c>
      <c r="T80" s="4" t="s">
        <v>55</v>
      </c>
      <c r="U80" s="4" t="s">
        <v>56</v>
      </c>
      <c r="V80" s="4" t="s">
        <v>57</v>
      </c>
      <c r="W80" s="4">
        <v>8.48428E8</v>
      </c>
      <c r="X80" s="4" t="s">
        <v>485</v>
      </c>
      <c r="Y80" s="4" t="s">
        <v>599</v>
      </c>
      <c r="Z80" s="4" t="s">
        <v>60</v>
      </c>
      <c r="AA80" s="4" t="s">
        <v>487</v>
      </c>
      <c r="AB80" s="4" t="s">
        <v>600</v>
      </c>
      <c r="AC80" s="4" t="s">
        <v>601</v>
      </c>
      <c r="AD80" s="3" t="s">
        <v>602</v>
      </c>
      <c r="AE80" s="7">
        <v>75.0</v>
      </c>
      <c r="AF80" s="12"/>
      <c r="AG80" s="4" t="str">
        <f t="shared" si="1"/>
        <v/>
      </c>
      <c r="AH80" s="8" t="s">
        <v>125</v>
      </c>
      <c r="AI80" s="4" t="s">
        <v>603</v>
      </c>
      <c r="AJ80" s="7" t="str">
        <f>VLOOKUP(D80,'slb RAW'!$E$2:$AF$293,9)</f>
        <v>#N/A N/A</v>
      </c>
      <c r="AK80" s="4">
        <f>VLOOKUP(D80,'slb RAW'!$E$2:$AE$293,27)</f>
        <v>1.85</v>
      </c>
      <c r="AL80" s="4">
        <f>VLOOKUP(C80,'Refinitiv SLB'!F80:S257,14)</f>
        <v>5.129</v>
      </c>
      <c r="AM80" s="4">
        <f t="shared" si="2"/>
        <v>1.85</v>
      </c>
      <c r="AN80" s="9" t="str">
        <f t="shared" si="3"/>
        <v>Hammerson Ireland Finance DACCALLABLEFIXEDEURSr Unsecured</v>
      </c>
      <c r="AO80" s="7" t="b">
        <f>ISNUMBER( IFERROR(VLOOKUP(A80,Pairs!$E$2:$E$57,1,FALSE),FALSE))</f>
        <v>0</v>
      </c>
      <c r="AP80" s="7"/>
      <c r="AQ80" s="7"/>
    </row>
    <row r="81" ht="15.75" customHeight="1">
      <c r="A81" s="3">
        <v>164.0</v>
      </c>
      <c r="B81" s="4" t="s">
        <v>604</v>
      </c>
      <c r="C81" s="4" t="str">
        <f>VLOOKUP(D81,'slb RAW'!$E:$F,2)</f>
        <v>NO0011017113</v>
      </c>
      <c r="D81" s="4" t="s">
        <v>605</v>
      </c>
      <c r="E81" s="4" t="s">
        <v>606</v>
      </c>
      <c r="F81" s="4" t="s">
        <v>607</v>
      </c>
      <c r="G81" s="4" t="s">
        <v>368</v>
      </c>
      <c r="H81" s="4" t="s">
        <v>368</v>
      </c>
      <c r="I81" s="4" t="s">
        <v>239</v>
      </c>
      <c r="J81" s="4">
        <v>6.79</v>
      </c>
      <c r="K81" s="4" t="s">
        <v>608</v>
      </c>
      <c r="L81" s="4" t="s">
        <v>609</v>
      </c>
      <c r="M81" s="11">
        <v>5.4231</v>
      </c>
      <c r="N81" s="4" t="s">
        <v>115</v>
      </c>
      <c r="O81" s="4" t="s">
        <v>116</v>
      </c>
      <c r="P81" s="4" t="s">
        <v>174</v>
      </c>
      <c r="Q81" s="4" t="s">
        <v>459</v>
      </c>
      <c r="R81" s="4" t="s">
        <v>610</v>
      </c>
      <c r="S81" s="4" t="s">
        <v>54</v>
      </c>
      <c r="T81" s="4" t="s">
        <v>55</v>
      </c>
      <c r="U81" s="4" t="s">
        <v>70</v>
      </c>
      <c r="V81" s="4" t="s">
        <v>392</v>
      </c>
      <c r="W81" s="4">
        <v>1.1481225E8</v>
      </c>
      <c r="X81" s="4" t="s">
        <v>58</v>
      </c>
      <c r="Y81" s="4" t="s">
        <v>59</v>
      </c>
      <c r="Z81" s="4" t="s">
        <v>60</v>
      </c>
      <c r="AA81" s="4" t="s">
        <v>61</v>
      </c>
      <c r="AB81" s="4" t="s">
        <v>177</v>
      </c>
      <c r="AC81" s="4" t="s">
        <v>192</v>
      </c>
      <c r="AD81" s="3" t="s">
        <v>611</v>
      </c>
      <c r="AE81" s="8" t="s">
        <v>194</v>
      </c>
      <c r="AF81" s="12"/>
      <c r="AG81" s="4" t="str">
        <f t="shared" si="1"/>
        <v/>
      </c>
      <c r="AH81" s="8" t="s">
        <v>612</v>
      </c>
      <c r="AI81" s="4" t="s">
        <v>613</v>
      </c>
      <c r="AJ81" s="7" t="str">
        <f>VLOOKUP(D81,'slb RAW'!$E$2:$AF$293,9)</f>
        <v>#N/A N/A</v>
      </c>
      <c r="AK81" s="4" t="str">
        <f>VLOOKUP(D81,'slb RAW'!$E$2:$AE$293,27)</f>
        <v>#N/A N/A</v>
      </c>
      <c r="AL81" s="4">
        <f>VLOOKUP(C81,'Refinitiv SLB'!F81:S258,14)</f>
        <v>0.917</v>
      </c>
      <c r="AM81" s="4" t="str">
        <f t="shared" si="2"/>
        <v>#N/A N/A</v>
      </c>
      <c r="AN81" s="9" t="str">
        <f t="shared" si="3"/>
        <v>Lakers Group ABCALLABLEFLOATINGNOKSecured</v>
      </c>
      <c r="AO81" s="7" t="b">
        <f>ISNUMBER( IFERROR(VLOOKUP(A81,Pairs!$E$2:$E$57,1,FALSE),FALSE))</f>
        <v>0</v>
      </c>
      <c r="AP81" s="7"/>
      <c r="AQ81" s="7"/>
    </row>
    <row r="82" ht="15.75" customHeight="1">
      <c r="A82" s="3">
        <v>99.0</v>
      </c>
      <c r="B82" s="4" t="s">
        <v>614</v>
      </c>
      <c r="C82" s="4" t="str">
        <f>VLOOKUP(D82,'slb RAW'!$E:$F,2)</f>
        <v>XS2344735811</v>
      </c>
      <c r="D82" s="4" t="s">
        <v>615</v>
      </c>
      <c r="E82" s="4" t="s">
        <v>616</v>
      </c>
      <c r="F82" s="4" t="s">
        <v>617</v>
      </c>
      <c r="G82" s="4" t="s">
        <v>200</v>
      </c>
      <c r="H82" s="4" t="s">
        <v>200</v>
      </c>
      <c r="I82" s="4" t="s">
        <v>200</v>
      </c>
      <c r="J82" s="4">
        <v>0.375</v>
      </c>
      <c r="K82" s="4" t="s">
        <v>618</v>
      </c>
      <c r="L82" s="4" t="s">
        <v>619</v>
      </c>
      <c r="M82" s="17">
        <v>0.305</v>
      </c>
      <c r="N82" s="4" t="s">
        <v>49</v>
      </c>
      <c r="O82" s="4" t="s">
        <v>50</v>
      </c>
      <c r="P82" s="4" t="s">
        <v>226</v>
      </c>
      <c r="Q82" s="4" t="s">
        <v>52</v>
      </c>
      <c r="R82" s="4" t="s">
        <v>53</v>
      </c>
      <c r="S82" s="4" t="s">
        <v>620</v>
      </c>
      <c r="T82" s="4" t="s">
        <v>117</v>
      </c>
      <c r="U82" s="4" t="s">
        <v>56</v>
      </c>
      <c r="V82" s="4" t="s">
        <v>57</v>
      </c>
      <c r="W82" s="4">
        <v>1.21222E9</v>
      </c>
      <c r="X82" s="4" t="s">
        <v>214</v>
      </c>
      <c r="Y82" s="4" t="s">
        <v>621</v>
      </c>
      <c r="Z82" s="4" t="s">
        <v>60</v>
      </c>
      <c r="AA82" s="4" t="s">
        <v>61</v>
      </c>
      <c r="AB82" s="4" t="s">
        <v>214</v>
      </c>
      <c r="AC82" s="4" t="s">
        <v>622</v>
      </c>
      <c r="AD82" s="3" t="s">
        <v>623</v>
      </c>
      <c r="AE82" s="7">
        <v>25.0</v>
      </c>
      <c r="AF82" s="12"/>
      <c r="AG82" s="4" t="str">
        <f t="shared" si="1"/>
        <v/>
      </c>
      <c r="AH82" s="8" t="s">
        <v>125</v>
      </c>
      <c r="AI82" s="4" t="s">
        <v>624</v>
      </c>
      <c r="AJ82" s="7" t="str">
        <f>VLOOKUP(D82,'slb RAW'!$E$2:$AF$293,9)</f>
        <v>#N/A N/A</v>
      </c>
      <c r="AK82" s="4">
        <f>VLOOKUP(D82,'slb RAW'!$E$2:$AE$293,27)</f>
        <v>0.294</v>
      </c>
      <c r="AL82" s="4">
        <f>VLOOKUP(C82,'Refinitiv SLB'!F82:S259,14)</f>
        <v>1.008</v>
      </c>
      <c r="AM82" s="4">
        <f t="shared" si="2"/>
        <v>0.294</v>
      </c>
      <c r="AN82" s="9" t="str">
        <f t="shared" si="3"/>
        <v>Eni SpAAT MATURITYFIXEDEURSr Unsecured</v>
      </c>
      <c r="AO82" s="7" t="b">
        <f>ISNUMBER( IFERROR(VLOOKUP(A82,Pairs!$E$2:$E$57,1,FALSE),FALSE))</f>
        <v>1</v>
      </c>
      <c r="AP82" s="7"/>
      <c r="AQ82" s="7"/>
    </row>
    <row r="83" ht="15.75" customHeight="1">
      <c r="A83" s="3">
        <v>114.0</v>
      </c>
      <c r="B83" s="4" t="s">
        <v>625</v>
      </c>
      <c r="C83" s="4" t="str">
        <f>VLOOKUP(D83,'slb RAW'!$E:$F,2)</f>
        <v>#N/A Field Not Applicable</v>
      </c>
      <c r="D83" s="4" t="s">
        <v>626</v>
      </c>
      <c r="E83" s="4" t="s">
        <v>627</v>
      </c>
      <c r="F83" s="4" t="s">
        <v>628</v>
      </c>
      <c r="G83" s="4" t="s">
        <v>45</v>
      </c>
      <c r="H83" s="4" t="s">
        <v>45</v>
      </c>
      <c r="I83" s="4" t="s">
        <v>45</v>
      </c>
      <c r="J83" s="4">
        <v>0.0</v>
      </c>
      <c r="K83" s="4" t="s">
        <v>629</v>
      </c>
      <c r="L83" s="4" t="s">
        <v>630</v>
      </c>
      <c r="M83" s="10" t="s">
        <v>48</v>
      </c>
      <c r="N83" s="4" t="s">
        <v>49</v>
      </c>
      <c r="O83" s="4" t="s">
        <v>50</v>
      </c>
      <c r="P83" s="4" t="s">
        <v>162</v>
      </c>
      <c r="Q83" s="4" t="s">
        <v>52</v>
      </c>
      <c r="R83" s="4" t="s">
        <v>53</v>
      </c>
      <c r="S83" s="4" t="s">
        <v>54</v>
      </c>
      <c r="T83" s="4" t="s">
        <v>55</v>
      </c>
      <c r="U83" s="4" t="s">
        <v>70</v>
      </c>
      <c r="V83" s="4" t="s">
        <v>71</v>
      </c>
      <c r="W83" s="4">
        <v>4.135145E8</v>
      </c>
      <c r="X83" s="4" t="s">
        <v>134</v>
      </c>
      <c r="Y83" s="4" t="s">
        <v>544</v>
      </c>
      <c r="Z83" s="4" t="s">
        <v>60</v>
      </c>
      <c r="AA83" s="4" t="s">
        <v>61</v>
      </c>
      <c r="AB83" s="4" t="s">
        <v>136</v>
      </c>
      <c r="AC83" s="4" t="s">
        <v>545</v>
      </c>
      <c r="AD83" s="3" t="s">
        <v>631</v>
      </c>
      <c r="AE83" s="8" t="s">
        <v>124</v>
      </c>
      <c r="AF83" s="12"/>
      <c r="AG83" s="4" t="str">
        <f t="shared" si="1"/>
        <v/>
      </c>
      <c r="AH83" s="21" t="s">
        <v>125</v>
      </c>
      <c r="AI83" s="4" t="s">
        <v>632</v>
      </c>
      <c r="AJ83" s="7" t="str">
        <f>VLOOKUP(D83,'slb RAW'!$E$2:$AF$293,9)</f>
        <v>#N/A N/A</v>
      </c>
      <c r="AK83" s="4" t="str">
        <f>VLOOKUP(D83,'slb RAW'!$E$2:$AE$293,27)</f>
        <v>#N/A N/A</v>
      </c>
      <c r="AL83" s="4" t="str">
        <f>VLOOKUP(C83,'Refinitiv SLB'!F83:S260,14)</f>
        <v>#N/A</v>
      </c>
      <c r="AM83" s="4" t="str">
        <f t="shared" si="2"/>
        <v>#N/A N/A</v>
      </c>
      <c r="AN83" s="9" t="str">
        <f t="shared" si="3"/>
        <v>Fritz Draexlmaier GmbH &amp; Co KGAT MATURITYFLOATINGEURSr Unsecured</v>
      </c>
      <c r="AO83" s="7" t="b">
        <f>ISNUMBER( IFERROR(VLOOKUP(A83,Pairs!$E$2:$E$57,1,FALSE),FALSE))</f>
        <v>0</v>
      </c>
      <c r="AP83" s="7"/>
      <c r="AQ83" s="7"/>
    </row>
    <row r="84" ht="15.75" customHeight="1">
      <c r="A84" s="3">
        <v>115.0</v>
      </c>
      <c r="B84" s="4" t="s">
        <v>625</v>
      </c>
      <c r="C84" s="4" t="str">
        <f>VLOOKUP(D84,'slb RAW'!$E:$F,2)</f>
        <v>#N/A Field Not Applicable</v>
      </c>
      <c r="D84" s="4" t="s">
        <v>633</v>
      </c>
      <c r="E84" s="4" t="s">
        <v>634</v>
      </c>
      <c r="F84" s="4" t="s">
        <v>628</v>
      </c>
      <c r="G84" s="4" t="s">
        <v>45</v>
      </c>
      <c r="H84" s="4" t="s">
        <v>45</v>
      </c>
      <c r="I84" s="4" t="s">
        <v>45</v>
      </c>
      <c r="J84" s="4">
        <v>0.0</v>
      </c>
      <c r="K84" s="4" t="s">
        <v>629</v>
      </c>
      <c r="L84" s="4" t="s">
        <v>635</v>
      </c>
      <c r="M84" s="10" t="s">
        <v>48</v>
      </c>
      <c r="N84" s="4" t="s">
        <v>49</v>
      </c>
      <c r="O84" s="4" t="s">
        <v>50</v>
      </c>
      <c r="P84" s="4" t="s">
        <v>76</v>
      </c>
      <c r="Q84" s="4" t="s">
        <v>52</v>
      </c>
      <c r="R84" s="4" t="s">
        <v>53</v>
      </c>
      <c r="S84" s="4" t="s">
        <v>54</v>
      </c>
      <c r="T84" s="4" t="s">
        <v>55</v>
      </c>
      <c r="U84" s="4" t="s">
        <v>70</v>
      </c>
      <c r="V84" s="4" t="s">
        <v>71</v>
      </c>
      <c r="W84" s="4">
        <v>4.135145E8</v>
      </c>
      <c r="X84" s="4" t="s">
        <v>134</v>
      </c>
      <c r="Y84" s="4" t="s">
        <v>544</v>
      </c>
      <c r="Z84" s="4" t="s">
        <v>60</v>
      </c>
      <c r="AA84" s="4" t="s">
        <v>61</v>
      </c>
      <c r="AB84" s="4" t="s">
        <v>136</v>
      </c>
      <c r="AC84" s="4" t="s">
        <v>545</v>
      </c>
      <c r="AD84" s="3" t="s">
        <v>631</v>
      </c>
      <c r="AE84" s="8" t="s">
        <v>124</v>
      </c>
      <c r="AF84" s="12"/>
      <c r="AG84" s="4" t="str">
        <f t="shared" si="1"/>
        <v/>
      </c>
      <c r="AH84" s="21" t="s">
        <v>125</v>
      </c>
      <c r="AI84" s="4" t="s">
        <v>632</v>
      </c>
      <c r="AJ84" s="7" t="str">
        <f>VLOOKUP(D84,'slb RAW'!$E$2:$AF$293,9)</f>
        <v>#N/A N/A</v>
      </c>
      <c r="AK84" s="4" t="str">
        <f>VLOOKUP(D84,'slb RAW'!$E$2:$AE$293,27)</f>
        <v>#N/A N/A</v>
      </c>
      <c r="AL84" s="4" t="str">
        <f>VLOOKUP(C84,'Refinitiv SLB'!F84:S261,14)</f>
        <v>#N/A</v>
      </c>
      <c r="AM84" s="4" t="str">
        <f t="shared" si="2"/>
        <v>#N/A N/A</v>
      </c>
      <c r="AN84" s="9" t="str">
        <f t="shared" si="3"/>
        <v>Fritz Draexlmaier GmbH &amp; Co KGAT MATURITYFLOATINGEURSr Unsecured</v>
      </c>
      <c r="AO84" s="7" t="b">
        <f>ISNUMBER( IFERROR(VLOOKUP(A84,Pairs!$E$2:$E$57,1,FALSE),FALSE))</f>
        <v>0</v>
      </c>
      <c r="AP84" s="7"/>
      <c r="AQ84" s="7"/>
    </row>
    <row r="85" ht="15.75" customHeight="1">
      <c r="A85" s="3">
        <v>112.0</v>
      </c>
      <c r="B85" s="4" t="s">
        <v>625</v>
      </c>
      <c r="C85" s="4" t="str">
        <f>VLOOKUP(D85,'slb RAW'!$E:$F,2)</f>
        <v>#N/A Field Not Applicable</v>
      </c>
      <c r="D85" s="4" t="s">
        <v>636</v>
      </c>
      <c r="E85" s="4" t="s">
        <v>637</v>
      </c>
      <c r="F85" s="4" t="s">
        <v>628</v>
      </c>
      <c r="G85" s="4" t="s">
        <v>45</v>
      </c>
      <c r="H85" s="4" t="s">
        <v>45</v>
      </c>
      <c r="I85" s="4" t="s">
        <v>45</v>
      </c>
      <c r="J85" s="4">
        <v>0.0</v>
      </c>
      <c r="K85" s="4" t="s">
        <v>629</v>
      </c>
      <c r="L85" s="4" t="s">
        <v>638</v>
      </c>
      <c r="M85" s="10" t="s">
        <v>48</v>
      </c>
      <c r="N85" s="4" t="s">
        <v>49</v>
      </c>
      <c r="O85" s="4" t="s">
        <v>50</v>
      </c>
      <c r="P85" s="4" t="s">
        <v>69</v>
      </c>
      <c r="Q85" s="4" t="s">
        <v>52</v>
      </c>
      <c r="R85" s="4" t="s">
        <v>53</v>
      </c>
      <c r="S85" s="4" t="s">
        <v>54</v>
      </c>
      <c r="T85" s="4" t="s">
        <v>55</v>
      </c>
      <c r="U85" s="4" t="s">
        <v>70</v>
      </c>
      <c r="V85" s="4" t="s">
        <v>71</v>
      </c>
      <c r="W85" s="4">
        <v>4.135145E8</v>
      </c>
      <c r="X85" s="4" t="s">
        <v>134</v>
      </c>
      <c r="Y85" s="4" t="s">
        <v>544</v>
      </c>
      <c r="Z85" s="4" t="s">
        <v>60</v>
      </c>
      <c r="AA85" s="4" t="s">
        <v>61</v>
      </c>
      <c r="AB85" s="4" t="s">
        <v>136</v>
      </c>
      <c r="AC85" s="4" t="s">
        <v>545</v>
      </c>
      <c r="AD85" s="3" t="s">
        <v>631</v>
      </c>
      <c r="AE85" s="8" t="s">
        <v>124</v>
      </c>
      <c r="AF85" s="12"/>
      <c r="AG85" s="4" t="str">
        <f t="shared" si="1"/>
        <v/>
      </c>
      <c r="AH85" s="21" t="s">
        <v>125</v>
      </c>
      <c r="AI85" s="4" t="s">
        <v>632</v>
      </c>
      <c r="AJ85" s="7" t="str">
        <f>VLOOKUP(D85,'slb RAW'!$E$2:$AF$293,9)</f>
        <v>#N/A N/A</v>
      </c>
      <c r="AK85" s="4" t="str">
        <f>VLOOKUP(D85,'slb RAW'!$E$2:$AE$293,27)</f>
        <v>#N/A N/A</v>
      </c>
      <c r="AL85" s="4" t="str">
        <f>VLOOKUP(C85,'Refinitiv SLB'!F85:S262,14)</f>
        <v>#N/A</v>
      </c>
      <c r="AM85" s="4" t="str">
        <f t="shared" si="2"/>
        <v>#N/A N/A</v>
      </c>
      <c r="AN85" s="9" t="str">
        <f t="shared" si="3"/>
        <v>Fritz Draexlmaier GmbH &amp; Co KGAT MATURITYFLOATINGEURSr Unsecured</v>
      </c>
      <c r="AO85" s="7" t="b">
        <f>ISNUMBER( IFERROR(VLOOKUP(A85,Pairs!$E$2:$E$57,1,FALSE),FALSE))</f>
        <v>0</v>
      </c>
      <c r="AP85" s="7"/>
      <c r="AQ85" s="7"/>
    </row>
    <row r="86" ht="15.75" customHeight="1">
      <c r="A86" s="3">
        <v>113.0</v>
      </c>
      <c r="B86" s="4" t="s">
        <v>625</v>
      </c>
      <c r="C86" s="4" t="str">
        <f>VLOOKUP(D86,'slb RAW'!$E:$F,2)</f>
        <v>#N/A Field Not Applicable</v>
      </c>
      <c r="D86" s="4" t="s">
        <v>639</v>
      </c>
      <c r="E86" s="4" t="s">
        <v>640</v>
      </c>
      <c r="F86" s="4" t="s">
        <v>628</v>
      </c>
      <c r="G86" s="4" t="s">
        <v>45</v>
      </c>
      <c r="H86" s="4" t="s">
        <v>45</v>
      </c>
      <c r="I86" s="4" t="s">
        <v>45</v>
      </c>
      <c r="J86" s="4">
        <v>0.0</v>
      </c>
      <c r="K86" s="4" t="s">
        <v>629</v>
      </c>
      <c r="L86" s="4" t="s">
        <v>641</v>
      </c>
      <c r="M86" s="10" t="s">
        <v>48</v>
      </c>
      <c r="N86" s="4" t="s">
        <v>49</v>
      </c>
      <c r="O86" s="4" t="s">
        <v>50</v>
      </c>
      <c r="P86" s="4" t="s">
        <v>51</v>
      </c>
      <c r="Q86" s="4" t="s">
        <v>52</v>
      </c>
      <c r="R86" s="4" t="s">
        <v>53</v>
      </c>
      <c r="S86" s="4" t="s">
        <v>54</v>
      </c>
      <c r="T86" s="4" t="s">
        <v>55</v>
      </c>
      <c r="U86" s="4" t="s">
        <v>56</v>
      </c>
      <c r="V86" s="4" t="s">
        <v>57</v>
      </c>
      <c r="W86" s="4">
        <v>4.135145E8</v>
      </c>
      <c r="X86" s="4" t="s">
        <v>134</v>
      </c>
      <c r="Y86" s="4" t="s">
        <v>544</v>
      </c>
      <c r="Z86" s="4" t="s">
        <v>60</v>
      </c>
      <c r="AA86" s="4" t="s">
        <v>61</v>
      </c>
      <c r="AB86" s="4" t="s">
        <v>136</v>
      </c>
      <c r="AC86" s="4" t="s">
        <v>545</v>
      </c>
      <c r="AD86" s="3" t="s">
        <v>631</v>
      </c>
      <c r="AE86" s="8" t="s">
        <v>124</v>
      </c>
      <c r="AF86" s="12"/>
      <c r="AG86" s="4" t="str">
        <f t="shared" si="1"/>
        <v/>
      </c>
      <c r="AH86" s="21" t="s">
        <v>125</v>
      </c>
      <c r="AI86" s="4" t="s">
        <v>632</v>
      </c>
      <c r="AJ86" s="7" t="str">
        <f>VLOOKUP(D86,'slb RAW'!$E$2:$AF$293,9)</f>
        <v>#N/A N/A</v>
      </c>
      <c r="AK86" s="4" t="str">
        <f>VLOOKUP(D86,'slb RAW'!$E$2:$AE$293,27)</f>
        <v>#N/A N/A</v>
      </c>
      <c r="AL86" s="4" t="str">
        <f>VLOOKUP(C86,'Refinitiv SLB'!F86:S263,14)</f>
        <v>#N/A</v>
      </c>
      <c r="AM86" s="4" t="str">
        <f t="shared" si="2"/>
        <v>#N/A N/A</v>
      </c>
      <c r="AN86" s="9" t="str">
        <f t="shared" si="3"/>
        <v>Fritz Draexlmaier GmbH &amp; Co KGAT MATURITYFIXEDEURSr Unsecured</v>
      </c>
      <c r="AO86" s="7" t="b">
        <f>ISNUMBER( IFERROR(VLOOKUP(A86,Pairs!$E$2:$E$57,1,FALSE),FALSE))</f>
        <v>0</v>
      </c>
      <c r="AP86" s="7"/>
      <c r="AQ86" s="7"/>
    </row>
    <row r="87" ht="15.75" customHeight="1">
      <c r="A87" s="3">
        <v>76.0</v>
      </c>
      <c r="B87" s="4" t="s">
        <v>642</v>
      </c>
      <c r="C87" s="4" t="str">
        <f>VLOOKUP(D87,'slb RAW'!$E:$F,2)</f>
        <v>XS2353182020</v>
      </c>
      <c r="D87" s="4" t="s">
        <v>643</v>
      </c>
      <c r="E87" s="4" t="s">
        <v>644</v>
      </c>
      <c r="F87" s="4" t="s">
        <v>645</v>
      </c>
      <c r="G87" s="4" t="s">
        <v>367</v>
      </c>
      <c r="H87" s="4" t="s">
        <v>367</v>
      </c>
      <c r="I87" s="4" t="s">
        <v>200</v>
      </c>
      <c r="J87" s="4">
        <v>0.0</v>
      </c>
      <c r="K87" s="4" t="s">
        <v>646</v>
      </c>
      <c r="L87" s="4" t="s">
        <v>647</v>
      </c>
      <c r="M87" s="3">
        <v>0.151</v>
      </c>
      <c r="N87" s="4" t="s">
        <v>115</v>
      </c>
      <c r="O87" s="4" t="s">
        <v>116</v>
      </c>
      <c r="P87" s="4" t="s">
        <v>226</v>
      </c>
      <c r="Q87" s="4" t="s">
        <v>52</v>
      </c>
      <c r="R87" s="4" t="s">
        <v>53</v>
      </c>
      <c r="S87" s="4" t="s">
        <v>620</v>
      </c>
      <c r="T87" s="4" t="s">
        <v>55</v>
      </c>
      <c r="U87" s="4" t="s">
        <v>56</v>
      </c>
      <c r="V87" s="4" t="s">
        <v>57</v>
      </c>
      <c r="W87" s="4">
        <v>1.18961E9</v>
      </c>
      <c r="X87" s="4" t="s">
        <v>120</v>
      </c>
      <c r="Y87" s="4" t="s">
        <v>120</v>
      </c>
      <c r="Z87" s="4" t="s">
        <v>60</v>
      </c>
      <c r="AA87" s="4" t="s">
        <v>121</v>
      </c>
      <c r="AB87" s="4" t="s">
        <v>122</v>
      </c>
      <c r="AC87" s="4" t="s">
        <v>122</v>
      </c>
      <c r="AD87" s="3" t="s">
        <v>648</v>
      </c>
      <c r="AE87" s="7">
        <v>25.0</v>
      </c>
      <c r="AF87" s="12"/>
      <c r="AG87" s="4" t="str">
        <f t="shared" si="1"/>
        <v/>
      </c>
      <c r="AH87" s="8" t="s">
        <v>125</v>
      </c>
      <c r="AI87" s="4" t="s">
        <v>649</v>
      </c>
      <c r="AJ87" s="7" t="str">
        <f>VLOOKUP(D87,'slb RAW'!$E$2:$AF$293,9)</f>
        <v>#N/A N/A</v>
      </c>
      <c r="AK87" s="4">
        <f>VLOOKUP(D87,'slb RAW'!$E$2:$AE$293,27)</f>
        <v>0.166</v>
      </c>
      <c r="AL87" s="4">
        <f>VLOOKUP(C87,'Refinitiv SLB'!F87:S264,14)</f>
        <v>5.129</v>
      </c>
      <c r="AM87" s="4">
        <f t="shared" si="2"/>
        <v>0.166</v>
      </c>
      <c r="AN87" s="9" t="str">
        <f t="shared" si="3"/>
        <v>Enel Finance International NVCALLABLEFIXEDEURSr Unsecured</v>
      </c>
      <c r="AO87" s="7" t="b">
        <f>ISNUMBER( IFERROR(VLOOKUP(A87,Pairs!$E$2:$E$57,1,FALSE),FALSE))</f>
        <v>0</v>
      </c>
      <c r="AP87" s="7"/>
      <c r="AQ87" s="7"/>
    </row>
    <row r="88" ht="15.75" customHeight="1">
      <c r="A88" s="3">
        <v>98.0</v>
      </c>
      <c r="B88" s="4" t="s">
        <v>642</v>
      </c>
      <c r="C88" s="4" t="str">
        <f>VLOOKUP(D88,'slb RAW'!$E:$F,2)</f>
        <v>XS2353182293</v>
      </c>
      <c r="D88" s="4" t="s">
        <v>650</v>
      </c>
      <c r="E88" s="4" t="s">
        <v>651</v>
      </c>
      <c r="F88" s="4" t="s">
        <v>645</v>
      </c>
      <c r="G88" s="4" t="s">
        <v>367</v>
      </c>
      <c r="H88" s="4" t="s">
        <v>367</v>
      </c>
      <c r="I88" s="4" t="s">
        <v>200</v>
      </c>
      <c r="J88" s="4">
        <v>0.5</v>
      </c>
      <c r="K88" s="4" t="s">
        <v>646</v>
      </c>
      <c r="L88" s="4" t="s">
        <v>652</v>
      </c>
      <c r="M88" s="11">
        <v>0.4878</v>
      </c>
      <c r="N88" s="4" t="s">
        <v>115</v>
      </c>
      <c r="O88" s="4" t="s">
        <v>116</v>
      </c>
      <c r="P88" s="4" t="s">
        <v>226</v>
      </c>
      <c r="Q88" s="4" t="s">
        <v>52</v>
      </c>
      <c r="R88" s="4" t="s">
        <v>53</v>
      </c>
      <c r="S88" s="4" t="s">
        <v>620</v>
      </c>
      <c r="T88" s="4" t="s">
        <v>55</v>
      </c>
      <c r="U88" s="4" t="s">
        <v>56</v>
      </c>
      <c r="V88" s="4" t="s">
        <v>57</v>
      </c>
      <c r="W88" s="4">
        <v>1.4870125E9</v>
      </c>
      <c r="X88" s="4" t="s">
        <v>120</v>
      </c>
      <c r="Y88" s="4" t="s">
        <v>120</v>
      </c>
      <c r="Z88" s="4" t="s">
        <v>60</v>
      </c>
      <c r="AA88" s="4" t="s">
        <v>121</v>
      </c>
      <c r="AB88" s="4" t="s">
        <v>122</v>
      </c>
      <c r="AC88" s="4" t="s">
        <v>122</v>
      </c>
      <c r="AD88" s="3" t="s">
        <v>648</v>
      </c>
      <c r="AE88" s="7">
        <v>25.0</v>
      </c>
      <c r="AF88" s="12"/>
      <c r="AG88" s="4" t="str">
        <f t="shared" si="1"/>
        <v/>
      </c>
      <c r="AH88" s="8" t="s">
        <v>125</v>
      </c>
      <c r="AI88" s="4" t="s">
        <v>653</v>
      </c>
      <c r="AJ88" s="7" t="str">
        <f>VLOOKUP(D88,'slb RAW'!$E$2:$AF$293,9)</f>
        <v>#N/A N/A</v>
      </c>
      <c r="AK88" s="4">
        <f>VLOOKUP(D88,'slb RAW'!$E$2:$AE$293,27)</f>
        <v>0.494</v>
      </c>
      <c r="AL88" s="4">
        <f>VLOOKUP(C88,'Refinitiv SLB'!F88:S265,14)</f>
        <v>4.871</v>
      </c>
      <c r="AM88" s="4">
        <f t="shared" si="2"/>
        <v>0.494</v>
      </c>
      <c r="AN88" s="9" t="str">
        <f t="shared" si="3"/>
        <v>Enel Finance International NVCALLABLEFIXEDEURSr Unsecured</v>
      </c>
      <c r="AO88" s="7" t="b">
        <f>ISNUMBER( IFERROR(VLOOKUP(A88,Pairs!$E$2:$E$57,1,FALSE),FALSE))</f>
        <v>0</v>
      </c>
      <c r="AP88" s="7"/>
      <c r="AQ88" s="7"/>
    </row>
    <row r="89" ht="15.75" customHeight="1">
      <c r="A89" s="3">
        <v>97.0</v>
      </c>
      <c r="B89" s="4" t="s">
        <v>642</v>
      </c>
      <c r="C89" s="4" t="str">
        <f>VLOOKUP(D89,'slb RAW'!$E:$F,2)</f>
        <v>XS2353182376</v>
      </c>
      <c r="D89" s="4" t="s">
        <v>654</v>
      </c>
      <c r="E89" s="4" t="s">
        <v>655</v>
      </c>
      <c r="F89" s="4" t="s">
        <v>645</v>
      </c>
      <c r="G89" s="4" t="s">
        <v>367</v>
      </c>
      <c r="H89" s="4" t="s">
        <v>367</v>
      </c>
      <c r="I89" s="4" t="s">
        <v>200</v>
      </c>
      <c r="J89" s="4">
        <v>0.875</v>
      </c>
      <c r="K89" s="4" t="s">
        <v>646</v>
      </c>
      <c r="L89" s="4" t="s">
        <v>656</v>
      </c>
      <c r="M89" s="11">
        <v>0.9231</v>
      </c>
      <c r="N89" s="4" t="s">
        <v>115</v>
      </c>
      <c r="O89" s="4" t="s">
        <v>116</v>
      </c>
      <c r="P89" s="4" t="s">
        <v>226</v>
      </c>
      <c r="Q89" s="4" t="s">
        <v>52</v>
      </c>
      <c r="R89" s="4" t="s">
        <v>53</v>
      </c>
      <c r="S89" s="4" t="s">
        <v>620</v>
      </c>
      <c r="T89" s="4" t="s">
        <v>55</v>
      </c>
      <c r="U89" s="4" t="s">
        <v>56</v>
      </c>
      <c r="V89" s="4" t="s">
        <v>57</v>
      </c>
      <c r="W89" s="4">
        <v>1.18961E9</v>
      </c>
      <c r="X89" s="4" t="s">
        <v>120</v>
      </c>
      <c r="Y89" s="4" t="s">
        <v>120</v>
      </c>
      <c r="Z89" s="4" t="s">
        <v>60</v>
      </c>
      <c r="AA89" s="4" t="s">
        <v>121</v>
      </c>
      <c r="AB89" s="4" t="s">
        <v>122</v>
      </c>
      <c r="AC89" s="4" t="s">
        <v>122</v>
      </c>
      <c r="AD89" s="3" t="s">
        <v>657</v>
      </c>
      <c r="AE89" s="7">
        <v>25.0</v>
      </c>
      <c r="AF89" s="12"/>
      <c r="AG89" s="4" t="str">
        <f t="shared" si="1"/>
        <v/>
      </c>
      <c r="AH89" s="8" t="s">
        <v>125</v>
      </c>
      <c r="AI89" s="4" t="s">
        <v>649</v>
      </c>
      <c r="AJ89" s="7" t="str">
        <f>VLOOKUP(D89,'slb RAW'!$E$2:$AF$293,9)</f>
        <v>#N/A N/A</v>
      </c>
      <c r="AK89" s="4">
        <f>VLOOKUP(D89,'slb RAW'!$E$2:$AE$293,27)</f>
        <v>0.921</v>
      </c>
      <c r="AL89" s="4">
        <f>VLOOKUP(C89,'Refinitiv SLB'!F89:S266,14)</f>
        <v>4.871</v>
      </c>
      <c r="AM89" s="4">
        <f t="shared" si="2"/>
        <v>0.921</v>
      </c>
      <c r="AN89" s="9" t="str">
        <f t="shared" si="3"/>
        <v>Enel Finance International NVCALLABLEFIXEDEURSr Unsecured</v>
      </c>
      <c r="AO89" s="7" t="b">
        <f>ISNUMBER( IFERROR(VLOOKUP(A89,Pairs!$E$2:$E$57,1,FALSE),FALSE))</f>
        <v>0</v>
      </c>
      <c r="AP89" s="7"/>
      <c r="AQ89" s="7"/>
    </row>
    <row r="90" ht="15.75" customHeight="1">
      <c r="A90" s="3">
        <v>145.0</v>
      </c>
      <c r="B90" s="4" t="s">
        <v>658</v>
      </c>
      <c r="C90" s="4" t="str">
        <f>VLOOKUP(D90,'slb RAW'!$E:$F,2)</f>
        <v>US46592QAA76</v>
      </c>
      <c r="D90" s="4" t="s">
        <v>659</v>
      </c>
      <c r="E90" s="4" t="s">
        <v>660</v>
      </c>
      <c r="F90" s="4" t="s">
        <v>661</v>
      </c>
      <c r="G90" s="4" t="s">
        <v>170</v>
      </c>
      <c r="H90" s="4" t="s">
        <v>170</v>
      </c>
      <c r="I90" s="4" t="s">
        <v>186</v>
      </c>
      <c r="J90" s="4">
        <v>3.625</v>
      </c>
      <c r="K90" s="4" t="s">
        <v>662</v>
      </c>
      <c r="L90" s="4" t="s">
        <v>663</v>
      </c>
      <c r="M90" s="4">
        <v>3.75</v>
      </c>
      <c r="N90" s="4" t="s">
        <v>115</v>
      </c>
      <c r="O90" s="4" t="s">
        <v>116</v>
      </c>
      <c r="P90" s="4" t="s">
        <v>262</v>
      </c>
      <c r="Q90" s="4" t="s">
        <v>52</v>
      </c>
      <c r="R90" s="4" t="s">
        <v>263</v>
      </c>
      <c r="S90" s="4" t="s">
        <v>497</v>
      </c>
      <c r="T90" s="4" t="s">
        <v>55</v>
      </c>
      <c r="U90" s="4" t="s">
        <v>56</v>
      </c>
      <c r="V90" s="4" t="s">
        <v>71</v>
      </c>
      <c r="W90" s="4">
        <v>1.0E9</v>
      </c>
      <c r="X90" s="4" t="s">
        <v>422</v>
      </c>
      <c r="Y90" s="4" t="s">
        <v>664</v>
      </c>
      <c r="Z90" s="4" t="s">
        <v>60</v>
      </c>
      <c r="AA90" s="4" t="s">
        <v>61</v>
      </c>
      <c r="AB90" s="4" t="s">
        <v>228</v>
      </c>
      <c r="AC90" s="4" t="s">
        <v>665</v>
      </c>
      <c r="AD90" s="3" t="s">
        <v>666</v>
      </c>
      <c r="AE90" s="7">
        <v>25.0</v>
      </c>
      <c r="AF90" s="12"/>
      <c r="AG90" s="4" t="str">
        <f t="shared" si="1"/>
        <v/>
      </c>
      <c r="AH90" s="8" t="s">
        <v>140</v>
      </c>
      <c r="AI90" s="4" t="s">
        <v>667</v>
      </c>
      <c r="AJ90" s="7">
        <f>VLOOKUP(D90,'slb RAW'!$E$2:$AF$293,9)</f>
        <v>3.75</v>
      </c>
      <c r="AK90" s="4">
        <f>VLOOKUP(D90,'slb RAW'!$E$2:$AE$293,27)</f>
        <v>3.689</v>
      </c>
      <c r="AL90" s="4">
        <f>VLOOKUP(C90,'Refinitiv SLB'!F90:S267,14)</f>
        <v>6.3234</v>
      </c>
      <c r="AM90" s="4">
        <f t="shared" si="2"/>
        <v>3.689</v>
      </c>
      <c r="AN90" s="9" t="str">
        <f t="shared" si="3"/>
        <v>JBS Finance Luxembourg SarlCALLABLEFIXEDUSDSr Unsecured</v>
      </c>
      <c r="AO90" s="7" t="b">
        <f>ISNUMBER( IFERROR(VLOOKUP(A90,Pairs!$E$2:$E$57,1,FALSE),FALSE))</f>
        <v>0</v>
      </c>
      <c r="AP90" s="7"/>
      <c r="AQ90" s="7"/>
    </row>
    <row r="91" ht="15.75" customHeight="1">
      <c r="A91" s="3">
        <v>144.0</v>
      </c>
      <c r="B91" s="4" t="s">
        <v>658</v>
      </c>
      <c r="C91" s="4" t="str">
        <f>VLOOKUP(D91,'slb RAW'!$E:$F,2)</f>
        <v>USL5S59NAA30</v>
      </c>
      <c r="D91" s="4" t="s">
        <v>668</v>
      </c>
      <c r="E91" s="4" t="s">
        <v>669</v>
      </c>
      <c r="F91" s="4" t="s">
        <v>661</v>
      </c>
      <c r="G91" s="4" t="s">
        <v>170</v>
      </c>
      <c r="H91" s="4" t="s">
        <v>170</v>
      </c>
      <c r="I91" s="4" t="s">
        <v>186</v>
      </c>
      <c r="J91" s="4">
        <v>3.625</v>
      </c>
      <c r="K91" s="4" t="s">
        <v>662</v>
      </c>
      <c r="L91" s="4" t="s">
        <v>663</v>
      </c>
      <c r="M91" s="4">
        <v>3.75</v>
      </c>
      <c r="N91" s="4" t="s">
        <v>115</v>
      </c>
      <c r="O91" s="4" t="s">
        <v>116</v>
      </c>
      <c r="P91" s="4" t="s">
        <v>271</v>
      </c>
      <c r="Q91" s="4" t="s">
        <v>52</v>
      </c>
      <c r="R91" s="4" t="s">
        <v>263</v>
      </c>
      <c r="S91" s="4" t="s">
        <v>497</v>
      </c>
      <c r="T91" s="4" t="s">
        <v>55</v>
      </c>
      <c r="U91" s="4" t="s">
        <v>56</v>
      </c>
      <c r="V91" s="4" t="s">
        <v>71</v>
      </c>
      <c r="W91" s="4">
        <v>1.0E9</v>
      </c>
      <c r="X91" s="4" t="s">
        <v>422</v>
      </c>
      <c r="Y91" s="4" t="s">
        <v>664</v>
      </c>
      <c r="Z91" s="4" t="s">
        <v>60</v>
      </c>
      <c r="AA91" s="4" t="s">
        <v>61</v>
      </c>
      <c r="AB91" s="4" t="s">
        <v>228</v>
      </c>
      <c r="AC91" s="4" t="s">
        <v>665</v>
      </c>
      <c r="AD91" s="3" t="s">
        <v>666</v>
      </c>
      <c r="AE91" s="7">
        <v>25.0</v>
      </c>
      <c r="AF91" s="12"/>
      <c r="AG91" s="4" t="str">
        <f t="shared" si="1"/>
        <v/>
      </c>
      <c r="AH91" s="8" t="s">
        <v>140</v>
      </c>
      <c r="AI91" s="4" t="s">
        <v>670</v>
      </c>
      <c r="AJ91" s="7">
        <f>VLOOKUP(D91,'slb RAW'!$E$2:$AF$293,9)</f>
        <v>3.75</v>
      </c>
      <c r="AK91" s="4">
        <f>VLOOKUP(D91,'slb RAW'!$E$2:$AE$293,27)</f>
        <v>3.711</v>
      </c>
      <c r="AL91" s="4">
        <f>VLOOKUP(C91,'Refinitiv SLB'!F91:S268,14)</f>
        <v>5.0011</v>
      </c>
      <c r="AM91" s="4">
        <f t="shared" si="2"/>
        <v>3.711</v>
      </c>
      <c r="AN91" s="9" t="str">
        <f t="shared" si="3"/>
        <v>JBS Finance Luxembourg SarlCALLABLEFIXEDUSDSr Unsecured</v>
      </c>
      <c r="AO91" s="7" t="b">
        <f>ISNUMBER( IFERROR(VLOOKUP(A91,Pairs!$E$2:$E$57,1,FALSE),FALSE))</f>
        <v>0</v>
      </c>
      <c r="AP91" s="7"/>
      <c r="AQ91" s="7"/>
    </row>
    <row r="92" ht="15.75" customHeight="1">
      <c r="A92" s="3">
        <v>71.0</v>
      </c>
      <c r="B92" s="4" t="s">
        <v>671</v>
      </c>
      <c r="C92" s="4" t="str">
        <f>VLOOKUP(D92,'slb RAW'!$E:$F,2)</f>
        <v>FR0014003YP6</v>
      </c>
      <c r="D92" s="4" t="s">
        <v>672</v>
      </c>
      <c r="E92" s="4" t="s">
        <v>673</v>
      </c>
      <c r="F92" s="4" t="s">
        <v>674</v>
      </c>
      <c r="G92" s="4" t="s">
        <v>185</v>
      </c>
      <c r="H92" s="4" t="s">
        <v>185</v>
      </c>
      <c r="I92" s="4" t="s">
        <v>185</v>
      </c>
      <c r="J92" s="4">
        <v>0.0</v>
      </c>
      <c r="K92" s="4" t="s">
        <v>618</v>
      </c>
      <c r="L92" s="4" t="s">
        <v>619</v>
      </c>
      <c r="M92" s="4">
        <v>-0.12</v>
      </c>
      <c r="N92" s="4" t="s">
        <v>189</v>
      </c>
      <c r="O92" s="4" t="s">
        <v>50</v>
      </c>
      <c r="P92" s="4" t="s">
        <v>675</v>
      </c>
      <c r="Q92" s="4" t="s">
        <v>52</v>
      </c>
      <c r="R92" s="4" t="s">
        <v>53</v>
      </c>
      <c r="S92" s="4" t="s">
        <v>54</v>
      </c>
      <c r="T92" s="4" t="s">
        <v>421</v>
      </c>
      <c r="U92" s="4" t="s">
        <v>676</v>
      </c>
      <c r="V92" s="4" t="s">
        <v>174</v>
      </c>
      <c r="W92" s="4">
        <v>4.84887980217E8</v>
      </c>
      <c r="X92" s="4" t="s">
        <v>134</v>
      </c>
      <c r="Y92" s="4" t="s">
        <v>677</v>
      </c>
      <c r="Z92" s="4" t="s">
        <v>60</v>
      </c>
      <c r="AA92" s="4" t="s">
        <v>61</v>
      </c>
      <c r="AB92" s="4" t="s">
        <v>136</v>
      </c>
      <c r="AC92" s="4" t="s">
        <v>311</v>
      </c>
      <c r="AD92" s="3" t="s">
        <v>678</v>
      </c>
      <c r="AE92" s="7">
        <v>50.0</v>
      </c>
      <c r="AF92" s="12"/>
      <c r="AG92" s="4" t="str">
        <f t="shared" si="1"/>
        <v/>
      </c>
      <c r="AH92" s="8" t="s">
        <v>612</v>
      </c>
      <c r="AI92" s="4" t="s">
        <v>679</v>
      </c>
      <c r="AJ92" s="7">
        <f>VLOOKUP(D92,'slb RAW'!$E$2:$AF$293,9)</f>
        <v>-0.12</v>
      </c>
      <c r="AK92" s="4">
        <f>VLOOKUP(D92,'slb RAW'!$E$2:$AE$293,27)</f>
        <v>-0.318</v>
      </c>
      <c r="AL92" s="4" t="str">
        <f>VLOOKUP(C92,'Refinitiv SLB'!F92:S269,14)</f>
        <v/>
      </c>
      <c r="AM92" s="4">
        <f t="shared" si="2"/>
        <v>-0.318</v>
      </c>
      <c r="AN92" s="9" t="str">
        <f t="shared" si="3"/>
        <v>EdenredCONVERTIBLEZERO COUPONEURSr Unsecured</v>
      </c>
      <c r="AO92" s="7" t="b">
        <f>ISNUMBER( IFERROR(VLOOKUP(A92,Pairs!$E$2:$E$57,1,FALSE),FALSE))</f>
        <v>0</v>
      </c>
      <c r="AP92" s="7"/>
      <c r="AQ92" s="7"/>
    </row>
    <row r="93" ht="15.75" customHeight="1">
      <c r="A93" s="3">
        <v>230.0</v>
      </c>
      <c r="B93" s="4" t="s">
        <v>680</v>
      </c>
      <c r="C93" s="4" t="str">
        <f>VLOOKUP(D93,'slb RAW'!$E:$F,2)</f>
        <v>XS2353270239</v>
      </c>
      <c r="D93" s="4" t="s">
        <v>681</v>
      </c>
      <c r="E93" s="4" t="s">
        <v>682</v>
      </c>
      <c r="F93" s="4" t="s">
        <v>683</v>
      </c>
      <c r="G93" s="4" t="s">
        <v>368</v>
      </c>
      <c r="H93" s="4" t="s">
        <v>368</v>
      </c>
      <c r="I93" s="4" t="s">
        <v>368</v>
      </c>
      <c r="J93" s="4">
        <v>1.8960000000000001</v>
      </c>
      <c r="K93" s="4" t="s">
        <v>684</v>
      </c>
      <c r="L93" s="4" t="s">
        <v>685</v>
      </c>
      <c r="M93" s="11">
        <v>1.6949</v>
      </c>
      <c r="N93" s="4" t="s">
        <v>49</v>
      </c>
      <c r="O93" s="4" t="s">
        <v>50</v>
      </c>
      <c r="P93" s="4" t="s">
        <v>686</v>
      </c>
      <c r="Q93" s="4" t="s">
        <v>52</v>
      </c>
      <c r="R93" s="4" t="s">
        <v>687</v>
      </c>
      <c r="S93" s="4" t="s">
        <v>54</v>
      </c>
      <c r="T93" s="4" t="s">
        <v>55</v>
      </c>
      <c r="U93" s="4" t="s">
        <v>70</v>
      </c>
      <c r="V93" s="4" t="s">
        <v>392</v>
      </c>
      <c r="W93" s="4">
        <v>2.39118E8</v>
      </c>
      <c r="X93" s="4" t="s">
        <v>85</v>
      </c>
      <c r="Y93" s="4" t="s">
        <v>86</v>
      </c>
      <c r="Z93" s="4" t="s">
        <v>60</v>
      </c>
      <c r="AA93" s="4" t="s">
        <v>61</v>
      </c>
      <c r="AB93" s="4" t="s">
        <v>87</v>
      </c>
      <c r="AC93" s="4" t="s">
        <v>88</v>
      </c>
      <c r="AD93" s="3" t="s">
        <v>688</v>
      </c>
      <c r="AE93" s="8" t="s">
        <v>194</v>
      </c>
      <c r="AF93" s="12"/>
      <c r="AG93" s="4" t="str">
        <f t="shared" si="1"/>
        <v/>
      </c>
      <c r="AH93" s="8" t="s">
        <v>125</v>
      </c>
      <c r="AI93" s="4" t="s">
        <v>689</v>
      </c>
      <c r="AJ93" s="7" t="str">
        <f>VLOOKUP(D93,'slb RAW'!$E$2:$AF$293,9)</f>
        <v>#N/A N/A</v>
      </c>
      <c r="AK93" s="4">
        <f>VLOOKUP(D93,'slb RAW'!$E$2:$AE$293,27)</f>
        <v>1.66</v>
      </c>
      <c r="AL93" s="4">
        <f>VLOOKUP(C93,'Refinitiv SLB'!F93:S270,14)</f>
        <v>4.231</v>
      </c>
      <c r="AM93" s="4">
        <f t="shared" si="2"/>
        <v>1.66</v>
      </c>
      <c r="AN93" s="9" t="str">
        <f t="shared" si="3"/>
        <v>SSAB ABAT MATURITYFLOATINGSEKSr Unsecured</v>
      </c>
      <c r="AO93" s="7" t="b">
        <f>ISNUMBER( IFERROR(VLOOKUP(A93,Pairs!$E$2:$E$57,1,FALSE),FALSE))</f>
        <v>1</v>
      </c>
      <c r="AP93" s="7"/>
      <c r="AQ93" s="7"/>
    </row>
    <row r="94" ht="15.75" customHeight="1">
      <c r="A94" s="3">
        <v>42.0</v>
      </c>
      <c r="B94" s="4" t="s">
        <v>690</v>
      </c>
      <c r="C94" s="4" t="str">
        <f>VLOOKUP(D94,'slb RAW'!$E:$F,2)</f>
        <v>#N/A Field Not Applicable</v>
      </c>
      <c r="D94" s="4" t="s">
        <v>691</v>
      </c>
      <c r="E94" s="4" t="s">
        <v>692</v>
      </c>
      <c r="F94" s="4" t="s">
        <v>693</v>
      </c>
      <c r="G94" s="4" t="s">
        <v>258</v>
      </c>
      <c r="H94" s="4" t="s">
        <v>258</v>
      </c>
      <c r="I94" s="4" t="s">
        <v>258</v>
      </c>
      <c r="J94" s="22">
        <v>0.0</v>
      </c>
      <c r="K94" s="4" t="s">
        <v>694</v>
      </c>
      <c r="L94" s="4" t="s">
        <v>695</v>
      </c>
      <c r="M94" s="10" t="s">
        <v>48</v>
      </c>
      <c r="N94" s="4" t="s">
        <v>49</v>
      </c>
      <c r="O94" s="4" t="s">
        <v>50</v>
      </c>
      <c r="P94" s="4" t="s">
        <v>69</v>
      </c>
      <c r="Q94" s="4" t="s">
        <v>52</v>
      </c>
      <c r="R94" s="4" t="s">
        <v>53</v>
      </c>
      <c r="S94" s="4" t="s">
        <v>54</v>
      </c>
      <c r="T94" s="4" t="s">
        <v>55</v>
      </c>
      <c r="U94" s="4" t="s">
        <v>70</v>
      </c>
      <c r="V94" s="4" t="s">
        <v>71</v>
      </c>
      <c r="W94" s="4">
        <v>4.7352E8</v>
      </c>
      <c r="X94" s="4" t="s">
        <v>85</v>
      </c>
      <c r="Y94" s="4" t="s">
        <v>265</v>
      </c>
      <c r="Z94" s="4" t="s">
        <v>60</v>
      </c>
      <c r="AA94" s="4" t="s">
        <v>61</v>
      </c>
      <c r="AB94" s="4" t="s">
        <v>177</v>
      </c>
      <c r="AC94" s="4" t="s">
        <v>579</v>
      </c>
      <c r="AD94" s="3" t="s">
        <v>696</v>
      </c>
      <c r="AE94" s="7">
        <v>2.5</v>
      </c>
      <c r="AF94" s="7">
        <v>2.5</v>
      </c>
      <c r="AG94" s="4" t="str">
        <f t="shared" si="1"/>
        <v>yes</v>
      </c>
      <c r="AH94" s="8" t="s">
        <v>64</v>
      </c>
      <c r="AI94" s="4" t="s">
        <v>697</v>
      </c>
      <c r="AJ94" s="7" t="str">
        <f>VLOOKUP(D94,'slb RAW'!$E$2:$AF$293,9)</f>
        <v>#N/A N/A</v>
      </c>
      <c r="AK94" s="4" t="str">
        <f>VLOOKUP(D94,'slb RAW'!$E$2:$AE$293,27)</f>
        <v>#N/A N/A</v>
      </c>
      <c r="AL94" s="4" t="str">
        <f>VLOOKUP(C94,'Refinitiv SLB'!F94:S271,14)</f>
        <v>#N/A</v>
      </c>
      <c r="AM94" s="4" t="str">
        <f t="shared" si="2"/>
        <v>#N/A N/A</v>
      </c>
      <c r="AN94" s="9" t="str">
        <f t="shared" si="3"/>
        <v>Constantia Flexibles GmbHAT MATURITYFLOATINGEURSr Unsecured</v>
      </c>
      <c r="AO94" s="7" t="b">
        <f>ISNUMBER( IFERROR(VLOOKUP(A94,Pairs!$E$2:$E$57,1,FALSE),FALSE))</f>
        <v>0</v>
      </c>
      <c r="AP94" s="7"/>
      <c r="AQ94" s="7"/>
    </row>
    <row r="95" ht="15.75" customHeight="1">
      <c r="A95" s="3">
        <v>41.0</v>
      </c>
      <c r="B95" s="4" t="s">
        <v>690</v>
      </c>
      <c r="C95" s="4" t="str">
        <f>VLOOKUP(D95,'slb RAW'!$E:$F,2)</f>
        <v>#N/A Field Not Applicable</v>
      </c>
      <c r="D95" s="4" t="s">
        <v>698</v>
      </c>
      <c r="E95" s="4" t="s">
        <v>699</v>
      </c>
      <c r="F95" s="4" t="s">
        <v>693</v>
      </c>
      <c r="G95" s="4" t="s">
        <v>258</v>
      </c>
      <c r="H95" s="4" t="s">
        <v>258</v>
      </c>
      <c r="I95" s="4" t="s">
        <v>258</v>
      </c>
      <c r="J95" s="22">
        <v>0.0</v>
      </c>
      <c r="K95" s="4" t="s">
        <v>694</v>
      </c>
      <c r="L95" s="4" t="s">
        <v>700</v>
      </c>
      <c r="M95" s="10" t="s">
        <v>48</v>
      </c>
      <c r="N95" s="4" t="s">
        <v>49</v>
      </c>
      <c r="O95" s="4" t="s">
        <v>50</v>
      </c>
      <c r="P95" s="4" t="s">
        <v>76</v>
      </c>
      <c r="Q95" s="4" t="s">
        <v>52</v>
      </c>
      <c r="R95" s="4" t="s">
        <v>53</v>
      </c>
      <c r="S95" s="4" t="s">
        <v>54</v>
      </c>
      <c r="T95" s="4" t="s">
        <v>55</v>
      </c>
      <c r="U95" s="4" t="s">
        <v>70</v>
      </c>
      <c r="V95" s="4" t="s">
        <v>71</v>
      </c>
      <c r="W95" s="4">
        <v>4.7352E8</v>
      </c>
      <c r="X95" s="4" t="s">
        <v>85</v>
      </c>
      <c r="Y95" s="4" t="s">
        <v>265</v>
      </c>
      <c r="Z95" s="4" t="s">
        <v>60</v>
      </c>
      <c r="AA95" s="4" t="s">
        <v>61</v>
      </c>
      <c r="AB95" s="4" t="s">
        <v>177</v>
      </c>
      <c r="AC95" s="4" t="s">
        <v>579</v>
      </c>
      <c r="AD95" s="3" t="s">
        <v>696</v>
      </c>
      <c r="AE95" s="7">
        <v>2.5</v>
      </c>
      <c r="AF95" s="7">
        <v>2.5</v>
      </c>
      <c r="AG95" s="4" t="str">
        <f t="shared" si="1"/>
        <v>yes</v>
      </c>
      <c r="AH95" s="8" t="s">
        <v>64</v>
      </c>
      <c r="AI95" s="4" t="s">
        <v>697</v>
      </c>
      <c r="AJ95" s="7" t="str">
        <f>VLOOKUP(D95,'slb RAW'!$E$2:$AF$293,9)</f>
        <v>#N/A N/A</v>
      </c>
      <c r="AK95" s="4" t="str">
        <f>VLOOKUP(D95,'slb RAW'!$E$2:$AE$293,27)</f>
        <v>#N/A N/A</v>
      </c>
      <c r="AL95" s="4" t="str">
        <f>VLOOKUP(C95,'Refinitiv SLB'!F95:S272,14)</f>
        <v>#N/A</v>
      </c>
      <c r="AM95" s="4" t="str">
        <f t="shared" si="2"/>
        <v>#N/A N/A</v>
      </c>
      <c r="AN95" s="9" t="str">
        <f t="shared" si="3"/>
        <v>Constantia Flexibles GmbHAT MATURITYFLOATINGEURSr Unsecured</v>
      </c>
      <c r="AO95" s="7" t="b">
        <f>ISNUMBER( IFERROR(VLOOKUP(A95,Pairs!$E$2:$E$57,1,FALSE),FALSE))</f>
        <v>0</v>
      </c>
      <c r="AP95" s="7"/>
      <c r="AQ95" s="7"/>
    </row>
    <row r="96" ht="15.75" customHeight="1">
      <c r="A96" s="3">
        <v>43.0</v>
      </c>
      <c r="B96" s="4" t="s">
        <v>690</v>
      </c>
      <c r="C96" s="4" t="str">
        <f>VLOOKUP(D96,'slb RAW'!$E:$F,2)</f>
        <v>#N/A Field Not Applicable</v>
      </c>
      <c r="D96" s="4" t="s">
        <v>701</v>
      </c>
      <c r="E96" s="4" t="s">
        <v>702</v>
      </c>
      <c r="F96" s="4" t="s">
        <v>693</v>
      </c>
      <c r="G96" s="4" t="s">
        <v>258</v>
      </c>
      <c r="H96" s="4" t="s">
        <v>258</v>
      </c>
      <c r="I96" s="4" t="s">
        <v>258</v>
      </c>
      <c r="J96" s="22">
        <v>0.0</v>
      </c>
      <c r="K96" s="4" t="s">
        <v>694</v>
      </c>
      <c r="L96" s="4" t="s">
        <v>703</v>
      </c>
      <c r="M96" s="10" t="s">
        <v>48</v>
      </c>
      <c r="N96" s="4" t="s">
        <v>49</v>
      </c>
      <c r="O96" s="4" t="s">
        <v>50</v>
      </c>
      <c r="P96" s="4" t="s">
        <v>145</v>
      </c>
      <c r="Q96" s="4" t="s">
        <v>52</v>
      </c>
      <c r="R96" s="4" t="s">
        <v>53</v>
      </c>
      <c r="S96" s="4" t="s">
        <v>54</v>
      </c>
      <c r="T96" s="4" t="s">
        <v>55</v>
      </c>
      <c r="U96" s="4" t="s">
        <v>70</v>
      </c>
      <c r="V96" s="4" t="s">
        <v>71</v>
      </c>
      <c r="W96" s="4">
        <v>4.7352E8</v>
      </c>
      <c r="X96" s="4" t="s">
        <v>85</v>
      </c>
      <c r="Y96" s="4" t="s">
        <v>265</v>
      </c>
      <c r="Z96" s="4" t="s">
        <v>60</v>
      </c>
      <c r="AA96" s="4" t="s">
        <v>61</v>
      </c>
      <c r="AB96" s="4" t="s">
        <v>177</v>
      </c>
      <c r="AC96" s="4" t="s">
        <v>579</v>
      </c>
      <c r="AD96" s="3" t="s">
        <v>696</v>
      </c>
      <c r="AE96" s="7">
        <v>2.5</v>
      </c>
      <c r="AF96" s="7">
        <v>2.5</v>
      </c>
      <c r="AG96" s="4" t="str">
        <f t="shared" si="1"/>
        <v>yes</v>
      </c>
      <c r="AH96" s="8" t="s">
        <v>64</v>
      </c>
      <c r="AI96" s="4" t="s">
        <v>697</v>
      </c>
      <c r="AJ96" s="7" t="str">
        <f>VLOOKUP(D96,'slb RAW'!$E$2:$AF$293,9)</f>
        <v>#N/A N/A</v>
      </c>
      <c r="AK96" s="4" t="str">
        <f>VLOOKUP(D96,'slb RAW'!$E$2:$AE$293,27)</f>
        <v>#N/A N/A</v>
      </c>
      <c r="AL96" s="4" t="str">
        <f>VLOOKUP(C96,'Refinitiv SLB'!F96:S273,14)</f>
        <v>#N/A</v>
      </c>
      <c r="AM96" s="4" t="str">
        <f t="shared" si="2"/>
        <v>#N/A N/A</v>
      </c>
      <c r="AN96" s="9" t="str">
        <f t="shared" si="3"/>
        <v>Constantia Flexibles GmbHAT MATURITYFLOATINGEURSr Unsecured</v>
      </c>
      <c r="AO96" s="7" t="b">
        <f>ISNUMBER( IFERROR(VLOOKUP(A96,Pairs!$E$2:$E$57,1,FALSE),FALSE))</f>
        <v>0</v>
      </c>
      <c r="AP96" s="7"/>
      <c r="AQ96" s="7"/>
    </row>
    <row r="97" ht="15.75" customHeight="1">
      <c r="A97" s="3">
        <v>187.0</v>
      </c>
      <c r="B97" s="4" t="s">
        <v>704</v>
      </c>
      <c r="C97" s="4" t="str">
        <f>VLOOKUP(D97,'slb RAW'!$E:$F,2)</f>
        <v>XS2358383896</v>
      </c>
      <c r="D97" s="4" t="s">
        <v>705</v>
      </c>
      <c r="E97" s="4" t="s">
        <v>706</v>
      </c>
      <c r="F97" s="4" t="s">
        <v>707</v>
      </c>
      <c r="G97" s="4" t="s">
        <v>367</v>
      </c>
      <c r="H97" s="4" t="s">
        <v>367</v>
      </c>
      <c r="I97" s="4" t="s">
        <v>367</v>
      </c>
      <c r="J97" s="4">
        <v>3.625</v>
      </c>
      <c r="K97" s="4" t="s">
        <v>708</v>
      </c>
      <c r="L97" s="4" t="s">
        <v>709</v>
      </c>
      <c r="M97" s="4">
        <v>3.625</v>
      </c>
      <c r="N97" s="4" t="s">
        <v>115</v>
      </c>
      <c r="O97" s="4" t="s">
        <v>116</v>
      </c>
      <c r="P97" s="4" t="s">
        <v>262</v>
      </c>
      <c r="Q97" s="4" t="s">
        <v>459</v>
      </c>
      <c r="R97" s="4" t="s">
        <v>53</v>
      </c>
      <c r="S97" s="4" t="s">
        <v>351</v>
      </c>
      <c r="T97" s="4" t="s">
        <v>55</v>
      </c>
      <c r="U97" s="4" t="s">
        <v>56</v>
      </c>
      <c r="V97" s="4" t="s">
        <v>71</v>
      </c>
      <c r="W97" s="4">
        <v>6.2208825E8</v>
      </c>
      <c r="X97" s="4" t="s">
        <v>85</v>
      </c>
      <c r="Y97" s="4" t="s">
        <v>515</v>
      </c>
      <c r="Z97" s="4" t="s">
        <v>60</v>
      </c>
      <c r="AA97" s="4" t="s">
        <v>61</v>
      </c>
      <c r="AB97" s="4" t="s">
        <v>87</v>
      </c>
      <c r="AC97" s="4" t="s">
        <v>515</v>
      </c>
      <c r="AD97" s="3" t="s">
        <v>710</v>
      </c>
      <c r="AE97" s="7">
        <v>12.5</v>
      </c>
      <c r="AF97" s="12"/>
      <c r="AG97" s="4" t="str">
        <f t="shared" si="1"/>
        <v/>
      </c>
      <c r="AH97" s="8" t="s">
        <v>125</v>
      </c>
      <c r="AI97" s="4" t="s">
        <v>711</v>
      </c>
      <c r="AJ97" s="7">
        <f>VLOOKUP(D97,'slb RAW'!$E$2:$AF$293,9)</f>
        <v>3.625</v>
      </c>
      <c r="AK97" s="4">
        <f>VLOOKUP(D97,'slb RAW'!$E$2:$AE$293,27)</f>
        <v>3.601</v>
      </c>
      <c r="AL97" s="4">
        <f>VLOOKUP(C97,'Refinitiv SLB'!F97:S274,14)</f>
        <v>5.129</v>
      </c>
      <c r="AM97" s="4">
        <f t="shared" si="2"/>
        <v>3.601</v>
      </c>
      <c r="AN97" s="9" t="str">
        <f t="shared" si="3"/>
        <v>Nobian Finance BVCALLABLEFIXEDEURSecured</v>
      </c>
      <c r="AO97" s="7" t="b">
        <f>ISNUMBER( IFERROR(VLOOKUP(A97,Pairs!$E$2:$E$57,1,FALSE),FALSE))</f>
        <v>0</v>
      </c>
      <c r="AP97" s="7"/>
      <c r="AQ97" s="7"/>
    </row>
    <row r="98" ht="15.75" customHeight="1">
      <c r="A98" s="3">
        <v>186.0</v>
      </c>
      <c r="B98" s="4" t="s">
        <v>704</v>
      </c>
      <c r="C98" s="4" t="str">
        <f>VLOOKUP(D98,'slb RAW'!$E:$F,2)</f>
        <v>XS2358383466</v>
      </c>
      <c r="D98" s="4" t="s">
        <v>712</v>
      </c>
      <c r="E98" s="4" t="s">
        <v>713</v>
      </c>
      <c r="F98" s="4" t="s">
        <v>707</v>
      </c>
      <c r="G98" s="4" t="s">
        <v>367</v>
      </c>
      <c r="H98" s="4" t="s">
        <v>367</v>
      </c>
      <c r="I98" s="4" t="s">
        <v>367</v>
      </c>
      <c r="J98" s="4">
        <v>3.625</v>
      </c>
      <c r="K98" s="4" t="s">
        <v>708</v>
      </c>
      <c r="L98" s="4" t="s">
        <v>709</v>
      </c>
      <c r="M98" s="4">
        <v>3.625</v>
      </c>
      <c r="N98" s="4" t="s">
        <v>115</v>
      </c>
      <c r="O98" s="4" t="s">
        <v>116</v>
      </c>
      <c r="P98" s="4" t="s">
        <v>271</v>
      </c>
      <c r="Q98" s="4" t="s">
        <v>459</v>
      </c>
      <c r="R98" s="4" t="s">
        <v>53</v>
      </c>
      <c r="S98" s="4" t="s">
        <v>351</v>
      </c>
      <c r="T98" s="4" t="s">
        <v>55</v>
      </c>
      <c r="U98" s="4" t="s">
        <v>56</v>
      </c>
      <c r="V98" s="4" t="s">
        <v>71</v>
      </c>
      <c r="W98" s="4">
        <v>6.2208825E8</v>
      </c>
      <c r="X98" s="4" t="s">
        <v>85</v>
      </c>
      <c r="Y98" s="4" t="s">
        <v>515</v>
      </c>
      <c r="Z98" s="4" t="s">
        <v>60</v>
      </c>
      <c r="AA98" s="4" t="s">
        <v>61</v>
      </c>
      <c r="AB98" s="4" t="s">
        <v>87</v>
      </c>
      <c r="AC98" s="4" t="s">
        <v>515</v>
      </c>
      <c r="AD98" s="3" t="s">
        <v>710</v>
      </c>
      <c r="AE98" s="7">
        <v>12.5</v>
      </c>
      <c r="AF98" s="12"/>
      <c r="AG98" s="4" t="str">
        <f t="shared" si="1"/>
        <v/>
      </c>
      <c r="AH98" s="8" t="s">
        <v>125</v>
      </c>
      <c r="AI98" s="4" t="s">
        <v>714</v>
      </c>
      <c r="AJ98" s="7">
        <f>VLOOKUP(D98,'slb RAW'!$E$2:$AF$293,9)</f>
        <v>3.625</v>
      </c>
      <c r="AK98" s="4">
        <f>VLOOKUP(D98,'slb RAW'!$E$2:$AE$293,27)</f>
        <v>3.596</v>
      </c>
      <c r="AL98" s="4">
        <f>VLOOKUP(C98,'Refinitiv SLB'!F98:S275,14)</f>
        <v>0.412</v>
      </c>
      <c r="AM98" s="4">
        <f t="shared" si="2"/>
        <v>3.596</v>
      </c>
      <c r="AN98" s="9" t="str">
        <f t="shared" si="3"/>
        <v>Nobian Finance BVCALLABLEFIXEDEURSecured</v>
      </c>
      <c r="AO98" s="7" t="b">
        <f>ISNUMBER( IFERROR(VLOOKUP(A98,Pairs!$E$2:$E$57,1,FALSE),FALSE))</f>
        <v>0</v>
      </c>
      <c r="AP98" s="7"/>
      <c r="AQ98" s="7"/>
    </row>
    <row r="99" ht="15.75" customHeight="1">
      <c r="A99" s="3">
        <v>280.0</v>
      </c>
      <c r="B99" s="4" t="s">
        <v>715</v>
      </c>
      <c r="C99" s="4" t="str">
        <f>VLOOKUP(D99,'slb RAW'!$E:$F,2)</f>
        <v>#N/A Field Not Applicable</v>
      </c>
      <c r="D99" s="4" t="s">
        <v>716</v>
      </c>
      <c r="E99" s="4" t="s">
        <v>717</v>
      </c>
      <c r="F99" s="4" t="s">
        <v>718</v>
      </c>
      <c r="G99" s="4" t="s">
        <v>45</v>
      </c>
      <c r="H99" s="4" t="s">
        <v>45</v>
      </c>
      <c r="I99" s="4" t="s">
        <v>45</v>
      </c>
      <c r="J99" s="4">
        <v>0.0</v>
      </c>
      <c r="K99" s="4" t="s">
        <v>719</v>
      </c>
      <c r="L99" s="4" t="s">
        <v>720</v>
      </c>
      <c r="M99" s="10" t="s">
        <v>48</v>
      </c>
      <c r="N99" s="4" t="s">
        <v>49</v>
      </c>
      <c r="O99" s="4" t="s">
        <v>50</v>
      </c>
      <c r="P99" s="4" t="s">
        <v>51</v>
      </c>
      <c r="Q99" s="4" t="s">
        <v>52</v>
      </c>
      <c r="R99" s="4" t="s">
        <v>53</v>
      </c>
      <c r="S99" s="4" t="s">
        <v>54</v>
      </c>
      <c r="T99" s="4" t="s">
        <v>55</v>
      </c>
      <c r="U99" s="4" t="s">
        <v>56</v>
      </c>
      <c r="V99" s="4" t="s">
        <v>57</v>
      </c>
      <c r="W99" s="4">
        <v>5.87805E7</v>
      </c>
      <c r="X99" s="4" t="s">
        <v>58</v>
      </c>
      <c r="Y99" s="4" t="s">
        <v>506</v>
      </c>
      <c r="Z99" s="4" t="s">
        <v>60</v>
      </c>
      <c r="AA99" s="4" t="s">
        <v>61</v>
      </c>
      <c r="AB99" s="4" t="s">
        <v>177</v>
      </c>
      <c r="AC99" s="4" t="s">
        <v>721</v>
      </c>
      <c r="AD99" s="3" t="s">
        <v>722</v>
      </c>
      <c r="AE99" s="7">
        <v>2.5</v>
      </c>
      <c r="AF99" s="7">
        <v>2.5</v>
      </c>
      <c r="AG99" s="4" t="str">
        <f t="shared" si="1"/>
        <v>yes</v>
      </c>
      <c r="AH99" s="8" t="s">
        <v>140</v>
      </c>
      <c r="AI99" s="4" t="s">
        <v>723</v>
      </c>
      <c r="AJ99" s="7" t="str">
        <f>VLOOKUP(D99,'slb RAW'!$E$2:$AF$293,9)</f>
        <v>#N/A N/A</v>
      </c>
      <c r="AK99" s="4" t="str">
        <f>VLOOKUP(D99,'slb RAW'!$E$2:$AE$293,27)</f>
        <v>#N/A N/A</v>
      </c>
      <c r="AL99" s="4" t="str">
        <f>VLOOKUP(C99,'Refinitiv SLB'!F99:S276,14)</f>
        <v>#N/A</v>
      </c>
      <c r="AM99" s="4" t="str">
        <f t="shared" si="2"/>
        <v>#N/A N/A</v>
      </c>
      <c r="AN99" s="9" t="str">
        <f t="shared" si="3"/>
        <v>Zeppelin GmbHAT MATURITYFIXEDEURSr Unsecured</v>
      </c>
      <c r="AO99" s="7" t="b">
        <f>ISNUMBER( IFERROR(VLOOKUP(A99,Pairs!$E$2:$E$57,1,FALSE),FALSE))</f>
        <v>0</v>
      </c>
      <c r="AP99" s="7"/>
      <c r="AQ99" s="7"/>
    </row>
    <row r="100" ht="15.75" customHeight="1">
      <c r="A100" s="3">
        <v>279.0</v>
      </c>
      <c r="B100" s="4" t="s">
        <v>715</v>
      </c>
      <c r="C100" s="4" t="str">
        <f>VLOOKUP(D100,'slb RAW'!$E:$F,2)</f>
        <v>#N/A Field Not Applicable</v>
      </c>
      <c r="D100" s="4" t="s">
        <v>724</v>
      </c>
      <c r="E100" s="4" t="s">
        <v>725</v>
      </c>
      <c r="F100" s="4" t="s">
        <v>718</v>
      </c>
      <c r="G100" s="4" t="s">
        <v>45</v>
      </c>
      <c r="H100" s="4" t="s">
        <v>45</v>
      </c>
      <c r="I100" s="4" t="s">
        <v>45</v>
      </c>
      <c r="J100" s="4">
        <v>0.0</v>
      </c>
      <c r="K100" s="4" t="s">
        <v>719</v>
      </c>
      <c r="L100" s="4" t="s">
        <v>726</v>
      </c>
      <c r="M100" s="6" t="s">
        <v>48</v>
      </c>
      <c r="N100" s="4" t="s">
        <v>49</v>
      </c>
      <c r="O100" s="4" t="s">
        <v>50</v>
      </c>
      <c r="P100" s="4" t="s">
        <v>69</v>
      </c>
      <c r="Q100" s="4" t="s">
        <v>52</v>
      </c>
      <c r="R100" s="4" t="s">
        <v>53</v>
      </c>
      <c r="S100" s="4" t="s">
        <v>54</v>
      </c>
      <c r="T100" s="4" t="s">
        <v>55</v>
      </c>
      <c r="U100" s="4" t="s">
        <v>56</v>
      </c>
      <c r="V100" s="4" t="s">
        <v>57</v>
      </c>
      <c r="W100" s="4">
        <v>5.87805E7</v>
      </c>
      <c r="X100" s="4" t="s">
        <v>58</v>
      </c>
      <c r="Y100" s="4" t="s">
        <v>506</v>
      </c>
      <c r="Z100" s="4" t="s">
        <v>60</v>
      </c>
      <c r="AA100" s="4" t="s">
        <v>61</v>
      </c>
      <c r="AB100" s="4" t="s">
        <v>177</v>
      </c>
      <c r="AC100" s="4" t="s">
        <v>721</v>
      </c>
      <c r="AD100" s="3" t="s">
        <v>722</v>
      </c>
      <c r="AE100" s="7">
        <v>2.5</v>
      </c>
      <c r="AF100" s="7">
        <v>2.5</v>
      </c>
      <c r="AG100" s="4" t="str">
        <f t="shared" si="1"/>
        <v>yes</v>
      </c>
      <c r="AH100" s="8" t="s">
        <v>140</v>
      </c>
      <c r="AI100" s="4" t="s">
        <v>723</v>
      </c>
      <c r="AJ100" s="7" t="str">
        <f>VLOOKUP(D100,'slb RAW'!$E$2:$AF$293,9)</f>
        <v>#N/A N/A</v>
      </c>
      <c r="AK100" s="4" t="str">
        <f>VLOOKUP(D100,'slb RAW'!$E$2:$AE$293,27)</f>
        <v>#N/A N/A</v>
      </c>
      <c r="AL100" s="4" t="str">
        <f>VLOOKUP(C100,'Refinitiv SLB'!F100:S277,14)</f>
        <v>#N/A</v>
      </c>
      <c r="AM100" s="4" t="str">
        <f t="shared" si="2"/>
        <v>#N/A N/A</v>
      </c>
      <c r="AN100" s="9" t="str">
        <f t="shared" si="3"/>
        <v>Zeppelin GmbHAT MATURITYFIXEDEURSr Unsecured</v>
      </c>
      <c r="AO100" s="7" t="b">
        <f>ISNUMBER( IFERROR(VLOOKUP(A100,Pairs!$E$2:$E$57,1,FALSE),FALSE))</f>
        <v>0</v>
      </c>
      <c r="AP100" s="7"/>
      <c r="AQ100" s="7"/>
    </row>
    <row r="101" ht="15.75" customHeight="1">
      <c r="A101" s="3">
        <v>198.0</v>
      </c>
      <c r="B101" s="4" t="s">
        <v>727</v>
      </c>
      <c r="C101" s="4" t="str">
        <f>VLOOKUP(D101,'slb RAW'!$E:$F,2)</f>
        <v>XS2361343267</v>
      </c>
      <c r="D101" s="4" t="s">
        <v>728</v>
      </c>
      <c r="E101" s="4" t="s">
        <v>729</v>
      </c>
      <c r="F101" s="4" t="s">
        <v>730</v>
      </c>
      <c r="G101" s="4" t="s">
        <v>185</v>
      </c>
      <c r="H101" s="4" t="s">
        <v>185</v>
      </c>
      <c r="I101" s="4" t="s">
        <v>185</v>
      </c>
      <c r="J101" s="4">
        <v>3.875</v>
      </c>
      <c r="K101" s="4" t="s">
        <v>731</v>
      </c>
      <c r="L101" s="4" t="s">
        <v>732</v>
      </c>
      <c r="M101" s="13">
        <v>3.7443</v>
      </c>
      <c r="N101" s="4" t="s">
        <v>115</v>
      </c>
      <c r="O101" s="4" t="s">
        <v>116</v>
      </c>
      <c r="P101" s="4" t="s">
        <v>262</v>
      </c>
      <c r="Q101" s="4" t="s">
        <v>459</v>
      </c>
      <c r="R101" s="4" t="s">
        <v>53</v>
      </c>
      <c r="S101" s="4" t="s">
        <v>351</v>
      </c>
      <c r="T101" s="4" t="s">
        <v>55</v>
      </c>
      <c r="U101" s="4" t="s">
        <v>56</v>
      </c>
      <c r="V101" s="4" t="s">
        <v>71</v>
      </c>
      <c r="W101" s="4">
        <v>8.850225E8</v>
      </c>
      <c r="X101" s="4" t="s">
        <v>422</v>
      </c>
      <c r="Y101" s="4" t="s">
        <v>423</v>
      </c>
      <c r="Z101" s="4" t="s">
        <v>60</v>
      </c>
      <c r="AA101" s="4" t="s">
        <v>61</v>
      </c>
      <c r="AB101" s="4" t="s">
        <v>228</v>
      </c>
      <c r="AC101" s="4" t="s">
        <v>665</v>
      </c>
      <c r="AD101" s="3" t="s">
        <v>733</v>
      </c>
      <c r="AE101" s="8" t="s">
        <v>124</v>
      </c>
      <c r="AF101" s="12"/>
      <c r="AG101" s="4" t="str">
        <f t="shared" si="1"/>
        <v/>
      </c>
      <c r="AH101" s="8" t="s">
        <v>125</v>
      </c>
      <c r="AI101" s="4" t="s">
        <v>734</v>
      </c>
      <c r="AJ101" s="7" t="str">
        <f>VLOOKUP(D101,'slb RAW'!$E$2:$AF$293,9)</f>
        <v>#N/A N/A</v>
      </c>
      <c r="AK101" s="4">
        <f>VLOOKUP(D101,'slb RAW'!$E$2:$AE$293,27)</f>
        <v>3.706</v>
      </c>
      <c r="AL101" s="4">
        <f>VLOOKUP(C101,'Refinitiv SLB'!F101:S278,14)</f>
        <v>5.129</v>
      </c>
      <c r="AM101" s="4">
        <f t="shared" si="2"/>
        <v>3.706</v>
      </c>
      <c r="AN101" s="9" t="str">
        <f t="shared" si="3"/>
        <v>Picard Groupe SASCALLABLEFIXEDEURSecured</v>
      </c>
      <c r="AO101" s="7" t="b">
        <f>ISNUMBER( IFERROR(VLOOKUP(A101,Pairs!$E$2:$E$57,1,FALSE),FALSE))</f>
        <v>0</v>
      </c>
      <c r="AP101" s="7"/>
      <c r="AQ101" s="7"/>
    </row>
    <row r="102" ht="15.75" customHeight="1">
      <c r="A102" s="3">
        <v>172.0</v>
      </c>
      <c r="B102" s="4" t="s">
        <v>735</v>
      </c>
      <c r="C102" s="4" t="str">
        <f>VLOOKUP(D102,'slb RAW'!$E:$F,2)</f>
        <v>XS2361343770</v>
      </c>
      <c r="D102" s="4" t="s">
        <v>736</v>
      </c>
      <c r="E102" s="4" t="s">
        <v>737</v>
      </c>
      <c r="F102" s="4" t="s">
        <v>730</v>
      </c>
      <c r="G102" s="4" t="s">
        <v>170</v>
      </c>
      <c r="H102" s="4" t="s">
        <v>170</v>
      </c>
      <c r="I102" s="4" t="s">
        <v>185</v>
      </c>
      <c r="J102" s="4">
        <v>4.0</v>
      </c>
      <c r="K102" s="4" t="s">
        <v>731</v>
      </c>
      <c r="L102" s="4" t="s">
        <v>732</v>
      </c>
      <c r="M102" s="13">
        <v>3.7775</v>
      </c>
      <c r="N102" s="4" t="s">
        <v>115</v>
      </c>
      <c r="O102" s="4" t="s">
        <v>116</v>
      </c>
      <c r="P102" s="4" t="s">
        <v>262</v>
      </c>
      <c r="Q102" s="4" t="s">
        <v>459</v>
      </c>
      <c r="R102" s="4" t="s">
        <v>53</v>
      </c>
      <c r="S102" s="4" t="s">
        <v>351</v>
      </c>
      <c r="T102" s="4" t="s">
        <v>55</v>
      </c>
      <c r="U102" s="4" t="s">
        <v>70</v>
      </c>
      <c r="V102" s="4" t="s">
        <v>392</v>
      </c>
      <c r="W102" s="4">
        <v>7.670195E8</v>
      </c>
      <c r="X102" s="4" t="s">
        <v>134</v>
      </c>
      <c r="Y102" s="4" t="s">
        <v>738</v>
      </c>
      <c r="Z102" s="4" t="s">
        <v>60</v>
      </c>
      <c r="AA102" s="4" t="s">
        <v>61</v>
      </c>
      <c r="AB102" s="4" t="s">
        <v>136</v>
      </c>
      <c r="AC102" s="4" t="s">
        <v>738</v>
      </c>
      <c r="AD102" s="3" t="s">
        <v>739</v>
      </c>
      <c r="AE102" s="7">
        <v>12.5</v>
      </c>
      <c r="AF102" s="12"/>
      <c r="AG102" s="4" t="str">
        <f t="shared" si="1"/>
        <v/>
      </c>
      <c r="AH102" s="8" t="s">
        <v>125</v>
      </c>
      <c r="AI102" s="4" t="s">
        <v>740</v>
      </c>
      <c r="AJ102" s="7" t="str">
        <f>VLOOKUP(D102,'slb RAW'!$E$2:$AF$293,9)</f>
        <v>#N/A N/A</v>
      </c>
      <c r="AK102" s="4">
        <f>VLOOKUP(D102,'slb RAW'!$E$2:$AE$293,27)</f>
        <v>3.756</v>
      </c>
      <c r="AL102" s="4">
        <f>VLOOKUP(C102,'Refinitiv SLB'!F102:S279,14)</f>
        <v>5.129</v>
      </c>
      <c r="AM102" s="4">
        <f t="shared" si="2"/>
        <v>3.756</v>
      </c>
      <c r="AN102" s="9" t="str">
        <f t="shared" si="3"/>
        <v>Lion/Polaris Lux 4 SACALLABLEFLOATINGEURSecured</v>
      </c>
      <c r="AO102" s="7" t="b">
        <f>ISNUMBER( IFERROR(VLOOKUP(A102,Pairs!$E$2:$E$57,1,FALSE),FALSE))</f>
        <v>0</v>
      </c>
      <c r="AP102" s="7"/>
      <c r="AQ102" s="7"/>
    </row>
    <row r="103" ht="15.75" customHeight="1">
      <c r="A103" s="3">
        <v>195.0</v>
      </c>
      <c r="B103" s="4" t="s">
        <v>741</v>
      </c>
      <c r="C103" s="4" t="str">
        <f>VLOOKUP(D103,'slb RAW'!$E:$F,2)</f>
        <v>XS2361345478</v>
      </c>
      <c r="D103" s="4" t="s">
        <v>742</v>
      </c>
      <c r="E103" s="4" t="s">
        <v>743</v>
      </c>
      <c r="F103" s="4" t="s">
        <v>730</v>
      </c>
      <c r="G103" s="4" t="s">
        <v>170</v>
      </c>
      <c r="H103" s="4" t="s">
        <v>170</v>
      </c>
      <c r="I103" s="4" t="s">
        <v>185</v>
      </c>
      <c r="J103" s="4">
        <v>5.375</v>
      </c>
      <c r="K103" s="4" t="s">
        <v>731</v>
      </c>
      <c r="L103" s="4" t="s">
        <v>744</v>
      </c>
      <c r="M103" s="11">
        <v>5.3267</v>
      </c>
      <c r="N103" s="4" t="s">
        <v>115</v>
      </c>
      <c r="O103" s="4" t="s">
        <v>116</v>
      </c>
      <c r="P103" s="4" t="s">
        <v>262</v>
      </c>
      <c r="Q103" s="4" t="s">
        <v>52</v>
      </c>
      <c r="R103" s="4" t="s">
        <v>53</v>
      </c>
      <c r="S103" s="4" t="s">
        <v>745</v>
      </c>
      <c r="T103" s="4" t="s">
        <v>55</v>
      </c>
      <c r="U103" s="4" t="s">
        <v>56</v>
      </c>
      <c r="V103" s="4" t="s">
        <v>71</v>
      </c>
      <c r="W103" s="4">
        <v>3.658093E8</v>
      </c>
      <c r="X103" s="4" t="s">
        <v>422</v>
      </c>
      <c r="Y103" s="4" t="s">
        <v>423</v>
      </c>
      <c r="Z103" s="4" t="s">
        <v>60</v>
      </c>
      <c r="AA103" s="4" t="s">
        <v>61</v>
      </c>
      <c r="AB103" s="4" t="s">
        <v>228</v>
      </c>
      <c r="AC103" s="4" t="s">
        <v>665</v>
      </c>
      <c r="AD103" s="3" t="s">
        <v>739</v>
      </c>
      <c r="AE103" s="8" t="s">
        <v>124</v>
      </c>
      <c r="AF103" s="12"/>
      <c r="AG103" s="4" t="str">
        <f t="shared" si="1"/>
        <v/>
      </c>
      <c r="AH103" s="8" t="s">
        <v>125</v>
      </c>
      <c r="AI103" s="4" t="s">
        <v>746</v>
      </c>
      <c r="AJ103" s="7" t="str">
        <f>VLOOKUP(D103,'slb RAW'!$E$2:$AF$293,9)</f>
        <v>#N/A N/A</v>
      </c>
      <c r="AK103" s="4">
        <f>VLOOKUP(D103,'slb RAW'!$E$2:$AE$293,27)</f>
        <v>5.31</v>
      </c>
      <c r="AL103" s="4">
        <f>VLOOKUP(C103,'Refinitiv SLB'!F103:S280,14)</f>
        <v>5.129</v>
      </c>
      <c r="AM103" s="4">
        <f t="shared" si="2"/>
        <v>5.31</v>
      </c>
      <c r="AN103" s="9" t="str">
        <f t="shared" si="3"/>
        <v>Picard Bondco SACALLABLEFIXEDEURSr Unsecured</v>
      </c>
      <c r="AO103" s="7" t="b">
        <f>ISNUMBER( IFERROR(VLOOKUP(A103,Pairs!$E$2:$E$57,1,FALSE),FALSE))</f>
        <v>0</v>
      </c>
      <c r="AP103" s="7"/>
      <c r="AQ103" s="7"/>
    </row>
    <row r="104" ht="15.75" customHeight="1">
      <c r="A104" s="3">
        <v>197.0</v>
      </c>
      <c r="B104" s="4" t="s">
        <v>727</v>
      </c>
      <c r="C104" s="4" t="str">
        <f>VLOOKUP(D104,'slb RAW'!$E:$F,2)</f>
        <v>XS2361342889</v>
      </c>
      <c r="D104" s="4" t="s">
        <v>747</v>
      </c>
      <c r="E104" s="4" t="s">
        <v>748</v>
      </c>
      <c r="F104" s="4" t="s">
        <v>730</v>
      </c>
      <c r="G104" s="4" t="s">
        <v>185</v>
      </c>
      <c r="H104" s="4" t="s">
        <v>185</v>
      </c>
      <c r="I104" s="4" t="s">
        <v>185</v>
      </c>
      <c r="J104" s="4">
        <v>3.875</v>
      </c>
      <c r="K104" s="4" t="s">
        <v>731</v>
      </c>
      <c r="L104" s="4" t="s">
        <v>732</v>
      </c>
      <c r="M104" s="11">
        <v>3.7554</v>
      </c>
      <c r="N104" s="4" t="s">
        <v>115</v>
      </c>
      <c r="O104" s="4" t="s">
        <v>116</v>
      </c>
      <c r="P104" s="4" t="s">
        <v>271</v>
      </c>
      <c r="Q104" s="4" t="s">
        <v>459</v>
      </c>
      <c r="R104" s="4" t="s">
        <v>53</v>
      </c>
      <c r="S104" s="4" t="s">
        <v>351</v>
      </c>
      <c r="T104" s="4" t="s">
        <v>55</v>
      </c>
      <c r="U104" s="4" t="s">
        <v>56</v>
      </c>
      <c r="V104" s="4" t="s">
        <v>71</v>
      </c>
      <c r="W104" s="4">
        <v>8.850225E8</v>
      </c>
      <c r="X104" s="4" t="s">
        <v>422</v>
      </c>
      <c r="Y104" s="4" t="s">
        <v>423</v>
      </c>
      <c r="Z104" s="4" t="s">
        <v>60</v>
      </c>
      <c r="AA104" s="4" t="s">
        <v>61</v>
      </c>
      <c r="AB104" s="4" t="s">
        <v>228</v>
      </c>
      <c r="AC104" s="4" t="s">
        <v>424</v>
      </c>
      <c r="AD104" s="3" t="s">
        <v>739</v>
      </c>
      <c r="AE104" s="8" t="s">
        <v>124</v>
      </c>
      <c r="AF104" s="12"/>
      <c r="AG104" s="4" t="str">
        <f t="shared" si="1"/>
        <v/>
      </c>
      <c r="AH104" s="8" t="s">
        <v>125</v>
      </c>
      <c r="AI104" s="4" t="s">
        <v>749</v>
      </c>
      <c r="AJ104" s="7" t="str">
        <f>VLOOKUP(D104,'slb RAW'!$E$2:$AF$293,9)</f>
        <v>#N/A N/A</v>
      </c>
      <c r="AK104" s="4">
        <f>VLOOKUP(D104,'slb RAW'!$E$2:$AE$293,27)</f>
        <v>3.7</v>
      </c>
      <c r="AL104" s="4">
        <f>VLOOKUP(C104,'Refinitiv SLB'!F104:S281,14)</f>
        <v>5.129</v>
      </c>
      <c r="AM104" s="4">
        <f t="shared" si="2"/>
        <v>3.7</v>
      </c>
      <c r="AN104" s="9" t="str">
        <f t="shared" si="3"/>
        <v>Picard Groupe SASCALLABLEFIXEDEURSecured</v>
      </c>
      <c r="AO104" s="7" t="b">
        <f>ISNUMBER( IFERROR(VLOOKUP(A104,Pairs!$E$2:$E$57,1,FALSE),FALSE))</f>
        <v>0</v>
      </c>
      <c r="AP104" s="7"/>
      <c r="AQ104" s="7"/>
    </row>
    <row r="105" ht="15.75" customHeight="1">
      <c r="A105" s="3">
        <v>171.0</v>
      </c>
      <c r="B105" s="4" t="s">
        <v>735</v>
      </c>
      <c r="C105" s="4" t="str">
        <f>VLOOKUP(D105,'slb RAW'!$E:$F,2)</f>
        <v>XS2361343697</v>
      </c>
      <c r="D105" s="4" t="s">
        <v>750</v>
      </c>
      <c r="E105" s="4" t="s">
        <v>751</v>
      </c>
      <c r="F105" s="4" t="s">
        <v>730</v>
      </c>
      <c r="G105" s="4" t="s">
        <v>170</v>
      </c>
      <c r="H105" s="4" t="s">
        <v>170</v>
      </c>
      <c r="I105" s="4" t="s">
        <v>185</v>
      </c>
      <c r="J105" s="4">
        <v>4.0</v>
      </c>
      <c r="K105" s="4" t="s">
        <v>731</v>
      </c>
      <c r="L105" s="4" t="s">
        <v>732</v>
      </c>
      <c r="M105" s="11">
        <v>3.81</v>
      </c>
      <c r="N105" s="4" t="s">
        <v>115</v>
      </c>
      <c r="O105" s="4" t="s">
        <v>116</v>
      </c>
      <c r="P105" s="4" t="s">
        <v>271</v>
      </c>
      <c r="Q105" s="4" t="s">
        <v>459</v>
      </c>
      <c r="R105" s="4" t="s">
        <v>53</v>
      </c>
      <c r="S105" s="4" t="s">
        <v>351</v>
      </c>
      <c r="T105" s="4" t="s">
        <v>55</v>
      </c>
      <c r="U105" s="4" t="s">
        <v>70</v>
      </c>
      <c r="V105" s="4" t="s">
        <v>392</v>
      </c>
      <c r="W105" s="4">
        <v>7.670195E8</v>
      </c>
      <c r="X105" s="4" t="s">
        <v>134</v>
      </c>
      <c r="Y105" s="4" t="s">
        <v>738</v>
      </c>
      <c r="Z105" s="4" t="s">
        <v>60</v>
      </c>
      <c r="AA105" s="4" t="s">
        <v>61</v>
      </c>
      <c r="AB105" s="4" t="s">
        <v>136</v>
      </c>
      <c r="AC105" s="4" t="s">
        <v>738</v>
      </c>
      <c r="AD105" s="3" t="s">
        <v>739</v>
      </c>
      <c r="AE105" s="7">
        <v>12.5</v>
      </c>
      <c r="AF105" s="12"/>
      <c r="AG105" s="4" t="str">
        <f t="shared" si="1"/>
        <v/>
      </c>
      <c r="AH105" s="8" t="s">
        <v>125</v>
      </c>
      <c r="AI105" s="4" t="s">
        <v>752</v>
      </c>
      <c r="AJ105" s="7" t="str">
        <f>VLOOKUP(D105,'slb RAW'!$E$2:$AF$293,9)</f>
        <v>#N/A N/A</v>
      </c>
      <c r="AK105" s="4">
        <f>VLOOKUP(D105,'slb RAW'!$E$2:$AE$293,27)</f>
        <v>3.745</v>
      </c>
      <c r="AL105" s="4">
        <f>VLOOKUP(C105,'Refinitiv SLB'!F105:S282,14)</f>
        <v>5.129</v>
      </c>
      <c r="AM105" s="4">
        <f t="shared" si="2"/>
        <v>3.745</v>
      </c>
      <c r="AN105" s="9" t="str">
        <f t="shared" si="3"/>
        <v>Lion/Polaris Lux 4 SACALLABLEFLOATINGEURSecured</v>
      </c>
      <c r="AO105" s="7" t="b">
        <f>ISNUMBER( IFERROR(VLOOKUP(A105,Pairs!$E$2:$E$57,1,FALSE),FALSE))</f>
        <v>0</v>
      </c>
      <c r="AP105" s="7"/>
      <c r="AQ105" s="7"/>
    </row>
    <row r="106" ht="15.75" customHeight="1">
      <c r="A106" s="3">
        <v>196.0</v>
      </c>
      <c r="B106" s="4" t="s">
        <v>741</v>
      </c>
      <c r="C106" s="4" t="str">
        <f>VLOOKUP(D106,'slb RAW'!$E:$F,2)</f>
        <v>XS2361344315</v>
      </c>
      <c r="D106" s="4" t="s">
        <v>753</v>
      </c>
      <c r="E106" s="4" t="s">
        <v>754</v>
      </c>
      <c r="F106" s="4" t="s">
        <v>730</v>
      </c>
      <c r="G106" s="4" t="s">
        <v>170</v>
      </c>
      <c r="H106" s="4" t="s">
        <v>170</v>
      </c>
      <c r="I106" s="4" t="s">
        <v>185</v>
      </c>
      <c r="J106" s="4">
        <v>5.375</v>
      </c>
      <c r="K106" s="4" t="s">
        <v>731</v>
      </c>
      <c r="L106" s="4" t="s">
        <v>744</v>
      </c>
      <c r="M106" s="11">
        <v>5.3221</v>
      </c>
      <c r="N106" s="4" t="s">
        <v>115</v>
      </c>
      <c r="O106" s="4" t="s">
        <v>116</v>
      </c>
      <c r="P106" s="4" t="s">
        <v>271</v>
      </c>
      <c r="Q106" s="4" t="s">
        <v>52</v>
      </c>
      <c r="R106" s="4" t="s">
        <v>53</v>
      </c>
      <c r="S106" s="4" t="s">
        <v>745</v>
      </c>
      <c r="T106" s="4" t="s">
        <v>55</v>
      </c>
      <c r="U106" s="4" t="s">
        <v>56</v>
      </c>
      <c r="V106" s="4" t="s">
        <v>71</v>
      </c>
      <c r="W106" s="4">
        <v>3.658093E8</v>
      </c>
      <c r="X106" s="4" t="s">
        <v>422</v>
      </c>
      <c r="Y106" s="4" t="s">
        <v>423</v>
      </c>
      <c r="Z106" s="4" t="s">
        <v>60</v>
      </c>
      <c r="AA106" s="4" t="s">
        <v>61</v>
      </c>
      <c r="AB106" s="4" t="s">
        <v>228</v>
      </c>
      <c r="AC106" s="4" t="s">
        <v>665</v>
      </c>
      <c r="AD106" s="3" t="s">
        <v>739</v>
      </c>
      <c r="AE106" s="8" t="s">
        <v>124</v>
      </c>
      <c r="AF106" s="12"/>
      <c r="AG106" s="4" t="str">
        <f t="shared" si="1"/>
        <v/>
      </c>
      <c r="AH106" s="8" t="s">
        <v>125</v>
      </c>
      <c r="AI106" s="4" t="s">
        <v>746</v>
      </c>
      <c r="AJ106" s="7" t="str">
        <f>VLOOKUP(D106,'slb RAW'!$E$2:$AF$293,9)</f>
        <v>#N/A N/A</v>
      </c>
      <c r="AK106" s="4">
        <f>VLOOKUP(D106,'slb RAW'!$E$2:$AE$293,27)</f>
        <v>5.329</v>
      </c>
      <c r="AL106" s="4">
        <f>VLOOKUP(C106,'Refinitiv SLB'!F106:S283,14)</f>
        <v>6.3234</v>
      </c>
      <c r="AM106" s="4">
        <f t="shared" si="2"/>
        <v>5.329</v>
      </c>
      <c r="AN106" s="9" t="str">
        <f t="shared" si="3"/>
        <v>Picard Bondco SACALLABLEFIXEDEURSr Unsecured</v>
      </c>
      <c r="AO106" s="7" t="b">
        <f>ISNUMBER( IFERROR(VLOOKUP(A106,Pairs!$E$2:$E$57,1,FALSE),FALSE))</f>
        <v>0</v>
      </c>
      <c r="AP106" s="7"/>
      <c r="AQ106" s="7"/>
    </row>
    <row r="107" ht="15.75" customHeight="1">
      <c r="A107" s="3">
        <v>243.0</v>
      </c>
      <c r="B107" s="4" t="s">
        <v>755</v>
      </c>
      <c r="C107" s="4" t="str">
        <f>VLOOKUP(D107,'slb RAW'!$E:$F,2)</f>
        <v>US86964WAK80</v>
      </c>
      <c r="D107" s="4" t="s">
        <v>756</v>
      </c>
      <c r="E107" s="4" t="s">
        <v>757</v>
      </c>
      <c r="F107" s="4" t="s">
        <v>758</v>
      </c>
      <c r="G107" s="4" t="s">
        <v>258</v>
      </c>
      <c r="H107" s="4" t="s">
        <v>258</v>
      </c>
      <c r="I107" s="4" t="s">
        <v>259</v>
      </c>
      <c r="J107" s="4">
        <v>3.125</v>
      </c>
      <c r="K107" s="4" t="s">
        <v>708</v>
      </c>
      <c r="L107" s="4" t="s">
        <v>663</v>
      </c>
      <c r="M107" s="4">
        <v>3.28</v>
      </c>
      <c r="N107" s="4" t="s">
        <v>115</v>
      </c>
      <c r="O107" s="4" t="s">
        <v>116</v>
      </c>
      <c r="P107" s="4" t="s">
        <v>759</v>
      </c>
      <c r="Q107" s="4" t="s">
        <v>52</v>
      </c>
      <c r="R107" s="4" t="s">
        <v>263</v>
      </c>
      <c r="S107" s="4" t="s">
        <v>497</v>
      </c>
      <c r="T107" s="4" t="s">
        <v>55</v>
      </c>
      <c r="U107" s="4" t="s">
        <v>56</v>
      </c>
      <c r="V107" s="4" t="s">
        <v>71</v>
      </c>
      <c r="W107" s="4">
        <v>1.0E9</v>
      </c>
      <c r="X107" s="4" t="s">
        <v>85</v>
      </c>
      <c r="Y107" s="4" t="s">
        <v>760</v>
      </c>
      <c r="Z107" s="4" t="s">
        <v>60</v>
      </c>
      <c r="AA107" s="4" t="s">
        <v>61</v>
      </c>
      <c r="AB107" s="4" t="s">
        <v>87</v>
      </c>
      <c r="AC107" s="4" t="s">
        <v>266</v>
      </c>
      <c r="AD107" s="3" t="s">
        <v>761</v>
      </c>
      <c r="AE107" s="7">
        <v>12.5</v>
      </c>
      <c r="AF107" s="12"/>
      <c r="AG107" s="4" t="str">
        <f t="shared" si="1"/>
        <v/>
      </c>
      <c r="AH107" s="8" t="s">
        <v>612</v>
      </c>
      <c r="AI107" s="4" t="s">
        <v>762</v>
      </c>
      <c r="AJ107" s="7">
        <f>VLOOKUP(D107,'slb RAW'!$E$2:$AF$293,9)</f>
        <v>3.28</v>
      </c>
      <c r="AK107" s="4">
        <f>VLOOKUP(D107,'slb RAW'!$E$2:$AE$293,27)</f>
        <v>3.233</v>
      </c>
      <c r="AL107" s="4" t="str">
        <f>VLOOKUP(C107,'Refinitiv SLB'!F107:S284,14)</f>
        <v>#N/A</v>
      </c>
      <c r="AM107" s="4">
        <f t="shared" si="2"/>
        <v>3.233</v>
      </c>
      <c r="AN107" s="9" t="str">
        <f t="shared" si="3"/>
        <v>Suzano Austria GmbHCALLABLEFIXEDUSDSr Unsecured</v>
      </c>
      <c r="AO107" s="7" t="b">
        <f>ISNUMBER( IFERROR(VLOOKUP(A107,Pairs!$E$2:$E$57,1,FALSE),FALSE))</f>
        <v>1</v>
      </c>
      <c r="AP107" s="7"/>
      <c r="AQ107" s="7"/>
    </row>
    <row r="108" ht="15.75" customHeight="1">
      <c r="A108" s="3">
        <v>223.0</v>
      </c>
      <c r="B108" s="4" t="s">
        <v>763</v>
      </c>
      <c r="C108" s="4" t="str">
        <f>VLOOKUP(D108,'slb RAW'!$E:$F,2)</f>
        <v>XS2361358299</v>
      </c>
      <c r="D108" s="4" t="s">
        <v>764</v>
      </c>
      <c r="E108" s="4" t="s">
        <v>765</v>
      </c>
      <c r="F108" s="4" t="s">
        <v>766</v>
      </c>
      <c r="G108" s="4" t="s">
        <v>170</v>
      </c>
      <c r="H108" s="4" t="s">
        <v>170</v>
      </c>
      <c r="I108" s="4" t="s">
        <v>223</v>
      </c>
      <c r="J108" s="4">
        <v>0.375</v>
      </c>
      <c r="K108" s="4" t="s">
        <v>629</v>
      </c>
      <c r="L108" s="4" t="s">
        <v>767</v>
      </c>
      <c r="M108" s="11">
        <v>0.3793</v>
      </c>
      <c r="N108" s="4" t="s">
        <v>115</v>
      </c>
      <c r="O108" s="4" t="s">
        <v>116</v>
      </c>
      <c r="P108" s="4" t="s">
        <v>226</v>
      </c>
      <c r="Q108" s="4" t="s">
        <v>52</v>
      </c>
      <c r="R108" s="4" t="s">
        <v>53</v>
      </c>
      <c r="S108" s="4" t="s">
        <v>175</v>
      </c>
      <c r="T108" s="4" t="s">
        <v>55</v>
      </c>
      <c r="U108" s="4" t="s">
        <v>56</v>
      </c>
      <c r="V108" s="4" t="s">
        <v>57</v>
      </c>
      <c r="W108" s="4">
        <v>7.679555E8</v>
      </c>
      <c r="X108" s="4" t="s">
        <v>214</v>
      </c>
      <c r="Y108" s="4" t="s">
        <v>621</v>
      </c>
      <c r="Z108" s="4" t="s">
        <v>60</v>
      </c>
      <c r="AA108" s="4" t="s">
        <v>61</v>
      </c>
      <c r="AB108" s="4" t="s">
        <v>214</v>
      </c>
      <c r="AC108" s="4" t="s">
        <v>622</v>
      </c>
      <c r="AD108" s="3" t="s">
        <v>768</v>
      </c>
      <c r="AE108" s="7">
        <v>25.0</v>
      </c>
      <c r="AF108" s="12"/>
      <c r="AG108" s="4" t="str">
        <f t="shared" si="1"/>
        <v/>
      </c>
      <c r="AH108" s="8" t="s">
        <v>125</v>
      </c>
      <c r="AI108" s="4" t="s">
        <v>769</v>
      </c>
      <c r="AJ108" s="7" t="str">
        <f>VLOOKUP(D108,'slb RAW'!$E$2:$AF$293,9)</f>
        <v>#N/A N/A</v>
      </c>
      <c r="AK108" s="4">
        <f>VLOOKUP(D108,'slb RAW'!$E$2:$AE$293,27)</f>
        <v>0.353</v>
      </c>
      <c r="AL108" s="4">
        <f>VLOOKUP(C108,'Refinitiv SLB'!F108:S285,14)</f>
        <v>4.231</v>
      </c>
      <c r="AM108" s="4">
        <f t="shared" si="2"/>
        <v>0.353</v>
      </c>
      <c r="AN108" s="9" t="str">
        <f t="shared" si="3"/>
        <v>Repsol Europe Finance SarlCALLABLEFIXEDEURSr Unsecured</v>
      </c>
      <c r="AO108" s="7" t="b">
        <f>ISNUMBER( IFERROR(VLOOKUP(A108,Pairs!$E$2:$E$57,1,FALSE),FALSE))</f>
        <v>0</v>
      </c>
      <c r="AP108" s="7"/>
      <c r="AQ108" s="7"/>
    </row>
    <row r="109" ht="15.75" customHeight="1">
      <c r="A109" s="3">
        <v>222.0</v>
      </c>
      <c r="B109" s="4" t="s">
        <v>763</v>
      </c>
      <c r="C109" s="4" t="str">
        <f>VLOOKUP(D109,'slb RAW'!$E:$F,2)</f>
        <v>XS2361358539</v>
      </c>
      <c r="D109" s="4" t="s">
        <v>770</v>
      </c>
      <c r="E109" s="4" t="s">
        <v>771</v>
      </c>
      <c r="F109" s="4" t="s">
        <v>766</v>
      </c>
      <c r="G109" s="4" t="s">
        <v>170</v>
      </c>
      <c r="H109" s="4" t="s">
        <v>170</v>
      </c>
      <c r="I109" s="4" t="s">
        <v>223</v>
      </c>
      <c r="J109" s="4">
        <v>0.875</v>
      </c>
      <c r="K109" s="4" t="s">
        <v>629</v>
      </c>
      <c r="L109" s="4" t="s">
        <v>772</v>
      </c>
      <c r="M109" s="11">
        <v>0.8014</v>
      </c>
      <c r="N109" s="4" t="s">
        <v>115</v>
      </c>
      <c r="O109" s="4" t="s">
        <v>116</v>
      </c>
      <c r="P109" s="4" t="s">
        <v>226</v>
      </c>
      <c r="Q109" s="4" t="s">
        <v>52</v>
      </c>
      <c r="R109" s="4" t="s">
        <v>53</v>
      </c>
      <c r="S109" s="4" t="s">
        <v>175</v>
      </c>
      <c r="T109" s="4" t="s">
        <v>55</v>
      </c>
      <c r="U109" s="4" t="s">
        <v>56</v>
      </c>
      <c r="V109" s="4" t="s">
        <v>57</v>
      </c>
      <c r="W109" s="4">
        <v>7.08882E8</v>
      </c>
      <c r="X109" s="4" t="s">
        <v>214</v>
      </c>
      <c r="Y109" s="4" t="s">
        <v>621</v>
      </c>
      <c r="Z109" s="4" t="s">
        <v>60</v>
      </c>
      <c r="AA109" s="4" t="s">
        <v>61</v>
      </c>
      <c r="AB109" s="4" t="s">
        <v>214</v>
      </c>
      <c r="AC109" s="4" t="s">
        <v>622</v>
      </c>
      <c r="AD109" s="3" t="s">
        <v>773</v>
      </c>
      <c r="AE109" s="7">
        <v>37.5</v>
      </c>
      <c r="AF109" s="12"/>
      <c r="AG109" s="4" t="str">
        <f t="shared" si="1"/>
        <v/>
      </c>
      <c r="AH109" s="8" t="s">
        <v>125</v>
      </c>
      <c r="AI109" s="4" t="s">
        <v>774</v>
      </c>
      <c r="AJ109" s="7" t="str">
        <f>VLOOKUP(D109,'slb RAW'!$E$2:$AF$293,9)</f>
        <v>#N/A N/A</v>
      </c>
      <c r="AK109" s="4">
        <f>VLOOKUP(D109,'slb RAW'!$E$2:$AE$293,27)</f>
        <v>0.787</v>
      </c>
      <c r="AL109" s="4">
        <f>VLOOKUP(C109,'Refinitiv SLB'!F109:S286,14)</f>
        <v>4.231</v>
      </c>
      <c r="AM109" s="4">
        <f t="shared" si="2"/>
        <v>0.787</v>
      </c>
      <c r="AN109" s="9" t="str">
        <f t="shared" si="3"/>
        <v>Repsol Europe Finance SarlCALLABLEFIXEDEURSr Unsecured</v>
      </c>
      <c r="AO109" s="7" t="b">
        <f>ISNUMBER( IFERROR(VLOOKUP(A109,Pairs!$E$2:$E$57,1,FALSE),FALSE))</f>
        <v>0</v>
      </c>
      <c r="AP109" s="7"/>
      <c r="AQ109" s="7"/>
    </row>
    <row r="110" ht="15.75" customHeight="1">
      <c r="A110" s="3">
        <v>1.0</v>
      </c>
      <c r="B110" s="4" t="s">
        <v>775</v>
      </c>
      <c r="C110" s="4" t="str">
        <f>VLOOKUP(D110,'slb RAW'!$E:$F,2)</f>
        <v>XS2364001078</v>
      </c>
      <c r="D110" s="4" t="s">
        <v>776</v>
      </c>
      <c r="E110" s="4" t="s">
        <v>777</v>
      </c>
      <c r="F110" s="4" t="s">
        <v>778</v>
      </c>
      <c r="G110" s="4" t="s">
        <v>200</v>
      </c>
      <c r="H110" s="4" t="s">
        <v>200</v>
      </c>
      <c r="I110" s="4" t="s">
        <v>200</v>
      </c>
      <c r="J110" s="4">
        <v>0.625</v>
      </c>
      <c r="K110" s="4" t="s">
        <v>779</v>
      </c>
      <c r="L110" s="4" t="s">
        <v>571</v>
      </c>
      <c r="M110" s="18">
        <v>0.621</v>
      </c>
      <c r="N110" s="4" t="s">
        <v>115</v>
      </c>
      <c r="O110" s="4" t="s">
        <v>116</v>
      </c>
      <c r="P110" s="4" t="s">
        <v>226</v>
      </c>
      <c r="Q110" s="4" t="s">
        <v>52</v>
      </c>
      <c r="R110" s="4" t="s">
        <v>53</v>
      </c>
      <c r="S110" s="4" t="s">
        <v>175</v>
      </c>
      <c r="T110" s="4" t="s">
        <v>55</v>
      </c>
      <c r="U110" s="4" t="s">
        <v>56</v>
      </c>
      <c r="V110" s="4" t="s">
        <v>57</v>
      </c>
      <c r="W110" s="4">
        <v>5.90145E8</v>
      </c>
      <c r="X110" s="4" t="s">
        <v>120</v>
      </c>
      <c r="Y110" s="4" t="s">
        <v>238</v>
      </c>
      <c r="Z110" s="4" t="s">
        <v>203</v>
      </c>
      <c r="AA110" s="4" t="s">
        <v>204</v>
      </c>
      <c r="AB110" s="4" t="s">
        <v>204</v>
      </c>
      <c r="AC110" s="4" t="s">
        <v>204</v>
      </c>
      <c r="AD110" s="4" t="s">
        <v>780</v>
      </c>
      <c r="AE110" s="7">
        <v>25.0</v>
      </c>
      <c r="AF110" s="12"/>
      <c r="AG110" s="4" t="str">
        <f t="shared" si="1"/>
        <v/>
      </c>
      <c r="AH110" s="8" t="s">
        <v>125</v>
      </c>
      <c r="AI110" s="4" t="s">
        <v>781</v>
      </c>
      <c r="AJ110" s="7" t="str">
        <f>VLOOKUP(D110,'slb RAW'!$E$2:$AF$293,9)</f>
        <v>#N/A N/A</v>
      </c>
      <c r="AK110" s="4">
        <f>VLOOKUP(D110,'slb RAW'!$E$2:$AE$293,27)</f>
        <v>0.553</v>
      </c>
      <c r="AL110" s="4">
        <f>VLOOKUP(C110,'Refinitiv SLB'!F110:S287,14)</f>
        <v>4.231</v>
      </c>
      <c r="AM110" s="4">
        <f t="shared" si="2"/>
        <v>0.553</v>
      </c>
      <c r="AN110" s="9" t="str">
        <f t="shared" si="3"/>
        <v>A2A SpACALLABLEFIXEDEURSr Unsecured</v>
      </c>
      <c r="AO110" s="7" t="b">
        <f>ISNUMBER( IFERROR(VLOOKUP(A110,Pairs!$E$2:$E$57,1,FALSE),FALSE))</f>
        <v>1</v>
      </c>
      <c r="AP110" s="7"/>
      <c r="AQ110" s="7"/>
    </row>
    <row r="111" ht="15.75" customHeight="1">
      <c r="A111" s="3">
        <v>80.0</v>
      </c>
      <c r="B111" s="4" t="s">
        <v>642</v>
      </c>
      <c r="C111" s="4" t="str">
        <f>VLOOKUP(D111,'slb RAW'!$E:$F,2)</f>
        <v>US29278GAM06</v>
      </c>
      <c r="D111" s="4" t="s">
        <v>782</v>
      </c>
      <c r="E111" s="4" t="s">
        <v>783</v>
      </c>
      <c r="F111" s="4" t="s">
        <v>645</v>
      </c>
      <c r="G111" s="4" t="s">
        <v>367</v>
      </c>
      <c r="H111" s="4" t="s">
        <v>367</v>
      </c>
      <c r="I111" s="4" t="s">
        <v>200</v>
      </c>
      <c r="J111" s="4">
        <v>1.375</v>
      </c>
      <c r="K111" s="4" t="s">
        <v>784</v>
      </c>
      <c r="L111" s="4" t="s">
        <v>785</v>
      </c>
      <c r="M111" s="4">
        <v>1.4769999999999999</v>
      </c>
      <c r="N111" s="4" t="s">
        <v>115</v>
      </c>
      <c r="O111" s="4" t="s">
        <v>116</v>
      </c>
      <c r="P111" s="4" t="s">
        <v>262</v>
      </c>
      <c r="Q111" s="4" t="s">
        <v>52</v>
      </c>
      <c r="R111" s="4" t="s">
        <v>263</v>
      </c>
      <c r="S111" s="4" t="s">
        <v>620</v>
      </c>
      <c r="T111" s="4" t="s">
        <v>55</v>
      </c>
      <c r="U111" s="4" t="s">
        <v>56</v>
      </c>
      <c r="V111" s="4" t="s">
        <v>71</v>
      </c>
      <c r="W111" s="4">
        <v>1.25E9</v>
      </c>
      <c r="X111" s="4" t="s">
        <v>120</v>
      </c>
      <c r="Y111" s="4" t="s">
        <v>120</v>
      </c>
      <c r="Z111" s="4" t="s">
        <v>60</v>
      </c>
      <c r="AA111" s="4" t="s">
        <v>121</v>
      </c>
      <c r="AB111" s="4" t="s">
        <v>122</v>
      </c>
      <c r="AC111" s="4" t="s">
        <v>122</v>
      </c>
      <c r="AD111" s="3" t="s">
        <v>786</v>
      </c>
      <c r="AE111" s="7">
        <v>25.0</v>
      </c>
      <c r="AF111" s="12"/>
      <c r="AG111" s="4" t="str">
        <f t="shared" si="1"/>
        <v/>
      </c>
      <c r="AH111" s="8" t="s">
        <v>125</v>
      </c>
      <c r="AI111" s="4" t="s">
        <v>787</v>
      </c>
      <c r="AJ111" s="7">
        <f>VLOOKUP(D111,'slb RAW'!$E$2:$AF$293,9)</f>
        <v>1.477</v>
      </c>
      <c r="AK111" s="4">
        <f>VLOOKUP(D111,'slb RAW'!$E$2:$AE$293,27)</f>
        <v>1.406</v>
      </c>
      <c r="AL111" s="4">
        <f>VLOOKUP(C111,'Refinitiv SLB'!F111:S288,14)</f>
        <v>6.3234</v>
      </c>
      <c r="AM111" s="4">
        <f t="shared" si="2"/>
        <v>1.406</v>
      </c>
      <c r="AN111" s="9" t="str">
        <f t="shared" si="3"/>
        <v>Enel Finance International NVCALLABLEFIXEDUSDSr Unsecured</v>
      </c>
      <c r="AO111" s="7" t="b">
        <f>ISNUMBER( IFERROR(VLOOKUP(A111,Pairs!$E$2:$E$57,1,FALSE),FALSE))</f>
        <v>0</v>
      </c>
      <c r="AP111" s="7"/>
      <c r="AQ111" s="7"/>
    </row>
    <row r="112" ht="15.75" customHeight="1">
      <c r="A112" s="3">
        <v>82.0</v>
      </c>
      <c r="B112" s="4" t="s">
        <v>642</v>
      </c>
      <c r="C112" s="4" t="str">
        <f>VLOOKUP(D112,'slb RAW'!$E:$F,2)</f>
        <v>US29278GAN88</v>
      </c>
      <c r="D112" s="4" t="s">
        <v>788</v>
      </c>
      <c r="E112" s="4" t="s">
        <v>789</v>
      </c>
      <c r="F112" s="4" t="s">
        <v>645</v>
      </c>
      <c r="G112" s="4" t="s">
        <v>367</v>
      </c>
      <c r="H112" s="4" t="s">
        <v>367</v>
      </c>
      <c r="I112" s="4" t="s">
        <v>200</v>
      </c>
      <c r="J112" s="4">
        <v>1.875</v>
      </c>
      <c r="K112" s="4" t="s">
        <v>784</v>
      </c>
      <c r="L112" s="4" t="s">
        <v>790</v>
      </c>
      <c r="M112" s="4">
        <v>1.937</v>
      </c>
      <c r="N112" s="4" t="s">
        <v>115</v>
      </c>
      <c r="O112" s="4" t="s">
        <v>116</v>
      </c>
      <c r="P112" s="4" t="s">
        <v>262</v>
      </c>
      <c r="Q112" s="4" t="s">
        <v>52</v>
      </c>
      <c r="R112" s="4" t="s">
        <v>263</v>
      </c>
      <c r="S112" s="4" t="s">
        <v>620</v>
      </c>
      <c r="T112" s="4" t="s">
        <v>55</v>
      </c>
      <c r="U112" s="4" t="s">
        <v>56</v>
      </c>
      <c r="V112" s="4" t="s">
        <v>71</v>
      </c>
      <c r="W112" s="4">
        <v>1.0E9</v>
      </c>
      <c r="X112" s="4" t="s">
        <v>120</v>
      </c>
      <c r="Y112" s="4" t="s">
        <v>120</v>
      </c>
      <c r="Z112" s="4" t="s">
        <v>60</v>
      </c>
      <c r="AA112" s="4" t="s">
        <v>121</v>
      </c>
      <c r="AB112" s="4" t="s">
        <v>122</v>
      </c>
      <c r="AC112" s="4" t="s">
        <v>122</v>
      </c>
      <c r="AD112" s="3" t="s">
        <v>791</v>
      </c>
      <c r="AE112" s="7">
        <v>25.0</v>
      </c>
      <c r="AF112" s="12"/>
      <c r="AG112" s="4" t="str">
        <f t="shared" si="1"/>
        <v/>
      </c>
      <c r="AH112" s="8" t="s">
        <v>125</v>
      </c>
      <c r="AI112" s="4" t="s">
        <v>787</v>
      </c>
      <c r="AJ112" s="7">
        <f>VLOOKUP(D112,'slb RAW'!$E$2:$AF$293,9)</f>
        <v>1.937</v>
      </c>
      <c r="AK112" s="4">
        <f>VLOOKUP(D112,'slb RAW'!$E$2:$AE$293,27)</f>
        <v>1.892</v>
      </c>
      <c r="AL112" s="4">
        <f>VLOOKUP(C112,'Refinitiv SLB'!F112:S289,14)</f>
        <v>1.762</v>
      </c>
      <c r="AM112" s="4">
        <f t="shared" si="2"/>
        <v>1.892</v>
      </c>
      <c r="AN112" s="9" t="str">
        <f t="shared" si="3"/>
        <v>Enel Finance International NVCALLABLEFIXEDUSDSr Unsecured</v>
      </c>
      <c r="AO112" s="7" t="b">
        <f>ISNUMBER( IFERROR(VLOOKUP(A112,Pairs!$E$2:$E$57,1,FALSE),FALSE))</f>
        <v>0</v>
      </c>
      <c r="AP112" s="7"/>
      <c r="AQ112" s="7"/>
    </row>
    <row r="113" ht="15.75" customHeight="1">
      <c r="A113" s="3">
        <v>86.0</v>
      </c>
      <c r="B113" s="4" t="s">
        <v>642</v>
      </c>
      <c r="C113" s="4" t="str">
        <f>VLOOKUP(D113,'slb RAW'!$E:$F,2)</f>
        <v>US29278GAP37</v>
      </c>
      <c r="D113" s="4" t="s">
        <v>792</v>
      </c>
      <c r="E113" s="4" t="s">
        <v>793</v>
      </c>
      <c r="F113" s="4" t="s">
        <v>645</v>
      </c>
      <c r="G113" s="4" t="s">
        <v>367</v>
      </c>
      <c r="H113" s="4" t="s">
        <v>367</v>
      </c>
      <c r="I113" s="4" t="s">
        <v>200</v>
      </c>
      <c r="J113" s="4">
        <v>2.25</v>
      </c>
      <c r="K113" s="4" t="s">
        <v>784</v>
      </c>
      <c r="L113" s="4" t="s">
        <v>794</v>
      </c>
      <c r="M113" s="4">
        <v>2.32</v>
      </c>
      <c r="N113" s="4" t="s">
        <v>115</v>
      </c>
      <c r="O113" s="4" t="s">
        <v>116</v>
      </c>
      <c r="P113" s="4" t="s">
        <v>262</v>
      </c>
      <c r="Q113" s="4" t="s">
        <v>52</v>
      </c>
      <c r="R113" s="4" t="s">
        <v>263</v>
      </c>
      <c r="S113" s="4" t="s">
        <v>620</v>
      </c>
      <c r="T113" s="4" t="s">
        <v>55</v>
      </c>
      <c r="U113" s="4" t="s">
        <v>56</v>
      </c>
      <c r="V113" s="4" t="s">
        <v>71</v>
      </c>
      <c r="W113" s="4">
        <v>1.0E9</v>
      </c>
      <c r="X113" s="4" t="s">
        <v>120</v>
      </c>
      <c r="Y113" s="4" t="s">
        <v>120</v>
      </c>
      <c r="Z113" s="4" t="s">
        <v>60</v>
      </c>
      <c r="AA113" s="4" t="s">
        <v>121</v>
      </c>
      <c r="AB113" s="4" t="s">
        <v>122</v>
      </c>
      <c r="AC113" s="4" t="s">
        <v>122</v>
      </c>
      <c r="AD113" s="3" t="s">
        <v>791</v>
      </c>
      <c r="AE113" s="7">
        <v>25.0</v>
      </c>
      <c r="AF113" s="12"/>
      <c r="AG113" s="4" t="str">
        <f t="shared" si="1"/>
        <v/>
      </c>
      <c r="AH113" s="8" t="s">
        <v>125</v>
      </c>
      <c r="AI113" s="4" t="s">
        <v>787</v>
      </c>
      <c r="AJ113" s="7">
        <f>VLOOKUP(D113,'slb RAW'!$E$2:$AF$293,9)</f>
        <v>2.32</v>
      </c>
      <c r="AK113" s="4">
        <f>VLOOKUP(D113,'slb RAW'!$E$2:$AE$293,27)</f>
        <v>2.295</v>
      </c>
      <c r="AL113" s="4">
        <f>VLOOKUP(C113,'Refinitiv SLB'!F113:S290,14)</f>
        <v>1.762</v>
      </c>
      <c r="AM113" s="4">
        <f t="shared" si="2"/>
        <v>2.295</v>
      </c>
      <c r="AN113" s="9" t="str">
        <f t="shared" si="3"/>
        <v>Enel Finance International NVCALLABLEFIXEDUSDSr Unsecured</v>
      </c>
      <c r="AO113" s="7" t="b">
        <f>ISNUMBER( IFERROR(VLOOKUP(A113,Pairs!$E$2:$E$57,1,FALSE),FALSE))</f>
        <v>0</v>
      </c>
      <c r="AP113" s="7"/>
      <c r="AQ113" s="7"/>
    </row>
    <row r="114" ht="15.75" customHeight="1">
      <c r="A114" s="3">
        <v>81.0</v>
      </c>
      <c r="B114" s="4" t="s">
        <v>642</v>
      </c>
      <c r="C114" s="4" t="str">
        <f>VLOOKUP(D114,'slb RAW'!$E:$F,2)</f>
        <v>US29278GAQ10</v>
      </c>
      <c r="D114" s="4" t="s">
        <v>795</v>
      </c>
      <c r="E114" s="4" t="s">
        <v>796</v>
      </c>
      <c r="F114" s="4" t="s">
        <v>645</v>
      </c>
      <c r="G114" s="4" t="s">
        <v>367</v>
      </c>
      <c r="H114" s="4" t="s">
        <v>367</v>
      </c>
      <c r="I114" s="4" t="s">
        <v>200</v>
      </c>
      <c r="J114" s="4">
        <v>2.875</v>
      </c>
      <c r="K114" s="4" t="s">
        <v>784</v>
      </c>
      <c r="L114" s="4" t="s">
        <v>797</v>
      </c>
      <c r="M114" s="4">
        <v>2.957</v>
      </c>
      <c r="N114" s="4" t="s">
        <v>115</v>
      </c>
      <c r="O114" s="4" t="s">
        <v>116</v>
      </c>
      <c r="P114" s="4" t="s">
        <v>262</v>
      </c>
      <c r="Q114" s="4" t="s">
        <v>52</v>
      </c>
      <c r="R114" s="4" t="s">
        <v>263</v>
      </c>
      <c r="S114" s="4" t="s">
        <v>620</v>
      </c>
      <c r="T114" s="4" t="s">
        <v>55</v>
      </c>
      <c r="U114" s="4" t="s">
        <v>56</v>
      </c>
      <c r="V114" s="4" t="s">
        <v>71</v>
      </c>
      <c r="W114" s="4">
        <v>7.5E8</v>
      </c>
      <c r="X114" s="4" t="s">
        <v>120</v>
      </c>
      <c r="Y114" s="4" t="s">
        <v>120</v>
      </c>
      <c r="Z114" s="4" t="s">
        <v>60</v>
      </c>
      <c r="AA114" s="4" t="s">
        <v>121</v>
      </c>
      <c r="AB114" s="4" t="s">
        <v>122</v>
      </c>
      <c r="AC114" s="4" t="s">
        <v>122</v>
      </c>
      <c r="AD114" s="3" t="s">
        <v>798</v>
      </c>
      <c r="AE114" s="7">
        <v>25.0</v>
      </c>
      <c r="AF114" s="12"/>
      <c r="AG114" s="4" t="str">
        <f t="shared" si="1"/>
        <v/>
      </c>
      <c r="AH114" s="8" t="s">
        <v>125</v>
      </c>
      <c r="AI114" s="4" t="s">
        <v>787</v>
      </c>
      <c r="AJ114" s="7">
        <f>VLOOKUP(D114,'slb RAW'!$E$2:$AF$293,9)</f>
        <v>2.957</v>
      </c>
      <c r="AK114" s="4">
        <f>VLOOKUP(D114,'slb RAW'!$E$2:$AE$293,27)</f>
        <v>3.003</v>
      </c>
      <c r="AL114" s="4" t="str">
        <f>VLOOKUP(C114,'Refinitiv SLB'!F114:S291,14)</f>
        <v>#N/A</v>
      </c>
      <c r="AM114" s="4">
        <f t="shared" si="2"/>
        <v>3.003</v>
      </c>
      <c r="AN114" s="9" t="str">
        <f t="shared" si="3"/>
        <v>Enel Finance International NVCALLABLEFIXEDUSDSr Unsecured</v>
      </c>
      <c r="AO114" s="7" t="b">
        <f>ISNUMBER( IFERROR(VLOOKUP(A114,Pairs!$E$2:$E$57,1,FALSE),FALSE))</f>
        <v>0</v>
      </c>
      <c r="AP114" s="7"/>
      <c r="AQ114" s="7"/>
    </row>
    <row r="115" ht="15.75" customHeight="1">
      <c r="A115" s="3">
        <v>87.0</v>
      </c>
      <c r="B115" s="4" t="s">
        <v>642</v>
      </c>
      <c r="C115" s="4" t="str">
        <f>VLOOKUP(D115,'slb RAW'!$E:$F,2)</f>
        <v>USN30706VC11</v>
      </c>
      <c r="D115" s="4" t="s">
        <v>799</v>
      </c>
      <c r="E115" s="4" t="s">
        <v>800</v>
      </c>
      <c r="F115" s="4" t="s">
        <v>645</v>
      </c>
      <c r="G115" s="4" t="s">
        <v>367</v>
      </c>
      <c r="H115" s="4" t="s">
        <v>367</v>
      </c>
      <c r="I115" s="4" t="s">
        <v>200</v>
      </c>
      <c r="J115" s="4">
        <v>1.375</v>
      </c>
      <c r="K115" s="4" t="s">
        <v>784</v>
      </c>
      <c r="L115" s="4" t="s">
        <v>785</v>
      </c>
      <c r="M115" s="4">
        <v>1.4769999999999999</v>
      </c>
      <c r="N115" s="4" t="s">
        <v>115</v>
      </c>
      <c r="O115" s="4" t="s">
        <v>116</v>
      </c>
      <c r="P115" s="4" t="s">
        <v>271</v>
      </c>
      <c r="Q115" s="4" t="s">
        <v>52</v>
      </c>
      <c r="R115" s="4" t="s">
        <v>263</v>
      </c>
      <c r="S115" s="4" t="s">
        <v>620</v>
      </c>
      <c r="T115" s="4" t="s">
        <v>55</v>
      </c>
      <c r="U115" s="4" t="s">
        <v>56</v>
      </c>
      <c r="V115" s="4" t="s">
        <v>71</v>
      </c>
      <c r="W115" s="4">
        <v>1.25E9</v>
      </c>
      <c r="X115" s="4" t="s">
        <v>120</v>
      </c>
      <c r="Y115" s="4" t="s">
        <v>120</v>
      </c>
      <c r="Z115" s="4" t="s">
        <v>60</v>
      </c>
      <c r="AA115" s="4" t="s">
        <v>121</v>
      </c>
      <c r="AB115" s="4" t="s">
        <v>122</v>
      </c>
      <c r="AC115" s="4" t="s">
        <v>122</v>
      </c>
      <c r="AD115" s="3" t="s">
        <v>791</v>
      </c>
      <c r="AE115" s="7">
        <v>25.0</v>
      </c>
      <c r="AF115" s="12"/>
      <c r="AG115" s="4" t="str">
        <f t="shared" si="1"/>
        <v/>
      </c>
      <c r="AH115" s="8" t="s">
        <v>125</v>
      </c>
      <c r="AI115" s="4" t="s">
        <v>801</v>
      </c>
      <c r="AJ115" s="7">
        <f>VLOOKUP(D115,'slb RAW'!$E$2:$AF$293,9)</f>
        <v>1.477</v>
      </c>
      <c r="AK115" s="4">
        <f>VLOOKUP(D115,'slb RAW'!$E$2:$AE$293,27)</f>
        <v>1.387</v>
      </c>
      <c r="AL115" s="4" t="str">
        <f>VLOOKUP(C115,'Refinitiv SLB'!F115:S292,14)</f>
        <v>#N/A</v>
      </c>
      <c r="AM115" s="4">
        <f t="shared" si="2"/>
        <v>1.387</v>
      </c>
      <c r="AN115" s="9" t="str">
        <f t="shared" si="3"/>
        <v>Enel Finance International NVCALLABLEFIXEDUSDSr Unsecured</v>
      </c>
      <c r="AO115" s="7" t="b">
        <f>ISNUMBER( IFERROR(VLOOKUP(A115,Pairs!$E$2:$E$57,1,FALSE),FALSE))</f>
        <v>0</v>
      </c>
      <c r="AP115" s="7"/>
      <c r="AQ115" s="7"/>
    </row>
    <row r="116" ht="15.75" customHeight="1">
      <c r="A116" s="3">
        <v>83.0</v>
      </c>
      <c r="B116" s="4" t="s">
        <v>642</v>
      </c>
      <c r="C116" s="4" t="str">
        <f>VLOOKUP(D116,'slb RAW'!$E:$F,2)</f>
        <v>USN30706VD93</v>
      </c>
      <c r="D116" s="4" t="s">
        <v>802</v>
      </c>
      <c r="E116" s="4" t="s">
        <v>803</v>
      </c>
      <c r="F116" s="4" t="s">
        <v>645</v>
      </c>
      <c r="G116" s="4" t="s">
        <v>367</v>
      </c>
      <c r="H116" s="4" t="s">
        <v>367</v>
      </c>
      <c r="I116" s="4" t="s">
        <v>200</v>
      </c>
      <c r="J116" s="4">
        <v>1.875</v>
      </c>
      <c r="K116" s="4" t="s">
        <v>784</v>
      </c>
      <c r="L116" s="4" t="s">
        <v>790</v>
      </c>
      <c r="M116" s="4">
        <v>1.937</v>
      </c>
      <c r="N116" s="4" t="s">
        <v>115</v>
      </c>
      <c r="O116" s="4" t="s">
        <v>116</v>
      </c>
      <c r="P116" s="4" t="s">
        <v>271</v>
      </c>
      <c r="Q116" s="4" t="s">
        <v>52</v>
      </c>
      <c r="R116" s="4" t="s">
        <v>263</v>
      </c>
      <c r="S116" s="4" t="s">
        <v>620</v>
      </c>
      <c r="T116" s="4" t="s">
        <v>55</v>
      </c>
      <c r="U116" s="4" t="s">
        <v>56</v>
      </c>
      <c r="V116" s="4" t="s">
        <v>71</v>
      </c>
      <c r="W116" s="4">
        <v>1.0E9</v>
      </c>
      <c r="X116" s="4" t="s">
        <v>120</v>
      </c>
      <c r="Y116" s="4" t="s">
        <v>120</v>
      </c>
      <c r="Z116" s="4" t="s">
        <v>60</v>
      </c>
      <c r="AA116" s="4" t="s">
        <v>121</v>
      </c>
      <c r="AB116" s="4" t="s">
        <v>122</v>
      </c>
      <c r="AC116" s="4" t="s">
        <v>122</v>
      </c>
      <c r="AD116" s="3" t="s">
        <v>791</v>
      </c>
      <c r="AE116" s="7">
        <v>25.0</v>
      </c>
      <c r="AF116" s="12"/>
      <c r="AG116" s="4" t="str">
        <f t="shared" si="1"/>
        <v/>
      </c>
      <c r="AH116" s="8" t="s">
        <v>125</v>
      </c>
      <c r="AI116" s="4" t="s">
        <v>801</v>
      </c>
      <c r="AJ116" s="7">
        <f>VLOOKUP(D116,'slb RAW'!$E$2:$AF$293,9)</f>
        <v>1.937</v>
      </c>
      <c r="AK116" s="4">
        <f>VLOOKUP(D116,'slb RAW'!$E$2:$AE$293,27)</f>
        <v>1.889</v>
      </c>
      <c r="AL116" s="4">
        <f>VLOOKUP(C116,'Refinitiv SLB'!F116:S293,14)</f>
        <v>5.1293</v>
      </c>
      <c r="AM116" s="4">
        <f t="shared" si="2"/>
        <v>1.889</v>
      </c>
      <c r="AN116" s="9" t="str">
        <f t="shared" si="3"/>
        <v>Enel Finance International NVCALLABLEFIXEDUSDSr Unsecured</v>
      </c>
      <c r="AO116" s="7" t="b">
        <f>ISNUMBER( IFERROR(VLOOKUP(A116,Pairs!$E$2:$E$57,1,FALSE),FALSE))</f>
        <v>0</v>
      </c>
      <c r="AP116" s="7"/>
      <c r="AQ116" s="7"/>
    </row>
    <row r="117" ht="15.75" customHeight="1">
      <c r="A117" s="3">
        <v>84.0</v>
      </c>
      <c r="B117" s="4" t="s">
        <v>642</v>
      </c>
      <c r="C117" s="4" t="str">
        <f>VLOOKUP(D117,'slb RAW'!$E:$F,2)</f>
        <v>USN30706VE76</v>
      </c>
      <c r="D117" s="4" t="s">
        <v>804</v>
      </c>
      <c r="E117" s="4" t="s">
        <v>805</v>
      </c>
      <c r="F117" s="4" t="s">
        <v>645</v>
      </c>
      <c r="G117" s="4" t="s">
        <v>367</v>
      </c>
      <c r="H117" s="4" t="s">
        <v>367</v>
      </c>
      <c r="I117" s="4" t="s">
        <v>200</v>
      </c>
      <c r="J117" s="4">
        <v>2.25</v>
      </c>
      <c r="K117" s="4" t="s">
        <v>784</v>
      </c>
      <c r="L117" s="4" t="s">
        <v>794</v>
      </c>
      <c r="M117" s="15">
        <v>2.32</v>
      </c>
      <c r="N117" s="4" t="s">
        <v>115</v>
      </c>
      <c r="O117" s="4" t="s">
        <v>116</v>
      </c>
      <c r="P117" s="4" t="s">
        <v>271</v>
      </c>
      <c r="Q117" s="4" t="s">
        <v>52</v>
      </c>
      <c r="R117" s="4" t="s">
        <v>263</v>
      </c>
      <c r="S117" s="4" t="s">
        <v>620</v>
      </c>
      <c r="T117" s="4" t="s">
        <v>55</v>
      </c>
      <c r="U117" s="4" t="s">
        <v>56</v>
      </c>
      <c r="V117" s="4" t="s">
        <v>71</v>
      </c>
      <c r="W117" s="4">
        <v>1.0E9</v>
      </c>
      <c r="X117" s="4" t="s">
        <v>120</v>
      </c>
      <c r="Y117" s="4" t="s">
        <v>120</v>
      </c>
      <c r="Z117" s="4" t="s">
        <v>60</v>
      </c>
      <c r="AA117" s="4" t="s">
        <v>121</v>
      </c>
      <c r="AB117" s="4" t="s">
        <v>122</v>
      </c>
      <c r="AC117" s="4" t="s">
        <v>122</v>
      </c>
      <c r="AD117" s="3" t="s">
        <v>791</v>
      </c>
      <c r="AE117" s="7">
        <v>25.0</v>
      </c>
      <c r="AF117" s="12"/>
      <c r="AG117" s="4" t="str">
        <f t="shared" si="1"/>
        <v/>
      </c>
      <c r="AH117" s="8" t="s">
        <v>125</v>
      </c>
      <c r="AI117" s="4" t="s">
        <v>801</v>
      </c>
      <c r="AJ117" s="7">
        <f>VLOOKUP(D117,'slb RAW'!$E$2:$AF$293,9)</f>
        <v>2.32</v>
      </c>
      <c r="AK117" s="4">
        <f>VLOOKUP(D117,'slb RAW'!$E$2:$AE$293,27)</f>
        <v>2.299</v>
      </c>
      <c r="AL117" s="4">
        <f>VLOOKUP(C117,'Refinitiv SLB'!F117:S294,14)</f>
        <v>5.1293</v>
      </c>
      <c r="AM117" s="4">
        <f t="shared" si="2"/>
        <v>2.299</v>
      </c>
      <c r="AN117" s="9" t="str">
        <f t="shared" si="3"/>
        <v>Enel Finance International NVCALLABLEFIXEDUSDSr Unsecured</v>
      </c>
      <c r="AO117" s="7" t="b">
        <f>ISNUMBER( IFERROR(VLOOKUP(A117,Pairs!$E$2:$E$57,1,FALSE),FALSE))</f>
        <v>0</v>
      </c>
      <c r="AP117" s="7"/>
      <c r="AQ117" s="7"/>
    </row>
    <row r="118" ht="15.75" customHeight="1">
      <c r="A118" s="3">
        <v>85.0</v>
      </c>
      <c r="B118" s="4" t="s">
        <v>642</v>
      </c>
      <c r="C118" s="4" t="str">
        <f>VLOOKUP(D118,'slb RAW'!$E:$F,2)</f>
        <v>USN30706VF42</v>
      </c>
      <c r="D118" s="4" t="s">
        <v>806</v>
      </c>
      <c r="E118" s="4" t="s">
        <v>807</v>
      </c>
      <c r="F118" s="4" t="s">
        <v>645</v>
      </c>
      <c r="G118" s="4" t="s">
        <v>367</v>
      </c>
      <c r="H118" s="4" t="s">
        <v>367</v>
      </c>
      <c r="I118" s="4" t="s">
        <v>200</v>
      </c>
      <c r="J118" s="4">
        <v>2.875</v>
      </c>
      <c r="K118" s="4" t="s">
        <v>784</v>
      </c>
      <c r="L118" s="4" t="s">
        <v>797</v>
      </c>
      <c r="M118" s="23">
        <v>2.957</v>
      </c>
      <c r="N118" s="4" t="s">
        <v>115</v>
      </c>
      <c r="O118" s="4" t="s">
        <v>116</v>
      </c>
      <c r="P118" s="4" t="s">
        <v>271</v>
      </c>
      <c r="Q118" s="4" t="s">
        <v>52</v>
      </c>
      <c r="R118" s="4" t="s">
        <v>263</v>
      </c>
      <c r="S118" s="4" t="s">
        <v>620</v>
      </c>
      <c r="T118" s="4" t="s">
        <v>55</v>
      </c>
      <c r="U118" s="4" t="s">
        <v>56</v>
      </c>
      <c r="V118" s="4" t="s">
        <v>71</v>
      </c>
      <c r="W118" s="4">
        <v>7.5E8</v>
      </c>
      <c r="X118" s="4" t="s">
        <v>120</v>
      </c>
      <c r="Y118" s="4" t="s">
        <v>120</v>
      </c>
      <c r="Z118" s="4" t="s">
        <v>60</v>
      </c>
      <c r="AA118" s="4" t="s">
        <v>121</v>
      </c>
      <c r="AB118" s="4" t="s">
        <v>122</v>
      </c>
      <c r="AC118" s="4" t="s">
        <v>122</v>
      </c>
      <c r="AD118" s="3" t="s">
        <v>798</v>
      </c>
      <c r="AE118" s="7">
        <v>25.0</v>
      </c>
      <c r="AF118" s="12"/>
      <c r="AG118" s="4" t="str">
        <f t="shared" si="1"/>
        <v/>
      </c>
      <c r="AH118" s="8" t="s">
        <v>125</v>
      </c>
      <c r="AI118" s="4" t="s">
        <v>801</v>
      </c>
      <c r="AJ118" s="7">
        <f>VLOOKUP(D118,'slb RAW'!$E$2:$AF$293,9)</f>
        <v>2.957</v>
      </c>
      <c r="AK118" s="4">
        <f>VLOOKUP(D118,'slb RAW'!$E$2:$AE$293,27)</f>
        <v>2.988</v>
      </c>
      <c r="AL118" s="4">
        <f>VLOOKUP(C118,'Refinitiv SLB'!F118:S295,14)</f>
        <v>0.412</v>
      </c>
      <c r="AM118" s="4">
        <f t="shared" si="2"/>
        <v>2.988</v>
      </c>
      <c r="AN118" s="9" t="str">
        <f t="shared" si="3"/>
        <v>Enel Finance International NVCALLABLEFIXEDUSDSr Unsecured</v>
      </c>
      <c r="AO118" s="7" t="b">
        <f>ISNUMBER( IFERROR(VLOOKUP(A118,Pairs!$E$2:$E$57,1,FALSE),FALSE))</f>
        <v>0</v>
      </c>
      <c r="AP118" s="7"/>
      <c r="AQ118" s="7"/>
    </row>
    <row r="119" ht="15.75" customHeight="1">
      <c r="A119" s="3">
        <v>203.0</v>
      </c>
      <c r="B119" s="4" t="s">
        <v>404</v>
      </c>
      <c r="C119" s="4" t="str">
        <f>VLOOKUP(D119,'slb RAW'!$E:$F,2)</f>
        <v>XS2359929812</v>
      </c>
      <c r="D119" s="4" t="s">
        <v>808</v>
      </c>
      <c r="E119" s="4" t="s">
        <v>809</v>
      </c>
      <c r="F119" s="4" t="s">
        <v>407</v>
      </c>
      <c r="G119" s="4" t="s">
        <v>408</v>
      </c>
      <c r="H119" s="4" t="s">
        <v>408</v>
      </c>
      <c r="I119" s="4" t="s">
        <v>408</v>
      </c>
      <c r="J119" s="4">
        <v>3.375</v>
      </c>
      <c r="K119" s="4" t="s">
        <v>810</v>
      </c>
      <c r="L119" s="4" t="s">
        <v>811</v>
      </c>
      <c r="M119" s="15">
        <v>3.375</v>
      </c>
      <c r="N119" s="4" t="s">
        <v>115</v>
      </c>
      <c r="O119" s="4" t="s">
        <v>116</v>
      </c>
      <c r="P119" s="4" t="s">
        <v>174</v>
      </c>
      <c r="Q119" s="4" t="s">
        <v>52</v>
      </c>
      <c r="R119" s="4" t="s">
        <v>53</v>
      </c>
      <c r="S119" s="4" t="s">
        <v>411</v>
      </c>
      <c r="T119" s="4" t="s">
        <v>175</v>
      </c>
      <c r="U119" s="4" t="s">
        <v>56</v>
      </c>
      <c r="V119" s="4" t="s">
        <v>71</v>
      </c>
      <c r="W119" s="4">
        <v>5.8966E8</v>
      </c>
      <c r="X119" s="4" t="s">
        <v>120</v>
      </c>
      <c r="Y119" s="4" t="s">
        <v>120</v>
      </c>
      <c r="Z119" s="4" t="s">
        <v>203</v>
      </c>
      <c r="AA119" s="4" t="s">
        <v>412</v>
      </c>
      <c r="AB119" s="4" t="s">
        <v>413</v>
      </c>
      <c r="AC119" s="4" t="s">
        <v>413</v>
      </c>
      <c r="AD119" s="3" t="s">
        <v>812</v>
      </c>
      <c r="AE119" s="7">
        <v>50.0</v>
      </c>
      <c r="AF119" s="12"/>
      <c r="AG119" s="4" t="str">
        <f t="shared" si="1"/>
        <v/>
      </c>
      <c r="AH119" s="8" t="s">
        <v>125</v>
      </c>
      <c r="AI119" s="4" t="s">
        <v>813</v>
      </c>
      <c r="AJ119" s="7">
        <f>VLOOKUP(D119,'slb RAW'!$E$2:$AF$293,9)</f>
        <v>3.375</v>
      </c>
      <c r="AK119" s="4">
        <f>VLOOKUP(D119,'slb RAW'!$E$2:$AE$293,27)</f>
        <v>3.156</v>
      </c>
      <c r="AL119" s="4">
        <f>VLOOKUP(C119,'Refinitiv SLB'!F119:S296,14)</f>
        <v>0.412</v>
      </c>
      <c r="AM119" s="4">
        <f t="shared" si="2"/>
        <v>3.156</v>
      </c>
      <c r="AN119" s="9" t="str">
        <f t="shared" si="3"/>
        <v>Public Power Corp SACALLABLEFIXEDEURSr Unsecured</v>
      </c>
      <c r="AO119" s="7" t="b">
        <f>ISNUMBER( IFERROR(VLOOKUP(A119,Pairs!$E$2:$E$57,1,FALSE),FALSE))</f>
        <v>0</v>
      </c>
      <c r="AP119" s="7"/>
      <c r="AQ119" s="7"/>
    </row>
    <row r="120" ht="15.75" customHeight="1">
      <c r="A120" s="3">
        <v>262.0</v>
      </c>
      <c r="B120" s="4" t="s">
        <v>814</v>
      </c>
      <c r="C120" s="4" t="str">
        <f>VLOOKUP(D120,'slb RAW'!$E:$F,2)</f>
        <v>FR0014004UE6</v>
      </c>
      <c r="D120" s="4" t="s">
        <v>815</v>
      </c>
      <c r="E120" s="4" t="s">
        <v>816</v>
      </c>
      <c r="F120" s="4" t="s">
        <v>817</v>
      </c>
      <c r="G120" s="4" t="s">
        <v>185</v>
      </c>
      <c r="H120" s="4" t="s">
        <v>185</v>
      </c>
      <c r="I120" s="4" t="s">
        <v>185</v>
      </c>
      <c r="J120" s="4">
        <v>1.0</v>
      </c>
      <c r="K120" s="4" t="s">
        <v>818</v>
      </c>
      <c r="L120" s="4" t="s">
        <v>819</v>
      </c>
      <c r="M120" s="15">
        <v>1.0090000000000001</v>
      </c>
      <c r="N120" s="4" t="s">
        <v>115</v>
      </c>
      <c r="O120" s="4" t="s">
        <v>116</v>
      </c>
      <c r="P120" s="4" t="s">
        <v>226</v>
      </c>
      <c r="Q120" s="4" t="s">
        <v>52</v>
      </c>
      <c r="R120" s="4" t="s">
        <v>53</v>
      </c>
      <c r="S120" s="4" t="s">
        <v>264</v>
      </c>
      <c r="T120" s="4" t="s">
        <v>133</v>
      </c>
      <c r="U120" s="4" t="s">
        <v>56</v>
      </c>
      <c r="V120" s="4" t="s">
        <v>57</v>
      </c>
      <c r="W120" s="4">
        <v>8.30781E8</v>
      </c>
      <c r="X120" s="4" t="s">
        <v>134</v>
      </c>
      <c r="Y120" s="4" t="s">
        <v>544</v>
      </c>
      <c r="Z120" s="4" t="s">
        <v>60</v>
      </c>
      <c r="AA120" s="4" t="s">
        <v>61</v>
      </c>
      <c r="AB120" s="4" t="s">
        <v>136</v>
      </c>
      <c r="AC120" s="4" t="s">
        <v>545</v>
      </c>
      <c r="AD120" s="3" t="s">
        <v>820</v>
      </c>
      <c r="AE120" s="7">
        <v>37.5</v>
      </c>
      <c r="AF120" s="12"/>
      <c r="AG120" s="4" t="str">
        <f t="shared" si="1"/>
        <v/>
      </c>
      <c r="AH120" s="8" t="s">
        <v>125</v>
      </c>
      <c r="AI120" s="4" t="s">
        <v>821</v>
      </c>
      <c r="AJ120" s="7">
        <f>VLOOKUP(D120,'slb RAW'!$E$2:$AF$293,9)</f>
        <v>1.009</v>
      </c>
      <c r="AK120" s="4">
        <f>VLOOKUP(D120,'slb RAW'!$E$2:$AE$293,27)</f>
        <v>0.921</v>
      </c>
      <c r="AL120" s="4" t="str">
        <f>VLOOKUP(C120,'Refinitiv SLB'!F120:S297,14)</f>
        <v>#N/A</v>
      </c>
      <c r="AM120" s="4">
        <f t="shared" si="2"/>
        <v>0.921</v>
      </c>
      <c r="AN120" s="9" t="str">
        <f t="shared" si="3"/>
        <v>ValeoCALLABLEFIXEDEURSr Unsecured</v>
      </c>
      <c r="AO120" s="7" t="b">
        <f>ISNUMBER( IFERROR(VLOOKUP(A120,Pairs!$E$2:$E$57,1,FALSE),FALSE))</f>
        <v>0</v>
      </c>
      <c r="AP120" s="7"/>
      <c r="AQ120" s="7"/>
    </row>
    <row r="121" ht="15.75" customHeight="1">
      <c r="A121" s="3">
        <v>291.0</v>
      </c>
      <c r="B121" s="4" t="s">
        <v>822</v>
      </c>
      <c r="C121" s="4" t="str">
        <f>VLOOKUP(D121,'slb RAW'!$E:$F,2)</f>
        <v>#N/A Field Not Applicable</v>
      </c>
      <c r="D121" s="4" t="s">
        <v>823</v>
      </c>
      <c r="E121" s="4" t="s">
        <v>824</v>
      </c>
      <c r="F121" s="4" t="s">
        <v>825</v>
      </c>
      <c r="G121" s="4" t="s">
        <v>45</v>
      </c>
      <c r="H121" s="4" t="s">
        <v>45</v>
      </c>
      <c r="I121" s="4" t="s">
        <v>45</v>
      </c>
      <c r="J121" s="4">
        <v>0.0</v>
      </c>
      <c r="K121" s="4" t="s">
        <v>826</v>
      </c>
      <c r="L121" s="4" t="s">
        <v>827</v>
      </c>
      <c r="M121" s="6" t="s">
        <v>48</v>
      </c>
      <c r="N121" s="4" t="s">
        <v>49</v>
      </c>
      <c r="O121" s="4" t="s">
        <v>50</v>
      </c>
      <c r="P121" s="4" t="s">
        <v>76</v>
      </c>
      <c r="Q121" s="4" t="s">
        <v>52</v>
      </c>
      <c r="R121" s="4" t="s">
        <v>53</v>
      </c>
      <c r="S121" s="4" t="s">
        <v>54</v>
      </c>
      <c r="T121" s="4" t="s">
        <v>55</v>
      </c>
      <c r="U121" s="4" t="s">
        <v>70</v>
      </c>
      <c r="V121" s="4" t="s">
        <v>71</v>
      </c>
      <c r="W121" s="4">
        <v>5.284845E8</v>
      </c>
      <c r="X121" s="4" t="s">
        <v>58</v>
      </c>
      <c r="Y121" s="4" t="s">
        <v>191</v>
      </c>
      <c r="Z121" s="4" t="s">
        <v>60</v>
      </c>
      <c r="AA121" s="4" t="s">
        <v>61</v>
      </c>
      <c r="AB121" s="4" t="s">
        <v>177</v>
      </c>
      <c r="AC121" s="4" t="s">
        <v>192</v>
      </c>
      <c r="AD121" s="3" t="s">
        <v>828</v>
      </c>
      <c r="AE121" s="7">
        <v>5.0</v>
      </c>
      <c r="AF121" s="7">
        <v>5.0</v>
      </c>
      <c r="AG121" s="4" t="str">
        <f t="shared" si="1"/>
        <v>yes</v>
      </c>
      <c r="AH121" s="8" t="s">
        <v>140</v>
      </c>
      <c r="AI121" s="4" t="s">
        <v>829</v>
      </c>
      <c r="AJ121" s="7" t="str">
        <f>VLOOKUP(D121,'slb RAW'!$E$2:$AF$293,9)</f>
        <v>#N/A N/A</v>
      </c>
      <c r="AK121" s="4" t="str">
        <f>VLOOKUP(D121,'slb RAW'!$E$2:$AE$293,27)</f>
        <v>#N/A N/A</v>
      </c>
      <c r="AL121" s="4" t="str">
        <f>VLOOKUP(C121,'Refinitiv SLB'!F121:S298,14)</f>
        <v>#N/A</v>
      </c>
      <c r="AM121" s="4" t="str">
        <f t="shared" si="2"/>
        <v>#N/A N/A</v>
      </c>
      <c r="AN121" s="9" t="str">
        <f t="shared" si="3"/>
        <v>ista International GmbHAT MATURITYFLOATINGEURSr Unsecured</v>
      </c>
      <c r="AO121" s="7" t="b">
        <f>ISNUMBER( IFERROR(VLOOKUP(A121,Pairs!$E$2:$E$57,1,FALSE),FALSE))</f>
        <v>0</v>
      </c>
      <c r="AP121" s="7"/>
      <c r="AQ121" s="7"/>
    </row>
    <row r="122" ht="15.75" customHeight="1">
      <c r="A122" s="3">
        <v>292.0</v>
      </c>
      <c r="B122" s="4" t="s">
        <v>822</v>
      </c>
      <c r="C122" s="4" t="str">
        <f>VLOOKUP(D122,'slb RAW'!$E:$F,2)</f>
        <v>#N/A Field Not Applicable</v>
      </c>
      <c r="D122" s="4" t="s">
        <v>830</v>
      </c>
      <c r="E122" s="4" t="s">
        <v>831</v>
      </c>
      <c r="F122" s="4" t="s">
        <v>825</v>
      </c>
      <c r="G122" s="4" t="s">
        <v>45</v>
      </c>
      <c r="H122" s="4" t="s">
        <v>45</v>
      </c>
      <c r="I122" s="4" t="s">
        <v>45</v>
      </c>
      <c r="J122" s="4">
        <v>0.0</v>
      </c>
      <c r="K122" s="4" t="s">
        <v>826</v>
      </c>
      <c r="L122" s="4" t="s">
        <v>832</v>
      </c>
      <c r="M122" s="6" t="s">
        <v>48</v>
      </c>
      <c r="N122" s="4" t="s">
        <v>49</v>
      </c>
      <c r="O122" s="4" t="s">
        <v>50</v>
      </c>
      <c r="P122" s="4" t="s">
        <v>145</v>
      </c>
      <c r="Q122" s="4" t="s">
        <v>52</v>
      </c>
      <c r="R122" s="4" t="s">
        <v>53</v>
      </c>
      <c r="S122" s="4" t="s">
        <v>54</v>
      </c>
      <c r="T122" s="4" t="s">
        <v>55</v>
      </c>
      <c r="U122" s="4" t="s">
        <v>70</v>
      </c>
      <c r="V122" s="4" t="s">
        <v>71</v>
      </c>
      <c r="W122" s="4">
        <v>5.284845E8</v>
      </c>
      <c r="X122" s="4" t="s">
        <v>58</v>
      </c>
      <c r="Y122" s="4" t="s">
        <v>191</v>
      </c>
      <c r="Z122" s="4" t="s">
        <v>60</v>
      </c>
      <c r="AA122" s="4" t="s">
        <v>61</v>
      </c>
      <c r="AB122" s="4" t="s">
        <v>177</v>
      </c>
      <c r="AC122" s="4" t="s">
        <v>192</v>
      </c>
      <c r="AD122" s="3" t="s">
        <v>828</v>
      </c>
      <c r="AE122" s="7">
        <v>5.0</v>
      </c>
      <c r="AF122" s="7">
        <v>5.0</v>
      </c>
      <c r="AG122" s="4" t="str">
        <f t="shared" si="1"/>
        <v>yes</v>
      </c>
      <c r="AH122" s="8" t="s">
        <v>140</v>
      </c>
      <c r="AI122" s="4" t="s">
        <v>829</v>
      </c>
      <c r="AJ122" s="7" t="str">
        <f>VLOOKUP(D122,'slb RAW'!$E$2:$AF$293,9)</f>
        <v>#N/A N/A</v>
      </c>
      <c r="AK122" s="4" t="str">
        <f>VLOOKUP(D122,'slb RAW'!$E$2:$AE$293,27)</f>
        <v>#N/A N/A</v>
      </c>
      <c r="AL122" s="4" t="str">
        <f>VLOOKUP(C122,'Refinitiv SLB'!F122:S299,14)</f>
        <v>#N/A</v>
      </c>
      <c r="AM122" s="4" t="str">
        <f t="shared" si="2"/>
        <v>#N/A N/A</v>
      </c>
      <c r="AN122" s="9" t="str">
        <f t="shared" si="3"/>
        <v>ista International GmbHAT MATURITYFLOATINGEURSr Unsecured</v>
      </c>
      <c r="AO122" s="7" t="b">
        <f>ISNUMBER( IFERROR(VLOOKUP(A122,Pairs!$E$2:$E$57,1,FALSE),FALSE))</f>
        <v>0</v>
      </c>
      <c r="AP122" s="7"/>
      <c r="AQ122" s="7"/>
    </row>
    <row r="123" ht="15.75" customHeight="1">
      <c r="A123" s="3">
        <v>133.0</v>
      </c>
      <c r="B123" s="4" t="s">
        <v>833</v>
      </c>
      <c r="C123" s="4" t="str">
        <f>VLOOKUP(D123,'slb RAW'!$E:$F,2)</f>
        <v>XS2382209125</v>
      </c>
      <c r="D123" s="4" t="s">
        <v>834</v>
      </c>
      <c r="E123" s="4" t="s">
        <v>835</v>
      </c>
      <c r="F123" s="4" t="s">
        <v>169</v>
      </c>
      <c r="G123" s="4" t="s">
        <v>170</v>
      </c>
      <c r="H123" s="4" t="s">
        <v>170</v>
      </c>
      <c r="I123" s="4" t="s">
        <v>171</v>
      </c>
      <c r="J123" s="4">
        <v>2.24</v>
      </c>
      <c r="K123" s="4" t="s">
        <v>836</v>
      </c>
      <c r="L123" s="4" t="s">
        <v>837</v>
      </c>
      <c r="M123" s="11">
        <v>2.3795</v>
      </c>
      <c r="N123" s="4" t="s">
        <v>49</v>
      </c>
      <c r="O123" s="4" t="s">
        <v>50</v>
      </c>
      <c r="P123" s="4" t="s">
        <v>226</v>
      </c>
      <c r="Q123" s="4" t="s">
        <v>52</v>
      </c>
      <c r="R123" s="4" t="s">
        <v>263</v>
      </c>
      <c r="S123" s="4" t="s">
        <v>175</v>
      </c>
      <c r="T123" s="4" t="s">
        <v>55</v>
      </c>
      <c r="U123" s="4" t="s">
        <v>56</v>
      </c>
      <c r="V123" s="4" t="s">
        <v>71</v>
      </c>
      <c r="W123" s="4">
        <v>1.0E8</v>
      </c>
      <c r="X123" s="4" t="s">
        <v>85</v>
      </c>
      <c r="Y123" s="4" t="s">
        <v>176</v>
      </c>
      <c r="Z123" s="4" t="s">
        <v>60</v>
      </c>
      <c r="AA123" s="4" t="s">
        <v>61</v>
      </c>
      <c r="AB123" s="4" t="s">
        <v>177</v>
      </c>
      <c r="AC123" s="4" t="s">
        <v>178</v>
      </c>
      <c r="AD123" s="3" t="s">
        <v>838</v>
      </c>
      <c r="AE123" s="8" t="s">
        <v>194</v>
      </c>
      <c r="AF123" s="12"/>
      <c r="AG123" s="4" t="str">
        <f t="shared" si="1"/>
        <v/>
      </c>
      <c r="AH123" s="8" t="s">
        <v>125</v>
      </c>
      <c r="AI123" s="4" t="s">
        <v>839</v>
      </c>
      <c r="AJ123" s="7" t="str">
        <f>VLOOKUP(D123,'slb RAW'!$E$2:$AF$293,9)</f>
        <v>#N/A N/A</v>
      </c>
      <c r="AK123" s="4">
        <f>VLOOKUP(D123,'slb RAW'!$E$2:$AE$293,27)</f>
        <v>2.425</v>
      </c>
      <c r="AL123" s="4">
        <f>VLOOKUP(C123,'Refinitiv SLB'!F123:S300,14)</f>
        <v>0.761</v>
      </c>
      <c r="AM123" s="4">
        <f t="shared" si="2"/>
        <v>2.425</v>
      </c>
      <c r="AN123" s="9" t="str">
        <f t="shared" si="3"/>
        <v>Holcim US Finance Sarl &amp; Cie SCSAT MATURITYFIXEDUSDSr Unsecured</v>
      </c>
      <c r="AO123" s="7" t="b">
        <f>ISNUMBER( IFERROR(VLOOKUP(A123,Pairs!$E$2:$E$57,1,FALSE),FALSE))</f>
        <v>0</v>
      </c>
      <c r="AP123" s="7"/>
      <c r="AQ123" s="7"/>
    </row>
    <row r="124" ht="15.75" customHeight="1">
      <c r="A124" s="3">
        <v>135.0</v>
      </c>
      <c r="B124" s="4" t="s">
        <v>840</v>
      </c>
      <c r="C124" s="4" t="str">
        <f>VLOOKUP(D124,'slb RAW'!$E:$F,2)</f>
        <v>XS2385389551</v>
      </c>
      <c r="D124" s="4" t="s">
        <v>841</v>
      </c>
      <c r="E124" s="4" t="s">
        <v>842</v>
      </c>
      <c r="F124" s="4" t="s">
        <v>843</v>
      </c>
      <c r="G124" s="4" t="s">
        <v>185</v>
      </c>
      <c r="H124" s="4" t="s">
        <v>185</v>
      </c>
      <c r="I124" s="4" t="s">
        <v>185</v>
      </c>
      <c r="J124" s="4">
        <v>0.125</v>
      </c>
      <c r="K124" s="4" t="s">
        <v>844</v>
      </c>
      <c r="L124" s="4" t="s">
        <v>845</v>
      </c>
      <c r="M124" s="3">
        <v>0.0939</v>
      </c>
      <c r="N124" s="4" t="s">
        <v>115</v>
      </c>
      <c r="O124" s="4" t="s">
        <v>116</v>
      </c>
      <c r="P124" s="4" t="s">
        <v>174</v>
      </c>
      <c r="Q124" s="4" t="s">
        <v>52</v>
      </c>
      <c r="R124" s="4" t="s">
        <v>53</v>
      </c>
      <c r="S124" s="4" t="s">
        <v>497</v>
      </c>
      <c r="T124" s="4" t="s">
        <v>55</v>
      </c>
      <c r="U124" s="4" t="s">
        <v>56</v>
      </c>
      <c r="V124" s="4" t="s">
        <v>57</v>
      </c>
      <c r="W124" s="4">
        <v>5.29182E8</v>
      </c>
      <c r="X124" s="4" t="s">
        <v>120</v>
      </c>
      <c r="Y124" s="4" t="s">
        <v>120</v>
      </c>
      <c r="Z124" s="4" t="s">
        <v>60</v>
      </c>
      <c r="AA124" s="4" t="s">
        <v>121</v>
      </c>
      <c r="AB124" s="4" t="s">
        <v>846</v>
      </c>
      <c r="AC124" s="4" t="s">
        <v>846</v>
      </c>
      <c r="AD124" s="3" t="s">
        <v>847</v>
      </c>
      <c r="AE124" s="8" t="s">
        <v>124</v>
      </c>
      <c r="AF124" s="12"/>
      <c r="AG124" s="4" t="str">
        <f t="shared" si="1"/>
        <v/>
      </c>
      <c r="AH124" s="8" t="s">
        <v>125</v>
      </c>
      <c r="AI124" s="4" t="s">
        <v>848</v>
      </c>
      <c r="AJ124" s="7" t="str">
        <f>VLOOKUP(D124,'slb RAW'!$E$2:$AF$293,9)</f>
        <v>#N/A N/A</v>
      </c>
      <c r="AK124" s="4">
        <f>VLOOKUP(D124,'slb RAW'!$E$2:$AE$293,27)</f>
        <v>0.075</v>
      </c>
      <c r="AL124" s="4">
        <f>VLOOKUP(C124,'Refinitiv SLB'!F124:S301,14)</f>
        <v>5.129</v>
      </c>
      <c r="AM124" s="4">
        <f t="shared" si="2"/>
        <v>0.075</v>
      </c>
      <c r="AN124" s="9" t="str">
        <f t="shared" si="3"/>
        <v>Holding d'Infrastructures des Metiers de l'EnvironnementCALLABLEFIXEDEURSr Unsecured</v>
      </c>
      <c r="AO124" s="7" t="b">
        <f>ISNUMBER( IFERROR(VLOOKUP(A124,Pairs!$E$2:$E$57,1,FALSE),FALSE))</f>
        <v>0</v>
      </c>
      <c r="AP124" s="7"/>
      <c r="AQ124" s="7"/>
    </row>
    <row r="125" ht="15.75" customHeight="1">
      <c r="A125" s="3">
        <v>134.0</v>
      </c>
      <c r="B125" s="4" t="s">
        <v>840</v>
      </c>
      <c r="C125" s="4" t="str">
        <f>VLOOKUP(D125,'slb RAW'!$E:$F,2)</f>
        <v>XS2385390724</v>
      </c>
      <c r="D125" s="4" t="s">
        <v>849</v>
      </c>
      <c r="E125" s="4" t="s">
        <v>850</v>
      </c>
      <c r="F125" s="4" t="s">
        <v>843</v>
      </c>
      <c r="G125" s="4" t="s">
        <v>185</v>
      </c>
      <c r="H125" s="4" t="s">
        <v>185</v>
      </c>
      <c r="I125" s="4" t="s">
        <v>185</v>
      </c>
      <c r="J125" s="4">
        <v>0.625</v>
      </c>
      <c r="K125" s="4" t="s">
        <v>844</v>
      </c>
      <c r="L125" s="4" t="s">
        <v>851</v>
      </c>
      <c r="M125" s="15">
        <v>0.659</v>
      </c>
      <c r="N125" s="4" t="s">
        <v>115</v>
      </c>
      <c r="O125" s="4" t="s">
        <v>116</v>
      </c>
      <c r="P125" s="4" t="s">
        <v>554</v>
      </c>
      <c r="Q125" s="4" t="s">
        <v>52</v>
      </c>
      <c r="R125" s="4" t="s">
        <v>53</v>
      </c>
      <c r="S125" s="4" t="s">
        <v>497</v>
      </c>
      <c r="T125" s="4" t="s">
        <v>55</v>
      </c>
      <c r="U125" s="4" t="s">
        <v>56</v>
      </c>
      <c r="V125" s="4" t="s">
        <v>57</v>
      </c>
      <c r="W125" s="4">
        <v>5.8798E8</v>
      </c>
      <c r="X125" s="4" t="s">
        <v>120</v>
      </c>
      <c r="Y125" s="4" t="s">
        <v>120</v>
      </c>
      <c r="Z125" s="4" t="s">
        <v>60</v>
      </c>
      <c r="AA125" s="4" t="s">
        <v>121</v>
      </c>
      <c r="AB125" s="4" t="s">
        <v>846</v>
      </c>
      <c r="AC125" s="4" t="s">
        <v>846</v>
      </c>
      <c r="AD125" s="3" t="s">
        <v>847</v>
      </c>
      <c r="AE125" s="8" t="s">
        <v>124</v>
      </c>
      <c r="AF125" s="12"/>
      <c r="AG125" s="4" t="str">
        <f t="shared" si="1"/>
        <v/>
      </c>
      <c r="AH125" s="8" t="s">
        <v>125</v>
      </c>
      <c r="AI125" s="4" t="s">
        <v>852</v>
      </c>
      <c r="AJ125" s="7">
        <f>VLOOKUP(D125,'slb RAW'!$E$2:$AF$293,9)</f>
        <v>0.659</v>
      </c>
      <c r="AK125" s="4">
        <f>VLOOKUP(D125,'slb RAW'!$E$2:$AE$293,27)</f>
        <v>0.546</v>
      </c>
      <c r="AL125" s="4">
        <f>VLOOKUP(C125,'Refinitiv SLB'!F125:S302,14)</f>
        <v>5.129</v>
      </c>
      <c r="AM125" s="4">
        <f t="shared" si="2"/>
        <v>0.546</v>
      </c>
      <c r="AN125" s="9" t="str">
        <f t="shared" si="3"/>
        <v>Holding d'Infrastructures des Metiers de l'EnvironnementCALLABLEFIXEDEURSr Unsecured</v>
      </c>
      <c r="AO125" s="7" t="b">
        <f>ISNUMBER( IFERROR(VLOOKUP(A125,Pairs!$E$2:$E$57,1,FALSE),FALSE))</f>
        <v>0</v>
      </c>
      <c r="AP125" s="7"/>
      <c r="AQ125" s="7"/>
    </row>
    <row r="126" ht="15.75" customHeight="1">
      <c r="A126" s="3">
        <v>242.0</v>
      </c>
      <c r="B126" s="4" t="s">
        <v>755</v>
      </c>
      <c r="C126" s="4" t="str">
        <f>VLOOKUP(D126,'slb RAW'!$E:$F,2)</f>
        <v>US86964WAL63</v>
      </c>
      <c r="D126" s="4" t="s">
        <v>853</v>
      </c>
      <c r="E126" s="4" t="s">
        <v>854</v>
      </c>
      <c r="F126" s="4" t="s">
        <v>758</v>
      </c>
      <c r="G126" s="4" t="s">
        <v>258</v>
      </c>
      <c r="H126" s="4" t="s">
        <v>258</v>
      </c>
      <c r="I126" s="4" t="s">
        <v>259</v>
      </c>
      <c r="J126" s="4">
        <v>2.5</v>
      </c>
      <c r="K126" s="4" t="s">
        <v>855</v>
      </c>
      <c r="L126" s="4" t="s">
        <v>856</v>
      </c>
      <c r="M126" s="4">
        <v>2.6999999999999997</v>
      </c>
      <c r="N126" s="4" t="s">
        <v>115</v>
      </c>
      <c r="O126" s="4" t="s">
        <v>116</v>
      </c>
      <c r="P126" s="4" t="s">
        <v>174</v>
      </c>
      <c r="Q126" s="4" t="s">
        <v>52</v>
      </c>
      <c r="R126" s="4" t="s">
        <v>263</v>
      </c>
      <c r="S126" s="4" t="s">
        <v>497</v>
      </c>
      <c r="T126" s="4" t="s">
        <v>55</v>
      </c>
      <c r="U126" s="4" t="s">
        <v>56</v>
      </c>
      <c r="V126" s="4" t="s">
        <v>71</v>
      </c>
      <c r="W126" s="4">
        <v>5.0E8</v>
      </c>
      <c r="X126" s="4" t="s">
        <v>85</v>
      </c>
      <c r="Y126" s="4" t="s">
        <v>760</v>
      </c>
      <c r="Z126" s="4" t="s">
        <v>60</v>
      </c>
      <c r="AA126" s="4" t="s">
        <v>61</v>
      </c>
      <c r="AB126" s="4" t="s">
        <v>87</v>
      </c>
      <c r="AC126" s="4" t="s">
        <v>266</v>
      </c>
      <c r="AD126" s="3" t="s">
        <v>857</v>
      </c>
      <c r="AE126" s="7">
        <v>25.0</v>
      </c>
      <c r="AF126" s="12"/>
      <c r="AG126" s="4" t="str">
        <f t="shared" si="1"/>
        <v/>
      </c>
      <c r="AH126" s="8" t="s">
        <v>125</v>
      </c>
      <c r="AI126" s="4" t="s">
        <v>858</v>
      </c>
      <c r="AJ126" s="7">
        <f>VLOOKUP(D126,'slb RAW'!$E$2:$AF$293,9)</f>
        <v>2.7</v>
      </c>
      <c r="AK126" s="4">
        <f>VLOOKUP(D126,'slb RAW'!$E$2:$AE$293,27)</f>
        <v>2.553</v>
      </c>
      <c r="AL126" s="4">
        <f>VLOOKUP(C126,'Refinitiv SLB'!F126:S303,14)</f>
        <v>4.7465</v>
      </c>
      <c r="AM126" s="4">
        <f t="shared" si="2"/>
        <v>2.553</v>
      </c>
      <c r="AN126" s="9" t="str">
        <f t="shared" si="3"/>
        <v>Suzano Austria GmbHCALLABLEFIXEDUSDSr Unsecured</v>
      </c>
      <c r="AO126" s="7" t="b">
        <f>ISNUMBER( IFERROR(VLOOKUP(A126,Pairs!$E$2:$E$57,1,FALSE),FALSE))</f>
        <v>1</v>
      </c>
      <c r="AP126" s="7"/>
      <c r="AQ126" s="7"/>
    </row>
    <row r="127" ht="15.75" customHeight="1">
      <c r="A127" s="3">
        <v>270.0</v>
      </c>
      <c r="B127" s="4" t="s">
        <v>859</v>
      </c>
      <c r="C127" s="4" t="str">
        <f>VLOOKUP(D127,'slb RAW'!$E:$F,2)</f>
        <v>XS2389120325</v>
      </c>
      <c r="D127" s="4" t="s">
        <v>860</v>
      </c>
      <c r="E127" s="4" t="s">
        <v>861</v>
      </c>
      <c r="F127" s="4" t="s">
        <v>862</v>
      </c>
      <c r="G127" s="4" t="s">
        <v>200</v>
      </c>
      <c r="H127" s="4" t="s">
        <v>200</v>
      </c>
      <c r="I127" s="4" t="s">
        <v>200</v>
      </c>
      <c r="J127" s="4">
        <v>4.625</v>
      </c>
      <c r="K127" s="4" t="s">
        <v>863</v>
      </c>
      <c r="L127" s="4" t="s">
        <v>864</v>
      </c>
      <c r="M127" s="4">
        <v>4.625</v>
      </c>
      <c r="N127" s="4" t="s">
        <v>115</v>
      </c>
      <c r="O127" s="4" t="s">
        <v>116</v>
      </c>
      <c r="P127" s="4" t="s">
        <v>262</v>
      </c>
      <c r="Q127" s="4" t="s">
        <v>459</v>
      </c>
      <c r="R127" s="4" t="s">
        <v>53</v>
      </c>
      <c r="S127" s="4" t="s">
        <v>351</v>
      </c>
      <c r="T127" s="4" t="s">
        <v>55</v>
      </c>
      <c r="U127" s="4" t="s">
        <v>56</v>
      </c>
      <c r="V127" s="4" t="s">
        <v>71</v>
      </c>
      <c r="W127" s="4">
        <v>5.91447E8</v>
      </c>
      <c r="X127" s="4" t="s">
        <v>58</v>
      </c>
      <c r="Y127" s="4" t="s">
        <v>865</v>
      </c>
      <c r="Z127" s="4" t="s">
        <v>60</v>
      </c>
      <c r="AA127" s="4" t="s">
        <v>61</v>
      </c>
      <c r="AB127" s="4" t="s">
        <v>177</v>
      </c>
      <c r="AC127" s="4" t="s">
        <v>866</v>
      </c>
      <c r="AD127" s="10" t="s">
        <v>48</v>
      </c>
      <c r="AE127" s="8" t="s">
        <v>139</v>
      </c>
      <c r="AF127" s="12"/>
      <c r="AG127" s="4" t="str">
        <f t="shared" si="1"/>
        <v/>
      </c>
      <c r="AH127" s="12"/>
      <c r="AI127" s="4" t="s">
        <v>867</v>
      </c>
      <c r="AJ127" s="7">
        <f>VLOOKUP(D127,'slb RAW'!$E$2:$AF$293,9)</f>
        <v>4.625</v>
      </c>
      <c r="AK127" s="4">
        <f>VLOOKUP(D127,'slb RAW'!$E$2:$AE$293,27)</f>
        <v>4.139</v>
      </c>
      <c r="AL127" s="4">
        <f>VLOOKUP(C127,'Refinitiv SLB'!F127:S304,14)</f>
        <v>5.129</v>
      </c>
      <c r="AM127" s="4">
        <f t="shared" si="2"/>
        <v>4.139</v>
      </c>
      <c r="AN127" s="9" t="str">
        <f t="shared" si="3"/>
        <v>Verde Bidco SpACALLABLEFIXEDEURSecured</v>
      </c>
      <c r="AO127" s="7" t="b">
        <f>ISNUMBER( IFERROR(VLOOKUP(A127,Pairs!$E$2:$E$57,1,FALSE),FALSE))</f>
        <v>0</v>
      </c>
      <c r="AP127" s="7"/>
      <c r="AQ127" s="7"/>
    </row>
    <row r="128" ht="15.75" customHeight="1">
      <c r="A128" s="3">
        <v>269.0</v>
      </c>
      <c r="B128" s="4" t="s">
        <v>859</v>
      </c>
      <c r="C128" s="4" t="str">
        <f>VLOOKUP(D128,'slb RAW'!$E:$F,2)</f>
        <v>XS2389112736</v>
      </c>
      <c r="D128" s="4" t="s">
        <v>868</v>
      </c>
      <c r="E128" s="4" t="s">
        <v>869</v>
      </c>
      <c r="F128" s="4" t="s">
        <v>862</v>
      </c>
      <c r="G128" s="4" t="s">
        <v>200</v>
      </c>
      <c r="H128" s="4" t="s">
        <v>200</v>
      </c>
      <c r="I128" s="4" t="s">
        <v>200</v>
      </c>
      <c r="J128" s="4">
        <v>4.625</v>
      </c>
      <c r="K128" s="4" t="s">
        <v>863</v>
      </c>
      <c r="L128" s="4" t="s">
        <v>864</v>
      </c>
      <c r="M128" s="4">
        <v>4.625</v>
      </c>
      <c r="N128" s="4" t="s">
        <v>115</v>
      </c>
      <c r="O128" s="4" t="s">
        <v>116</v>
      </c>
      <c r="P128" s="4" t="s">
        <v>271</v>
      </c>
      <c r="Q128" s="4" t="s">
        <v>459</v>
      </c>
      <c r="R128" s="4" t="s">
        <v>53</v>
      </c>
      <c r="S128" s="4" t="s">
        <v>351</v>
      </c>
      <c r="T128" s="4" t="s">
        <v>55</v>
      </c>
      <c r="U128" s="4" t="s">
        <v>56</v>
      </c>
      <c r="V128" s="4" t="s">
        <v>71</v>
      </c>
      <c r="W128" s="4">
        <v>5.91447E8</v>
      </c>
      <c r="X128" s="4" t="s">
        <v>58</v>
      </c>
      <c r="Y128" s="4" t="s">
        <v>865</v>
      </c>
      <c r="Z128" s="4" t="s">
        <v>60</v>
      </c>
      <c r="AA128" s="4" t="s">
        <v>61</v>
      </c>
      <c r="AB128" s="4" t="s">
        <v>177</v>
      </c>
      <c r="AC128" s="4" t="s">
        <v>866</v>
      </c>
      <c r="AD128" s="3" t="s">
        <v>870</v>
      </c>
      <c r="AE128" s="8" t="s">
        <v>194</v>
      </c>
      <c r="AF128" s="8" t="s">
        <v>194</v>
      </c>
      <c r="AG128" s="4" t="str">
        <f t="shared" si="1"/>
        <v>yes</v>
      </c>
      <c r="AH128" s="8" t="s">
        <v>125</v>
      </c>
      <c r="AI128" s="4" t="s">
        <v>871</v>
      </c>
      <c r="AJ128" s="7">
        <f>VLOOKUP(D128,'slb RAW'!$E$2:$AF$293,9)</f>
        <v>4.625</v>
      </c>
      <c r="AK128" s="4">
        <f>VLOOKUP(D128,'slb RAW'!$E$2:$AE$293,27)</f>
        <v>4.141</v>
      </c>
      <c r="AL128" s="4">
        <f>VLOOKUP(C128,'Refinitiv SLB'!F128:S305,14)</f>
        <v>4.231</v>
      </c>
      <c r="AM128" s="4">
        <f t="shared" si="2"/>
        <v>4.141</v>
      </c>
      <c r="AN128" s="9" t="str">
        <f t="shared" si="3"/>
        <v>Verde Bidco SpACALLABLEFIXEDEURSecured</v>
      </c>
      <c r="AO128" s="7" t="b">
        <f>ISNUMBER( IFERROR(VLOOKUP(A128,Pairs!$E$2:$E$57,1,FALSE),FALSE))</f>
        <v>0</v>
      </c>
      <c r="AP128" s="7"/>
      <c r="AQ128" s="7"/>
    </row>
    <row r="129" ht="15.75" customHeight="1">
      <c r="A129" s="3">
        <v>151.0</v>
      </c>
      <c r="B129" s="4" t="s">
        <v>872</v>
      </c>
      <c r="C129" s="4" t="str">
        <f>VLOOKUP(D129,'slb RAW'!$E:$F,2)</f>
        <v>US47837RAD26</v>
      </c>
      <c r="D129" s="4" t="s">
        <v>873</v>
      </c>
      <c r="E129" s="4" t="s">
        <v>874</v>
      </c>
      <c r="F129" s="4" t="s">
        <v>875</v>
      </c>
      <c r="G129" s="4" t="s">
        <v>595</v>
      </c>
      <c r="H129" s="4" t="s">
        <v>595</v>
      </c>
      <c r="I129" s="4" t="s">
        <v>186</v>
      </c>
      <c r="J129" s="4">
        <v>2.0</v>
      </c>
      <c r="K129" s="4" t="s">
        <v>844</v>
      </c>
      <c r="L129" s="4" t="s">
        <v>876</v>
      </c>
      <c r="M129" s="4">
        <v>2.0909999999999997</v>
      </c>
      <c r="N129" s="4" t="s">
        <v>115</v>
      </c>
      <c r="O129" s="4" t="s">
        <v>116</v>
      </c>
      <c r="P129" s="4" t="s">
        <v>174</v>
      </c>
      <c r="Q129" s="4" t="s">
        <v>52</v>
      </c>
      <c r="R129" s="4" t="s">
        <v>263</v>
      </c>
      <c r="S129" s="4" t="s">
        <v>175</v>
      </c>
      <c r="T129" s="4" t="s">
        <v>55</v>
      </c>
      <c r="U129" s="4" t="s">
        <v>56</v>
      </c>
      <c r="V129" s="4" t="s">
        <v>71</v>
      </c>
      <c r="W129" s="4">
        <v>5.0E8</v>
      </c>
      <c r="X129" s="4" t="s">
        <v>58</v>
      </c>
      <c r="Y129" s="4" t="s">
        <v>191</v>
      </c>
      <c r="Z129" s="4" t="s">
        <v>60</v>
      </c>
      <c r="AA129" s="4" t="s">
        <v>61</v>
      </c>
      <c r="AB129" s="4" t="s">
        <v>177</v>
      </c>
      <c r="AC129" s="4" t="s">
        <v>192</v>
      </c>
      <c r="AD129" s="3" t="s">
        <v>877</v>
      </c>
      <c r="AE129" s="8" t="s">
        <v>124</v>
      </c>
      <c r="AF129" s="12"/>
      <c r="AG129" s="4" t="str">
        <f t="shared" si="1"/>
        <v/>
      </c>
      <c r="AH129" s="8" t="s">
        <v>140</v>
      </c>
      <c r="AI129" s="4" t="s">
        <v>878</v>
      </c>
      <c r="AJ129" s="7">
        <f>VLOOKUP(D129,'slb RAW'!$E$2:$AF$293,9)</f>
        <v>2.091</v>
      </c>
      <c r="AK129" s="4" t="str">
        <f>VLOOKUP(D129,'slb RAW'!$E$2:$AE$293,27)</f>
        <v>#N/A N/A</v>
      </c>
      <c r="AL129" s="4" t="str">
        <f>VLOOKUP(C129,'Refinitiv SLB'!F129:S306,14)</f>
        <v>#N/A</v>
      </c>
      <c r="AM129" s="4">
        <f t="shared" si="2"/>
        <v>2.091</v>
      </c>
      <c r="AN129" s="9" t="str">
        <f t="shared" si="3"/>
        <v>Johnson Controls International plc / Tyco Fire &amp; Security Finance SCACALLABLEFIXEDUSDSr Unsecured</v>
      </c>
      <c r="AO129" s="7" t="b">
        <f>ISNUMBER( IFERROR(VLOOKUP(A129,Pairs!$E$2:$E$57,1,FALSE),FALSE))</f>
        <v>0</v>
      </c>
      <c r="AP129" s="7"/>
      <c r="AQ129" s="7"/>
    </row>
    <row r="130" ht="15.75" customHeight="1">
      <c r="A130" s="3">
        <v>228.0</v>
      </c>
      <c r="B130" s="4" t="s">
        <v>879</v>
      </c>
      <c r="C130" s="4" t="str">
        <f>VLOOKUP(D130,'slb RAW'!$E:$F,2)</f>
        <v>US781467AE54</v>
      </c>
      <c r="D130" s="4" t="s">
        <v>880</v>
      </c>
      <c r="E130" s="4" t="s">
        <v>881</v>
      </c>
      <c r="F130" s="4" t="s">
        <v>882</v>
      </c>
      <c r="G130" s="4" t="s">
        <v>170</v>
      </c>
      <c r="H130" s="4" t="s">
        <v>170</v>
      </c>
      <c r="I130" s="4" t="s">
        <v>259</v>
      </c>
      <c r="J130" s="4">
        <v>4.2</v>
      </c>
      <c r="K130" s="4" t="s">
        <v>883</v>
      </c>
      <c r="L130" s="4" t="s">
        <v>884</v>
      </c>
      <c r="M130" s="4">
        <v>4.25</v>
      </c>
      <c r="N130" s="4" t="s">
        <v>115</v>
      </c>
      <c r="O130" s="4" t="s">
        <v>116</v>
      </c>
      <c r="P130" s="4" t="s">
        <v>262</v>
      </c>
      <c r="Q130" s="4" t="s">
        <v>52</v>
      </c>
      <c r="R130" s="4" t="s">
        <v>263</v>
      </c>
      <c r="S130" s="4" t="s">
        <v>885</v>
      </c>
      <c r="T130" s="4" t="s">
        <v>55</v>
      </c>
      <c r="U130" s="4" t="s">
        <v>56</v>
      </c>
      <c r="V130" s="4" t="s">
        <v>71</v>
      </c>
      <c r="W130" s="4">
        <v>5.0E8</v>
      </c>
      <c r="X130" s="4" t="s">
        <v>58</v>
      </c>
      <c r="Y130" s="4" t="s">
        <v>886</v>
      </c>
      <c r="Z130" s="4" t="s">
        <v>60</v>
      </c>
      <c r="AA130" s="4" t="s">
        <v>61</v>
      </c>
      <c r="AB130" s="4" t="s">
        <v>280</v>
      </c>
      <c r="AC130" s="4" t="s">
        <v>887</v>
      </c>
      <c r="AD130" s="3" t="s">
        <v>888</v>
      </c>
      <c r="AE130" s="7">
        <v>25.0</v>
      </c>
      <c r="AF130" s="12"/>
      <c r="AG130" s="4" t="str">
        <f t="shared" si="1"/>
        <v/>
      </c>
      <c r="AH130" s="8" t="s">
        <v>125</v>
      </c>
      <c r="AI130" s="4" t="s">
        <v>889</v>
      </c>
      <c r="AJ130" s="7">
        <f>VLOOKUP(D130,'slb RAW'!$E$2:$AF$293,9)</f>
        <v>4.25</v>
      </c>
      <c r="AK130" s="4">
        <f>VLOOKUP(D130,'slb RAW'!$E$2:$AE$293,27)</f>
        <v>4.306</v>
      </c>
      <c r="AL130" s="4">
        <f>VLOOKUP(C130,'Refinitiv SLB'!F130:S307,14)</f>
        <v>1.762</v>
      </c>
      <c r="AM130" s="4">
        <f t="shared" si="2"/>
        <v>4.306</v>
      </c>
      <c r="AN130" s="9" t="str">
        <f t="shared" si="3"/>
        <v>Rumo Luxembourg SarlCALLABLEFIXEDUSDSr Unsecured</v>
      </c>
      <c r="AO130" s="7" t="b">
        <f>ISNUMBER( IFERROR(VLOOKUP(A130,Pairs!$E$2:$E$57,1,FALSE),FALSE))</f>
        <v>0</v>
      </c>
      <c r="AP130" s="7"/>
      <c r="AQ130" s="7"/>
    </row>
    <row r="131" ht="15.75" customHeight="1">
      <c r="A131" s="3">
        <v>229.0</v>
      </c>
      <c r="B131" s="4" t="s">
        <v>879</v>
      </c>
      <c r="C131" s="4" t="str">
        <f>VLOOKUP(D131,'slb RAW'!$E:$F,2)</f>
        <v>USL79090AD51</v>
      </c>
      <c r="D131" s="4" t="s">
        <v>890</v>
      </c>
      <c r="E131" s="4" t="s">
        <v>891</v>
      </c>
      <c r="F131" s="4" t="s">
        <v>882</v>
      </c>
      <c r="G131" s="4" t="s">
        <v>170</v>
      </c>
      <c r="H131" s="4" t="s">
        <v>170</v>
      </c>
      <c r="I131" s="4" t="s">
        <v>259</v>
      </c>
      <c r="J131" s="4">
        <v>4.2</v>
      </c>
      <c r="K131" s="4" t="s">
        <v>883</v>
      </c>
      <c r="L131" s="4" t="s">
        <v>884</v>
      </c>
      <c r="M131" s="4">
        <v>4.25</v>
      </c>
      <c r="N131" s="4" t="s">
        <v>115</v>
      </c>
      <c r="O131" s="4" t="s">
        <v>116</v>
      </c>
      <c r="P131" s="4" t="s">
        <v>271</v>
      </c>
      <c r="Q131" s="4" t="s">
        <v>52</v>
      </c>
      <c r="R131" s="4" t="s">
        <v>263</v>
      </c>
      <c r="S131" s="4" t="s">
        <v>885</v>
      </c>
      <c r="T131" s="4" t="s">
        <v>55</v>
      </c>
      <c r="U131" s="4" t="s">
        <v>56</v>
      </c>
      <c r="V131" s="4" t="s">
        <v>71</v>
      </c>
      <c r="W131" s="4">
        <v>5.0E8</v>
      </c>
      <c r="X131" s="4" t="s">
        <v>58</v>
      </c>
      <c r="Y131" s="4" t="s">
        <v>886</v>
      </c>
      <c r="Z131" s="4" t="s">
        <v>60</v>
      </c>
      <c r="AA131" s="4" t="s">
        <v>61</v>
      </c>
      <c r="AB131" s="4" t="s">
        <v>280</v>
      </c>
      <c r="AC131" s="4" t="s">
        <v>887</v>
      </c>
      <c r="AD131" s="3" t="s">
        <v>892</v>
      </c>
      <c r="AE131" s="7">
        <v>25.0</v>
      </c>
      <c r="AF131" s="12"/>
      <c r="AG131" s="4" t="str">
        <f t="shared" si="1"/>
        <v/>
      </c>
      <c r="AH131" s="8" t="s">
        <v>125</v>
      </c>
      <c r="AI131" s="4" t="s">
        <v>893</v>
      </c>
      <c r="AJ131" s="7">
        <f>VLOOKUP(D131,'slb RAW'!$E$2:$AF$293,9)</f>
        <v>4.25</v>
      </c>
      <c r="AK131" s="4">
        <f>VLOOKUP(D131,'slb RAW'!$E$2:$AE$293,27)</f>
        <v>4.284</v>
      </c>
      <c r="AL131" s="4">
        <f>VLOOKUP(C131,'Refinitiv SLB'!F131:S308,14)</f>
        <v>2.3144</v>
      </c>
      <c r="AM131" s="4">
        <f t="shared" si="2"/>
        <v>4.284</v>
      </c>
      <c r="AN131" s="9" t="str">
        <f t="shared" si="3"/>
        <v>Rumo Luxembourg SarlCALLABLEFIXEDUSDSr Unsecured</v>
      </c>
      <c r="AO131" s="7" t="b">
        <f>ISNUMBER( IFERROR(VLOOKUP(A131,Pairs!$E$2:$E$57,1,FALSE),FALSE))</f>
        <v>0</v>
      </c>
      <c r="AP131" s="7"/>
      <c r="AQ131" s="7"/>
    </row>
    <row r="132" ht="15.75" customHeight="1">
      <c r="A132" s="3">
        <v>117.0</v>
      </c>
      <c r="B132" s="4" t="s">
        <v>894</v>
      </c>
      <c r="C132" s="4" t="str">
        <f>VLOOKUP(D132,'slb RAW'!$E:$F,2)</f>
        <v>SE0013360476</v>
      </c>
      <c r="D132" s="4" t="s">
        <v>895</v>
      </c>
      <c r="E132" s="4" t="s">
        <v>896</v>
      </c>
      <c r="F132" s="4" t="s">
        <v>897</v>
      </c>
      <c r="G132" s="4" t="s">
        <v>368</v>
      </c>
      <c r="H132" s="4" t="s">
        <v>368</v>
      </c>
      <c r="I132" s="4" t="s">
        <v>368</v>
      </c>
      <c r="J132" s="4">
        <v>1.266</v>
      </c>
      <c r="K132" s="4" t="s">
        <v>898</v>
      </c>
      <c r="L132" s="4" t="s">
        <v>899</v>
      </c>
      <c r="M132" s="17">
        <v>1.081</v>
      </c>
      <c r="N132" s="4" t="s">
        <v>49</v>
      </c>
      <c r="O132" s="4" t="s">
        <v>50</v>
      </c>
      <c r="P132" s="4" t="s">
        <v>686</v>
      </c>
      <c r="Q132" s="4" t="s">
        <v>52</v>
      </c>
      <c r="R132" s="4" t="s">
        <v>687</v>
      </c>
      <c r="S132" s="4" t="s">
        <v>54</v>
      </c>
      <c r="T132" s="4" t="s">
        <v>55</v>
      </c>
      <c r="U132" s="4" t="s">
        <v>70</v>
      </c>
      <c r="V132" s="4" t="s">
        <v>392</v>
      </c>
      <c r="W132" s="4">
        <v>6.8178E7</v>
      </c>
      <c r="X132" s="4" t="s">
        <v>85</v>
      </c>
      <c r="Y132" s="4" t="s">
        <v>86</v>
      </c>
      <c r="Z132" s="4" t="s">
        <v>60</v>
      </c>
      <c r="AA132" s="4" t="s">
        <v>61</v>
      </c>
      <c r="AB132" s="4" t="s">
        <v>87</v>
      </c>
      <c r="AC132" s="4" t="s">
        <v>88</v>
      </c>
      <c r="AD132" s="3" t="s">
        <v>900</v>
      </c>
      <c r="AE132" s="8" t="s">
        <v>194</v>
      </c>
      <c r="AF132" s="12"/>
      <c r="AG132" s="4" t="str">
        <f t="shared" si="1"/>
        <v/>
      </c>
      <c r="AH132" s="8" t="s">
        <v>125</v>
      </c>
      <c r="AI132" s="4" t="s">
        <v>901</v>
      </c>
      <c r="AJ132" s="7" t="str">
        <f>VLOOKUP(D132,'slb RAW'!$E$2:$AF$293,9)</f>
        <v>#N/A N/A</v>
      </c>
      <c r="AK132" s="4">
        <f>VLOOKUP(D132,'slb RAW'!$E$2:$AE$293,27)</f>
        <v>0.987</v>
      </c>
      <c r="AL132" s="4" t="str">
        <f>VLOOKUP(C132,'Refinitiv SLB'!F132:S309,14)</f>
        <v>#N/A</v>
      </c>
      <c r="AM132" s="4">
        <f t="shared" si="2"/>
        <v>0.987</v>
      </c>
      <c r="AN132" s="9" t="str">
        <f t="shared" si="3"/>
        <v>Granges ABAT MATURITYFLOATINGSEKSr Unsecured</v>
      </c>
      <c r="AO132" s="7" t="b">
        <f>ISNUMBER( IFERROR(VLOOKUP(A132,Pairs!$E$2:$E$57,1,FALSE),FALSE))</f>
        <v>0</v>
      </c>
      <c r="AP132" s="7"/>
      <c r="AQ132" s="7"/>
    </row>
    <row r="133" ht="15.75" customHeight="1">
      <c r="A133" s="3">
        <v>89.0</v>
      </c>
      <c r="B133" s="4" t="s">
        <v>642</v>
      </c>
      <c r="C133" s="4" t="str">
        <f>VLOOKUP(D133,'slb RAW'!$E:$F,2)</f>
        <v>XS2390400633</v>
      </c>
      <c r="D133" s="4" t="s">
        <v>902</v>
      </c>
      <c r="E133" s="4" t="s">
        <v>903</v>
      </c>
      <c r="F133" s="4" t="s">
        <v>645</v>
      </c>
      <c r="G133" s="4" t="s">
        <v>367</v>
      </c>
      <c r="H133" s="4" t="s">
        <v>367</v>
      </c>
      <c r="I133" s="4" t="s">
        <v>200</v>
      </c>
      <c r="J133" s="4">
        <v>0.0</v>
      </c>
      <c r="K133" s="4" t="s">
        <v>904</v>
      </c>
      <c r="L133" s="4" t="s">
        <v>905</v>
      </c>
      <c r="M133" s="4">
        <v>0.06400000000000002</v>
      </c>
      <c r="N133" s="4" t="s">
        <v>115</v>
      </c>
      <c r="O133" s="4" t="s">
        <v>116</v>
      </c>
      <c r="P133" s="4" t="s">
        <v>226</v>
      </c>
      <c r="Q133" s="4" t="s">
        <v>52</v>
      </c>
      <c r="R133" s="4" t="s">
        <v>53</v>
      </c>
      <c r="S133" s="4" t="s">
        <v>620</v>
      </c>
      <c r="T133" s="4" t="s">
        <v>55</v>
      </c>
      <c r="U133" s="4" t="s">
        <v>56</v>
      </c>
      <c r="V133" s="4" t="s">
        <v>57</v>
      </c>
      <c r="W133" s="4">
        <v>1.46025E9</v>
      </c>
      <c r="X133" s="4" t="s">
        <v>120</v>
      </c>
      <c r="Y133" s="4" t="s">
        <v>120</v>
      </c>
      <c r="Z133" s="4" t="s">
        <v>60</v>
      </c>
      <c r="AA133" s="4" t="s">
        <v>121</v>
      </c>
      <c r="AB133" s="4" t="s">
        <v>122</v>
      </c>
      <c r="AC133" s="4" t="s">
        <v>122</v>
      </c>
      <c r="AD133" s="3" t="s">
        <v>786</v>
      </c>
      <c r="AE133" s="7">
        <v>25.0</v>
      </c>
      <c r="AF133" s="12"/>
      <c r="AG133" s="4" t="str">
        <f t="shared" si="1"/>
        <v/>
      </c>
      <c r="AH133" s="8" t="s">
        <v>125</v>
      </c>
      <c r="AI133" s="4" t="s">
        <v>906</v>
      </c>
      <c r="AJ133" s="7">
        <f>VLOOKUP(D133,'slb RAW'!$E$2:$AF$293,9)</f>
        <v>0.064</v>
      </c>
      <c r="AK133" s="4">
        <f>VLOOKUP(D133,'slb RAW'!$E$2:$AE$293,27)</f>
        <v>0.087</v>
      </c>
      <c r="AL133" s="4">
        <f>VLOOKUP(C133,'Refinitiv SLB'!F133:S310,14)</f>
        <v>5.129</v>
      </c>
      <c r="AM133" s="4">
        <f t="shared" si="2"/>
        <v>0.087</v>
      </c>
      <c r="AN133" s="9" t="str">
        <f t="shared" si="3"/>
        <v>Enel Finance International NVCALLABLEFIXEDEURSr Unsecured</v>
      </c>
      <c r="AO133" s="7" t="b">
        <f>ISNUMBER( IFERROR(VLOOKUP(A133,Pairs!$E$2:$E$57,1,FALSE),FALSE))</f>
        <v>0</v>
      </c>
      <c r="AP133" s="7"/>
      <c r="AQ133" s="7"/>
    </row>
    <row r="134" ht="15.75" customHeight="1">
      <c r="A134" s="3">
        <v>90.0</v>
      </c>
      <c r="B134" s="4" t="s">
        <v>642</v>
      </c>
      <c r="C134" s="4" t="str">
        <f>VLOOKUP(D134,'slb RAW'!$E:$F,2)</f>
        <v>XS2390400716</v>
      </c>
      <c r="D134" s="4" t="s">
        <v>907</v>
      </c>
      <c r="E134" s="4" t="s">
        <v>908</v>
      </c>
      <c r="F134" s="4" t="s">
        <v>645</v>
      </c>
      <c r="G134" s="4" t="s">
        <v>367</v>
      </c>
      <c r="H134" s="4" t="s">
        <v>367</v>
      </c>
      <c r="I134" s="4" t="s">
        <v>200</v>
      </c>
      <c r="J134" s="4">
        <v>0.375</v>
      </c>
      <c r="K134" s="4" t="s">
        <v>904</v>
      </c>
      <c r="L134" s="4" t="s">
        <v>909</v>
      </c>
      <c r="M134" s="4">
        <v>0.388</v>
      </c>
      <c r="N134" s="4" t="s">
        <v>115</v>
      </c>
      <c r="O134" s="4" t="s">
        <v>116</v>
      </c>
      <c r="P134" s="4" t="s">
        <v>910</v>
      </c>
      <c r="Q134" s="4" t="s">
        <v>52</v>
      </c>
      <c r="R134" s="4" t="s">
        <v>53</v>
      </c>
      <c r="S134" s="4" t="s">
        <v>620</v>
      </c>
      <c r="T134" s="4" t="s">
        <v>55</v>
      </c>
      <c r="U134" s="4" t="s">
        <v>56</v>
      </c>
      <c r="V134" s="4" t="s">
        <v>57</v>
      </c>
      <c r="W134" s="4">
        <v>1.1682E9</v>
      </c>
      <c r="X134" s="4" t="s">
        <v>120</v>
      </c>
      <c r="Y134" s="4" t="s">
        <v>120</v>
      </c>
      <c r="Z134" s="4" t="s">
        <v>60</v>
      </c>
      <c r="AA134" s="4" t="s">
        <v>121</v>
      </c>
      <c r="AB134" s="4" t="s">
        <v>122</v>
      </c>
      <c r="AC134" s="4" t="s">
        <v>122</v>
      </c>
      <c r="AD134" s="3" t="s">
        <v>786</v>
      </c>
      <c r="AE134" s="7">
        <v>25.0</v>
      </c>
      <c r="AF134" s="12"/>
      <c r="AG134" s="4" t="str">
        <f t="shared" si="1"/>
        <v/>
      </c>
      <c r="AH134" s="8" t="s">
        <v>125</v>
      </c>
      <c r="AI134" s="4" t="s">
        <v>911</v>
      </c>
      <c r="AJ134" s="7">
        <f>VLOOKUP(D134,'slb RAW'!$E$2:$AF$293,9)</f>
        <v>0.388</v>
      </c>
      <c r="AK134" s="4">
        <f>VLOOKUP(D134,'slb RAW'!$E$2:$AE$293,27)</f>
        <v>0.46</v>
      </c>
      <c r="AL134" s="4">
        <f>VLOOKUP(C134,'Refinitiv SLB'!F134:S311,14)</f>
        <v>4.871</v>
      </c>
      <c r="AM134" s="4">
        <f t="shared" si="2"/>
        <v>0.46</v>
      </c>
      <c r="AN134" s="9" t="str">
        <f t="shared" si="3"/>
        <v>Enel Finance International NVCALLABLEFIXEDEURSr Unsecured</v>
      </c>
      <c r="AO134" s="7" t="b">
        <f>ISNUMBER( IFERROR(VLOOKUP(A134,Pairs!$E$2:$E$57,1,FALSE),FALSE))</f>
        <v>0</v>
      </c>
      <c r="AP134" s="7"/>
      <c r="AQ134" s="7"/>
    </row>
    <row r="135" ht="15.75" customHeight="1">
      <c r="A135" s="3">
        <v>88.0</v>
      </c>
      <c r="B135" s="4" t="s">
        <v>642</v>
      </c>
      <c r="C135" s="4" t="str">
        <f>VLOOKUP(D135,'slb RAW'!$E:$F,2)</f>
        <v>XS2390400807</v>
      </c>
      <c r="D135" s="4" t="s">
        <v>912</v>
      </c>
      <c r="E135" s="4" t="s">
        <v>913</v>
      </c>
      <c r="F135" s="4" t="s">
        <v>645</v>
      </c>
      <c r="G135" s="4" t="s">
        <v>367</v>
      </c>
      <c r="H135" s="4" t="s">
        <v>367</v>
      </c>
      <c r="I135" s="4" t="s">
        <v>200</v>
      </c>
      <c r="J135" s="4">
        <v>0.875</v>
      </c>
      <c r="K135" s="4" t="s">
        <v>904</v>
      </c>
      <c r="L135" s="4" t="s">
        <v>914</v>
      </c>
      <c r="M135" s="11">
        <v>0.9379</v>
      </c>
      <c r="N135" s="4" t="s">
        <v>115</v>
      </c>
      <c r="O135" s="4" t="s">
        <v>116</v>
      </c>
      <c r="P135" s="4" t="s">
        <v>226</v>
      </c>
      <c r="Q135" s="4" t="s">
        <v>52</v>
      </c>
      <c r="R135" s="4" t="s">
        <v>53</v>
      </c>
      <c r="S135" s="4" t="s">
        <v>620</v>
      </c>
      <c r="T135" s="4" t="s">
        <v>55</v>
      </c>
      <c r="U135" s="4" t="s">
        <v>56</v>
      </c>
      <c r="V135" s="4" t="s">
        <v>57</v>
      </c>
      <c r="W135" s="4">
        <v>1.46025E9</v>
      </c>
      <c r="X135" s="4" t="s">
        <v>120</v>
      </c>
      <c r="Y135" s="4" t="s">
        <v>120</v>
      </c>
      <c r="Z135" s="4" t="s">
        <v>60</v>
      </c>
      <c r="AA135" s="4" t="s">
        <v>121</v>
      </c>
      <c r="AB135" s="4" t="s">
        <v>122</v>
      </c>
      <c r="AC135" s="4" t="s">
        <v>122</v>
      </c>
      <c r="AD135" s="3" t="s">
        <v>915</v>
      </c>
      <c r="AE135" s="7">
        <v>25.0</v>
      </c>
      <c r="AF135" s="12"/>
      <c r="AG135" s="4" t="str">
        <f t="shared" si="1"/>
        <v/>
      </c>
      <c r="AH135" s="8" t="s">
        <v>125</v>
      </c>
      <c r="AI135" s="4" t="s">
        <v>916</v>
      </c>
      <c r="AJ135" s="7" t="str">
        <f>VLOOKUP(D135,'slb RAW'!$E$2:$AF$293,9)</f>
        <v>#N/A N/A</v>
      </c>
      <c r="AK135" s="4">
        <f>VLOOKUP(D135,'slb RAW'!$E$2:$AE$293,27)</f>
        <v>0.955</v>
      </c>
      <c r="AL135" s="4">
        <f>VLOOKUP(C135,'Refinitiv SLB'!F135:S312,14)</f>
        <v>4.871</v>
      </c>
      <c r="AM135" s="4">
        <f t="shared" si="2"/>
        <v>0.955</v>
      </c>
      <c r="AN135" s="9" t="str">
        <f t="shared" si="3"/>
        <v>Enel Finance International NVCALLABLEFIXEDEURSr Unsecured</v>
      </c>
      <c r="AO135" s="7" t="b">
        <f>ISNUMBER( IFERROR(VLOOKUP(A135,Pairs!$E$2:$E$57,1,FALSE),FALSE))</f>
        <v>0</v>
      </c>
      <c r="AP135" s="7"/>
      <c r="AQ135" s="7"/>
    </row>
    <row r="136" ht="15.75" customHeight="1">
      <c r="A136" s="3">
        <v>165.0</v>
      </c>
      <c r="B136" s="4" t="s">
        <v>917</v>
      </c>
      <c r="C136" s="4" t="str">
        <f>VLOOKUP(D136,'slb RAW'!$E:$F,2)</f>
        <v>FR0014005OK3</v>
      </c>
      <c r="D136" s="4" t="s">
        <v>918</v>
      </c>
      <c r="E136" s="4" t="s">
        <v>919</v>
      </c>
      <c r="F136" s="4" t="s">
        <v>920</v>
      </c>
      <c r="G136" s="4" t="s">
        <v>185</v>
      </c>
      <c r="H136" s="4" t="s">
        <v>185</v>
      </c>
      <c r="I136" s="4" t="s">
        <v>185</v>
      </c>
      <c r="J136" s="4">
        <v>0.375</v>
      </c>
      <c r="K136" s="4" t="s">
        <v>921</v>
      </c>
      <c r="L136" s="4" t="s">
        <v>922</v>
      </c>
      <c r="M136" s="24">
        <v>0.395</v>
      </c>
      <c r="N136" s="4" t="s">
        <v>115</v>
      </c>
      <c r="O136" s="4" t="s">
        <v>116</v>
      </c>
      <c r="P136" s="4" t="s">
        <v>174</v>
      </c>
      <c r="Q136" s="4" t="s">
        <v>52</v>
      </c>
      <c r="R136" s="4" t="s">
        <v>53</v>
      </c>
      <c r="S136" s="4" t="s">
        <v>190</v>
      </c>
      <c r="T136" s="4" t="s">
        <v>421</v>
      </c>
      <c r="U136" s="4" t="s">
        <v>56</v>
      </c>
      <c r="V136" s="4" t="s">
        <v>57</v>
      </c>
      <c r="W136" s="4">
        <v>6.92586E8</v>
      </c>
      <c r="X136" s="4" t="s">
        <v>58</v>
      </c>
      <c r="Y136" s="4" t="s">
        <v>191</v>
      </c>
      <c r="Z136" s="4" t="s">
        <v>60</v>
      </c>
      <c r="AA136" s="4" t="s">
        <v>61</v>
      </c>
      <c r="AB136" s="4" t="s">
        <v>177</v>
      </c>
      <c r="AC136" s="4" t="s">
        <v>178</v>
      </c>
      <c r="AD136" s="3" t="s">
        <v>923</v>
      </c>
      <c r="AE136" s="7">
        <v>25.0</v>
      </c>
      <c r="AF136" s="12"/>
      <c r="AG136" s="4" t="str">
        <f t="shared" si="1"/>
        <v/>
      </c>
      <c r="AH136" s="8" t="s">
        <v>125</v>
      </c>
      <c r="AI136" s="4" t="s">
        <v>924</v>
      </c>
      <c r="AJ136" s="7">
        <f>VLOOKUP(D136,'slb RAW'!$E$2:$AF$293,9)</f>
        <v>0.395</v>
      </c>
      <c r="AK136" s="4">
        <f>VLOOKUP(D136,'slb RAW'!$E$2:$AE$293,27)</f>
        <v>0.418</v>
      </c>
      <c r="AL136" s="4">
        <f>VLOOKUP(C136,'Refinitiv SLB'!F136:S313,14)</f>
        <v>0.394</v>
      </c>
      <c r="AM136" s="4">
        <f t="shared" si="2"/>
        <v>0.418</v>
      </c>
      <c r="AN136" s="9" t="str">
        <f t="shared" si="3"/>
        <v>Legrand SACALLABLEFIXEDEURSr Unsecured</v>
      </c>
      <c r="AO136" s="7" t="b">
        <f>ISNUMBER( IFERROR(VLOOKUP(A136,Pairs!$E$2:$E$57,1,FALSE),FALSE))</f>
        <v>1</v>
      </c>
      <c r="AP136" s="7"/>
      <c r="AQ136" s="7"/>
    </row>
    <row r="137" ht="15.75" customHeight="1">
      <c r="A137" s="3">
        <v>72.0</v>
      </c>
      <c r="B137" s="4" t="s">
        <v>925</v>
      </c>
      <c r="C137" s="4" t="str">
        <f>VLOOKUP(D137,'slb RAW'!$E:$F,2)</f>
        <v>ES0229743002</v>
      </c>
      <c r="D137" s="4" t="s">
        <v>926</v>
      </c>
      <c r="E137" s="4" t="s">
        <v>927</v>
      </c>
      <c r="F137" s="4" t="s">
        <v>928</v>
      </c>
      <c r="G137" s="4" t="s">
        <v>223</v>
      </c>
      <c r="H137" s="4" t="s">
        <v>223</v>
      </c>
      <c r="I137" s="4" t="s">
        <v>223</v>
      </c>
      <c r="J137" s="4">
        <v>3.025</v>
      </c>
      <c r="K137" s="4" t="s">
        <v>929</v>
      </c>
      <c r="L137" s="4" t="s">
        <v>930</v>
      </c>
      <c r="M137" s="10" t="s">
        <v>48</v>
      </c>
      <c r="N137" s="4" t="s">
        <v>49</v>
      </c>
      <c r="O137" s="4" t="s">
        <v>50</v>
      </c>
      <c r="P137" s="4" t="s">
        <v>174</v>
      </c>
      <c r="Q137" s="4" t="s">
        <v>52</v>
      </c>
      <c r="R137" s="4" t="s">
        <v>53</v>
      </c>
      <c r="S137" s="4" t="s">
        <v>54</v>
      </c>
      <c r="T137" s="4" t="s">
        <v>55</v>
      </c>
      <c r="U137" s="4" t="s">
        <v>56</v>
      </c>
      <c r="V137" s="4" t="s">
        <v>71</v>
      </c>
      <c r="W137" s="4">
        <v>3.47121E7</v>
      </c>
      <c r="X137" s="4" t="s">
        <v>58</v>
      </c>
      <c r="Y137" s="4" t="s">
        <v>506</v>
      </c>
      <c r="Z137" s="4" t="s">
        <v>60</v>
      </c>
      <c r="AA137" s="4" t="s">
        <v>61</v>
      </c>
      <c r="AB137" s="4" t="s">
        <v>62</v>
      </c>
      <c r="AC137" s="4" t="s">
        <v>62</v>
      </c>
      <c r="AD137" s="3" t="s">
        <v>931</v>
      </c>
      <c r="AE137" s="8" t="s">
        <v>124</v>
      </c>
      <c r="AF137" s="12"/>
      <c r="AG137" s="4" t="str">
        <f t="shared" si="1"/>
        <v/>
      </c>
      <c r="AH137" s="8" t="s">
        <v>125</v>
      </c>
      <c r="AI137" s="4" t="s">
        <v>932</v>
      </c>
      <c r="AJ137" s="7" t="str">
        <f>VLOOKUP(D137,'slb RAW'!$E$2:$AF$293,9)</f>
        <v>#N/A N/A</v>
      </c>
      <c r="AK137" s="4" t="str">
        <f>VLOOKUP(D137,'slb RAW'!$E$2:$AE$293,27)</f>
        <v>#N/A N/A</v>
      </c>
      <c r="AL137" s="4">
        <f>VLOOKUP(C137,'Refinitiv SLB'!F137:S314,14)</f>
        <v>0.394</v>
      </c>
      <c r="AM137" s="4" t="str">
        <f t="shared" si="2"/>
        <v>#N/A N/A</v>
      </c>
      <c r="AN137" s="9" t="str">
        <f t="shared" si="3"/>
        <v>Elecnor SAAT MATURITYFIXEDEURSr Unsecured</v>
      </c>
      <c r="AO137" s="7" t="b">
        <f>ISNUMBER( IFERROR(VLOOKUP(A137,Pairs!$E$2:$E$57,1,FALSE),FALSE))</f>
        <v>0</v>
      </c>
      <c r="AP137" s="7"/>
      <c r="AQ137" s="7"/>
    </row>
    <row r="138" ht="15.75" customHeight="1">
      <c r="A138" s="3">
        <v>33.0</v>
      </c>
      <c r="B138" s="4" t="s">
        <v>933</v>
      </c>
      <c r="C138" s="4" t="str">
        <f>VLOOKUP(D138,'slb RAW'!$E:$F,2)</f>
        <v>#N/A Field Not Applicable</v>
      </c>
      <c r="D138" s="4" t="s">
        <v>934</v>
      </c>
      <c r="E138" s="4" t="s">
        <v>935</v>
      </c>
      <c r="F138" s="4" t="s">
        <v>936</v>
      </c>
      <c r="G138" s="4" t="s">
        <v>45</v>
      </c>
      <c r="H138" s="4" t="s">
        <v>45</v>
      </c>
      <c r="I138" s="4" t="s">
        <v>45</v>
      </c>
      <c r="J138" s="5">
        <v>0.0</v>
      </c>
      <c r="K138" s="4" t="s">
        <v>937</v>
      </c>
      <c r="L138" s="4" t="s">
        <v>938</v>
      </c>
      <c r="M138" s="10" t="s">
        <v>48</v>
      </c>
      <c r="N138" s="4" t="s">
        <v>49</v>
      </c>
      <c r="O138" s="4" t="s">
        <v>50</v>
      </c>
      <c r="P138" s="4" t="s">
        <v>51</v>
      </c>
      <c r="Q138" s="4" t="s">
        <v>52</v>
      </c>
      <c r="R138" s="4" t="s">
        <v>53</v>
      </c>
      <c r="S138" s="4" t="s">
        <v>54</v>
      </c>
      <c r="T138" s="4" t="s">
        <v>55</v>
      </c>
      <c r="U138" s="4" t="s">
        <v>56</v>
      </c>
      <c r="V138" s="4" t="s">
        <v>57</v>
      </c>
      <c r="W138" s="4">
        <v>1.15123E8</v>
      </c>
      <c r="X138" s="4" t="s">
        <v>85</v>
      </c>
      <c r="Y138" s="4" t="s">
        <v>515</v>
      </c>
      <c r="Z138" s="4" t="s">
        <v>60</v>
      </c>
      <c r="AA138" s="4" t="s">
        <v>61</v>
      </c>
      <c r="AB138" s="4" t="s">
        <v>87</v>
      </c>
      <c r="AC138" s="4" t="s">
        <v>515</v>
      </c>
      <c r="AD138" s="3" t="s">
        <v>939</v>
      </c>
      <c r="AE138" s="8" t="s">
        <v>124</v>
      </c>
      <c r="AF138" s="12"/>
      <c r="AG138" s="4" t="str">
        <f t="shared" si="1"/>
        <v/>
      </c>
      <c r="AH138" s="8" t="s">
        <v>64</v>
      </c>
      <c r="AI138" s="4" t="s">
        <v>940</v>
      </c>
      <c r="AJ138" s="7" t="str">
        <f>VLOOKUP(D138,'slb RAW'!$E$2:$AF$293,9)</f>
        <v>#N/A N/A</v>
      </c>
      <c r="AK138" s="4" t="str">
        <f>VLOOKUP(D138,'slb RAW'!$E$2:$AE$293,27)</f>
        <v>#N/A N/A</v>
      </c>
      <c r="AL138" s="4" t="str">
        <f>VLOOKUP(C138,'Refinitiv SLB'!F138:S315,14)</f>
        <v>#N/A</v>
      </c>
      <c r="AM138" s="4" t="str">
        <f t="shared" si="2"/>
        <v>#N/A N/A</v>
      </c>
      <c r="AN138" s="9" t="str">
        <f t="shared" si="3"/>
        <v>Biesterfeld AGAT MATURITYFIXEDEURSr Unsecured</v>
      </c>
      <c r="AO138" s="7" t="b">
        <f>ISNUMBER( IFERROR(VLOOKUP(A138,Pairs!$E$2:$E$57,1,FALSE),FALSE))</f>
        <v>0</v>
      </c>
      <c r="AP138" s="7"/>
      <c r="AQ138" s="7"/>
    </row>
    <row r="139" ht="15.75" customHeight="1">
      <c r="A139" s="3">
        <v>31.0</v>
      </c>
      <c r="B139" s="4" t="s">
        <v>933</v>
      </c>
      <c r="C139" s="4" t="str">
        <f>VLOOKUP(D139,'slb RAW'!$E:$F,2)</f>
        <v>#N/A Field Not Applicable</v>
      </c>
      <c r="D139" s="4" t="s">
        <v>941</v>
      </c>
      <c r="E139" s="4" t="s">
        <v>942</v>
      </c>
      <c r="F139" s="4" t="s">
        <v>936</v>
      </c>
      <c r="G139" s="4" t="s">
        <v>45</v>
      </c>
      <c r="H139" s="4" t="s">
        <v>45</v>
      </c>
      <c r="I139" s="4" t="s">
        <v>45</v>
      </c>
      <c r="J139" s="5">
        <v>0.0</v>
      </c>
      <c r="K139" s="4" t="s">
        <v>937</v>
      </c>
      <c r="L139" s="4" t="s">
        <v>943</v>
      </c>
      <c r="M139" s="10" t="s">
        <v>48</v>
      </c>
      <c r="N139" s="4" t="s">
        <v>49</v>
      </c>
      <c r="O139" s="4" t="s">
        <v>50</v>
      </c>
      <c r="P139" s="4" t="s">
        <v>69</v>
      </c>
      <c r="Q139" s="4" t="s">
        <v>52</v>
      </c>
      <c r="R139" s="4" t="s">
        <v>53</v>
      </c>
      <c r="S139" s="4" t="s">
        <v>54</v>
      </c>
      <c r="T139" s="4" t="s">
        <v>55</v>
      </c>
      <c r="U139" s="4" t="s">
        <v>70</v>
      </c>
      <c r="V139" s="4" t="s">
        <v>71</v>
      </c>
      <c r="W139" s="4">
        <v>1.15123E8</v>
      </c>
      <c r="X139" s="4" t="s">
        <v>85</v>
      </c>
      <c r="Y139" s="4" t="s">
        <v>515</v>
      </c>
      <c r="Z139" s="4" t="s">
        <v>60</v>
      </c>
      <c r="AA139" s="4" t="s">
        <v>61</v>
      </c>
      <c r="AB139" s="4" t="s">
        <v>87</v>
      </c>
      <c r="AC139" s="4" t="s">
        <v>515</v>
      </c>
      <c r="AD139" s="3" t="s">
        <v>939</v>
      </c>
      <c r="AE139" s="8" t="s">
        <v>124</v>
      </c>
      <c r="AF139" s="12"/>
      <c r="AG139" s="4" t="str">
        <f t="shared" si="1"/>
        <v/>
      </c>
      <c r="AH139" s="8" t="s">
        <v>64</v>
      </c>
      <c r="AI139" s="4" t="s">
        <v>940</v>
      </c>
      <c r="AJ139" s="7" t="str">
        <f>VLOOKUP(D139,'slb RAW'!$E$2:$AF$293,9)</f>
        <v>#N/A N/A</v>
      </c>
      <c r="AK139" s="4" t="str">
        <f>VLOOKUP(D139,'slb RAW'!$E$2:$AE$293,27)</f>
        <v>#N/A N/A</v>
      </c>
      <c r="AL139" s="4" t="str">
        <f>VLOOKUP(C139,'Refinitiv SLB'!F139:S316,14)</f>
        <v>#N/A</v>
      </c>
      <c r="AM139" s="4" t="str">
        <f t="shared" si="2"/>
        <v>#N/A N/A</v>
      </c>
      <c r="AN139" s="9" t="str">
        <f t="shared" si="3"/>
        <v>Biesterfeld AGAT MATURITYFLOATINGEURSr Unsecured</v>
      </c>
      <c r="AO139" s="7" t="b">
        <f>ISNUMBER( IFERROR(VLOOKUP(A139,Pairs!$E$2:$E$57,1,FALSE),FALSE))</f>
        <v>0</v>
      </c>
      <c r="AP139" s="7"/>
      <c r="AQ139" s="7"/>
    </row>
    <row r="140" ht="15.75" customHeight="1">
      <c r="A140" s="3">
        <v>32.0</v>
      </c>
      <c r="B140" s="4" t="s">
        <v>933</v>
      </c>
      <c r="C140" s="4" t="str">
        <f>VLOOKUP(D140,'slb RAW'!$E:$F,2)</f>
        <v>#N/A Field Not Applicable</v>
      </c>
      <c r="D140" s="4" t="s">
        <v>944</v>
      </c>
      <c r="E140" s="4" t="s">
        <v>945</v>
      </c>
      <c r="F140" s="4" t="s">
        <v>936</v>
      </c>
      <c r="G140" s="4" t="s">
        <v>45</v>
      </c>
      <c r="H140" s="4" t="s">
        <v>45</v>
      </c>
      <c r="I140" s="4" t="s">
        <v>45</v>
      </c>
      <c r="J140" s="5">
        <v>0.0</v>
      </c>
      <c r="K140" s="4" t="s">
        <v>937</v>
      </c>
      <c r="L140" s="4" t="s">
        <v>946</v>
      </c>
      <c r="M140" s="10" t="s">
        <v>48</v>
      </c>
      <c r="N140" s="4" t="s">
        <v>49</v>
      </c>
      <c r="O140" s="4" t="s">
        <v>50</v>
      </c>
      <c r="P140" s="4" t="s">
        <v>76</v>
      </c>
      <c r="Q140" s="4" t="s">
        <v>52</v>
      </c>
      <c r="R140" s="4" t="s">
        <v>53</v>
      </c>
      <c r="S140" s="4" t="s">
        <v>54</v>
      </c>
      <c r="T140" s="4" t="s">
        <v>55</v>
      </c>
      <c r="U140" s="4" t="s">
        <v>70</v>
      </c>
      <c r="V140" s="4" t="s">
        <v>71</v>
      </c>
      <c r="W140" s="4">
        <v>1.15123E8</v>
      </c>
      <c r="X140" s="4" t="s">
        <v>85</v>
      </c>
      <c r="Y140" s="4" t="s">
        <v>515</v>
      </c>
      <c r="Z140" s="4" t="s">
        <v>60</v>
      </c>
      <c r="AA140" s="4" t="s">
        <v>61</v>
      </c>
      <c r="AB140" s="4" t="s">
        <v>87</v>
      </c>
      <c r="AC140" s="4" t="s">
        <v>515</v>
      </c>
      <c r="AD140" s="3" t="s">
        <v>939</v>
      </c>
      <c r="AE140" s="8" t="s">
        <v>124</v>
      </c>
      <c r="AF140" s="12"/>
      <c r="AG140" s="4" t="str">
        <f t="shared" si="1"/>
        <v/>
      </c>
      <c r="AH140" s="8" t="s">
        <v>64</v>
      </c>
      <c r="AI140" s="4" t="s">
        <v>940</v>
      </c>
      <c r="AJ140" s="7" t="str">
        <f>VLOOKUP(D140,'slb RAW'!$E$2:$AF$293,9)</f>
        <v>#N/A N/A</v>
      </c>
      <c r="AK140" s="4" t="str">
        <f>VLOOKUP(D140,'slb RAW'!$E$2:$AE$293,27)</f>
        <v>#N/A N/A</v>
      </c>
      <c r="AL140" s="4" t="str">
        <f>VLOOKUP(C140,'Refinitiv SLB'!F140:S317,14)</f>
        <v>#N/A</v>
      </c>
      <c r="AM140" s="4" t="str">
        <f t="shared" si="2"/>
        <v>#N/A N/A</v>
      </c>
      <c r="AN140" s="9" t="str">
        <f t="shared" si="3"/>
        <v>Biesterfeld AGAT MATURITYFLOATINGEURSr Unsecured</v>
      </c>
      <c r="AO140" s="7" t="b">
        <f>ISNUMBER( IFERROR(VLOOKUP(A140,Pairs!$E$2:$E$57,1,FALSE),FALSE))</f>
        <v>1</v>
      </c>
      <c r="AP140" s="7"/>
      <c r="AQ140" s="7"/>
    </row>
    <row r="141" ht="15.75" customHeight="1">
      <c r="A141" s="3">
        <v>185.0</v>
      </c>
      <c r="B141" s="4" t="s">
        <v>947</v>
      </c>
      <c r="C141" s="4" t="str">
        <f>VLOOKUP(D141,'slb RAW'!$E:$F,2)</f>
        <v>XS2393539593</v>
      </c>
      <c r="D141" s="4" t="s">
        <v>948</v>
      </c>
      <c r="E141" s="4" t="s">
        <v>949</v>
      </c>
      <c r="F141" s="4" t="s">
        <v>950</v>
      </c>
      <c r="G141" s="4" t="s">
        <v>367</v>
      </c>
      <c r="H141" s="4" t="s">
        <v>367</v>
      </c>
      <c r="I141" s="4" t="s">
        <v>367</v>
      </c>
      <c r="J141" s="4">
        <v>0.75</v>
      </c>
      <c r="K141" s="4" t="s">
        <v>951</v>
      </c>
      <c r="L141" s="4" t="s">
        <v>952</v>
      </c>
      <c r="M141" s="4">
        <v>0.763</v>
      </c>
      <c r="N141" s="4" t="s">
        <v>115</v>
      </c>
      <c r="O141" s="4" t="s">
        <v>116</v>
      </c>
      <c r="P141" s="4" t="s">
        <v>226</v>
      </c>
      <c r="Q141" s="4" t="s">
        <v>52</v>
      </c>
      <c r="R141" s="4" t="s">
        <v>53</v>
      </c>
      <c r="S141" s="4" t="s">
        <v>190</v>
      </c>
      <c r="T141" s="4" t="s">
        <v>55</v>
      </c>
      <c r="U141" s="4" t="s">
        <v>56</v>
      </c>
      <c r="V141" s="4" t="s">
        <v>57</v>
      </c>
      <c r="W141" s="4">
        <v>3.47337E8</v>
      </c>
      <c r="X141" s="4" t="s">
        <v>120</v>
      </c>
      <c r="Y141" s="4" t="s">
        <v>120</v>
      </c>
      <c r="Z141" s="4" t="s">
        <v>203</v>
      </c>
      <c r="AA141" s="4" t="s">
        <v>412</v>
      </c>
      <c r="AB141" s="4" t="s">
        <v>413</v>
      </c>
      <c r="AC141" s="4" t="s">
        <v>413</v>
      </c>
      <c r="AD141" s="3" t="s">
        <v>953</v>
      </c>
      <c r="AE141" s="8" t="s">
        <v>124</v>
      </c>
      <c r="AF141" s="12"/>
      <c r="AG141" s="4" t="str">
        <f t="shared" si="1"/>
        <v/>
      </c>
      <c r="AH141" s="8" t="s">
        <v>125</v>
      </c>
      <c r="AI141" s="4" t="s">
        <v>954</v>
      </c>
      <c r="AJ141" s="7">
        <f>VLOOKUP(D141,'slb RAW'!$E$2:$AF$293,9)</f>
        <v>0.763</v>
      </c>
      <c r="AK141" s="4">
        <f>VLOOKUP(D141,'slb RAW'!$E$2:$AE$293,27)</f>
        <v>0.78</v>
      </c>
      <c r="AL141" s="4">
        <f>VLOOKUP(C141,'Refinitiv SLB'!F141:S318,14)</f>
        <v>5.129</v>
      </c>
      <c r="AM141" s="4">
        <f t="shared" si="2"/>
        <v>0.78</v>
      </c>
      <c r="AN141" s="9" t="str">
        <f t="shared" si="3"/>
        <v>Nederlandse Gasunie NVCALLABLEFIXEDEURSr Unsecured</v>
      </c>
      <c r="AO141" s="7" t="b">
        <f>ISNUMBER( IFERROR(VLOOKUP(A141,Pairs!$E$2:$E$57,1,FALSE),FALSE))</f>
        <v>0</v>
      </c>
      <c r="AP141" s="7"/>
      <c r="AQ141" s="7"/>
    </row>
    <row r="142" ht="15.75" customHeight="1">
      <c r="A142" s="3">
        <v>48.0</v>
      </c>
      <c r="B142" s="4" t="s">
        <v>955</v>
      </c>
      <c r="C142" s="4" t="str">
        <f>VLOOKUP(D142,'slb RAW'!$E:$F,2)</f>
        <v>XS2397355095</v>
      </c>
      <c r="D142" s="4" t="s">
        <v>956</v>
      </c>
      <c r="E142" s="4" t="s">
        <v>957</v>
      </c>
      <c r="F142" s="4" t="s">
        <v>958</v>
      </c>
      <c r="G142" s="4" t="s">
        <v>170</v>
      </c>
      <c r="H142" s="4" t="s">
        <v>170</v>
      </c>
      <c r="I142" s="4" t="s">
        <v>170</v>
      </c>
      <c r="J142" s="4">
        <v>4.625</v>
      </c>
      <c r="K142" s="4" t="s">
        <v>959</v>
      </c>
      <c r="L142" s="4" t="s">
        <v>960</v>
      </c>
      <c r="M142" s="25">
        <v>4.6976</v>
      </c>
      <c r="N142" s="4" t="s">
        <v>115</v>
      </c>
      <c r="O142" s="4" t="s">
        <v>116</v>
      </c>
      <c r="P142" s="4" t="s">
        <v>262</v>
      </c>
      <c r="Q142" s="4" t="s">
        <v>459</v>
      </c>
      <c r="R142" s="4" t="s">
        <v>53</v>
      </c>
      <c r="S142" s="4" t="s">
        <v>297</v>
      </c>
      <c r="T142" s="4" t="s">
        <v>55</v>
      </c>
      <c r="U142" s="4" t="s">
        <v>56</v>
      </c>
      <c r="V142" s="4" t="s">
        <v>71</v>
      </c>
      <c r="W142" s="4">
        <v>4.380754E8</v>
      </c>
      <c r="X142" s="4" t="s">
        <v>214</v>
      </c>
      <c r="Y142" s="4" t="s">
        <v>961</v>
      </c>
      <c r="Z142" s="4" t="s">
        <v>60</v>
      </c>
      <c r="AA142" s="4" t="s">
        <v>61</v>
      </c>
      <c r="AB142" s="4" t="s">
        <v>214</v>
      </c>
      <c r="AC142" s="4" t="s">
        <v>216</v>
      </c>
      <c r="AD142" s="3" t="s">
        <v>962</v>
      </c>
      <c r="AE142" s="7">
        <v>75.0</v>
      </c>
      <c r="AF142" s="12"/>
      <c r="AG142" s="4" t="str">
        <f t="shared" si="1"/>
        <v/>
      </c>
      <c r="AH142" s="8" t="s">
        <v>125</v>
      </c>
      <c r="AI142" s="4" t="s">
        <v>963</v>
      </c>
      <c r="AJ142" s="7" t="str">
        <f>VLOOKUP(D142,'slb RAW'!$E$2:$AF$293,9)</f>
        <v>#N/A N/A</v>
      </c>
      <c r="AK142" s="4">
        <f>VLOOKUP(D142,'slb RAW'!$E$2:$AE$293,27)</f>
        <v>4.644</v>
      </c>
      <c r="AL142" s="4" t="str">
        <f>VLOOKUP(C142,'Refinitiv SLB'!F142:S319,14)</f>
        <v>#N/A</v>
      </c>
      <c r="AM142" s="4">
        <f t="shared" si="2"/>
        <v>4.644</v>
      </c>
      <c r="AN142" s="9" t="str">
        <f t="shared" si="3"/>
        <v>Cullinan Holdco ScspCALLABLEFIXEDEURSecured</v>
      </c>
      <c r="AO142" s="7" t="b">
        <f>ISNUMBER( IFERROR(VLOOKUP(A142,Pairs!$E$2:$E$57,1,FALSE),FALSE))</f>
        <v>0</v>
      </c>
      <c r="AP142" s="7"/>
      <c r="AQ142" s="7"/>
    </row>
    <row r="143" ht="15.75" customHeight="1">
      <c r="A143" s="3">
        <v>49.0</v>
      </c>
      <c r="B143" s="4" t="s">
        <v>955</v>
      </c>
      <c r="C143" s="4" t="str">
        <f>VLOOKUP(D143,'slb RAW'!$E:$F,2)</f>
        <v>XS2397354288</v>
      </c>
      <c r="D143" s="4" t="s">
        <v>964</v>
      </c>
      <c r="E143" s="4" t="s">
        <v>965</v>
      </c>
      <c r="F143" s="4" t="s">
        <v>958</v>
      </c>
      <c r="G143" s="4" t="s">
        <v>170</v>
      </c>
      <c r="H143" s="4" t="s">
        <v>170</v>
      </c>
      <c r="I143" s="4" t="s">
        <v>170</v>
      </c>
      <c r="J143" s="4">
        <v>4.75</v>
      </c>
      <c r="K143" s="4" t="s">
        <v>959</v>
      </c>
      <c r="L143" s="4" t="s">
        <v>960</v>
      </c>
      <c r="M143" s="25">
        <v>4.739</v>
      </c>
      <c r="N143" s="4" t="s">
        <v>115</v>
      </c>
      <c r="O143" s="4" t="s">
        <v>116</v>
      </c>
      <c r="P143" s="4" t="s">
        <v>262</v>
      </c>
      <c r="Q143" s="4" t="s">
        <v>459</v>
      </c>
      <c r="R143" s="4" t="s">
        <v>53</v>
      </c>
      <c r="S143" s="4" t="s">
        <v>297</v>
      </c>
      <c r="T143" s="4" t="s">
        <v>55</v>
      </c>
      <c r="U143" s="4" t="s">
        <v>70</v>
      </c>
      <c r="V143" s="4" t="s">
        <v>392</v>
      </c>
      <c r="W143" s="4">
        <v>2.882075E8</v>
      </c>
      <c r="X143" s="4" t="s">
        <v>214</v>
      </c>
      <c r="Y143" s="4" t="s">
        <v>961</v>
      </c>
      <c r="Z143" s="4" t="s">
        <v>60</v>
      </c>
      <c r="AA143" s="4" t="s">
        <v>61</v>
      </c>
      <c r="AB143" s="4" t="s">
        <v>214</v>
      </c>
      <c r="AC143" s="4" t="s">
        <v>216</v>
      </c>
      <c r="AD143" s="3" t="s">
        <v>962</v>
      </c>
      <c r="AE143" s="7">
        <v>75.0</v>
      </c>
      <c r="AF143" s="12"/>
      <c r="AG143" s="4" t="str">
        <f t="shared" si="1"/>
        <v/>
      </c>
      <c r="AH143" s="8" t="s">
        <v>125</v>
      </c>
      <c r="AI143" s="4" t="s">
        <v>966</v>
      </c>
      <c r="AJ143" s="7" t="str">
        <f>VLOOKUP(D143,'slb RAW'!$E$2:$AF$293,9)</f>
        <v>#N/A N/A</v>
      </c>
      <c r="AK143" s="4" t="str">
        <f>VLOOKUP(D143,'slb RAW'!$E$2:$AE$293,27)</f>
        <v>#N/A N/A</v>
      </c>
      <c r="AL143" s="4" t="str">
        <f>VLOOKUP(C143,'Refinitiv SLB'!F143:S320,14)</f>
        <v>#N/A</v>
      </c>
      <c r="AM143" s="4" t="str">
        <f t="shared" si="2"/>
        <v>#N/A N/A</v>
      </c>
      <c r="AN143" s="9" t="str">
        <f t="shared" si="3"/>
        <v>Cullinan Holdco ScspCALLABLEFLOATINGEURSecured</v>
      </c>
      <c r="AO143" s="7" t="b">
        <f>ISNUMBER( IFERROR(VLOOKUP(A143,Pairs!$E$2:$E$57,1,FALSE),FALSE))</f>
        <v>0</v>
      </c>
      <c r="AP143" s="7"/>
      <c r="AQ143" s="7"/>
    </row>
    <row r="144" ht="15.75" customHeight="1">
      <c r="A144" s="3">
        <v>51.0</v>
      </c>
      <c r="B144" s="4" t="s">
        <v>955</v>
      </c>
      <c r="C144" s="4" t="str">
        <f>VLOOKUP(D144,'slb RAW'!$E:$F,2)</f>
        <v>XS2397354528</v>
      </c>
      <c r="D144" s="4" t="s">
        <v>967</v>
      </c>
      <c r="E144" s="4" t="s">
        <v>968</v>
      </c>
      <c r="F144" s="4" t="s">
        <v>958</v>
      </c>
      <c r="G144" s="4" t="s">
        <v>170</v>
      </c>
      <c r="H144" s="4" t="s">
        <v>170</v>
      </c>
      <c r="I144" s="4" t="s">
        <v>170</v>
      </c>
      <c r="J144" s="4">
        <v>4.625</v>
      </c>
      <c r="K144" s="4" t="s">
        <v>959</v>
      </c>
      <c r="L144" s="4" t="s">
        <v>960</v>
      </c>
      <c r="M144" s="25">
        <v>4.6477</v>
      </c>
      <c r="N144" s="4" t="s">
        <v>115</v>
      </c>
      <c r="O144" s="4" t="s">
        <v>116</v>
      </c>
      <c r="P144" s="4" t="s">
        <v>271</v>
      </c>
      <c r="Q144" s="4" t="s">
        <v>459</v>
      </c>
      <c r="R144" s="4" t="s">
        <v>53</v>
      </c>
      <c r="S144" s="4" t="s">
        <v>297</v>
      </c>
      <c r="T144" s="4" t="s">
        <v>55</v>
      </c>
      <c r="U144" s="4" t="s">
        <v>56</v>
      </c>
      <c r="V144" s="4" t="s">
        <v>71</v>
      </c>
      <c r="W144" s="4">
        <v>4.380754E8</v>
      </c>
      <c r="X144" s="4" t="s">
        <v>214</v>
      </c>
      <c r="Y144" s="4" t="s">
        <v>961</v>
      </c>
      <c r="Z144" s="4" t="s">
        <v>60</v>
      </c>
      <c r="AA144" s="4" t="s">
        <v>61</v>
      </c>
      <c r="AB144" s="4" t="s">
        <v>214</v>
      </c>
      <c r="AC144" s="4" t="s">
        <v>216</v>
      </c>
      <c r="AD144" s="3" t="s">
        <v>962</v>
      </c>
      <c r="AE144" s="7">
        <v>75.0</v>
      </c>
      <c r="AF144" s="12"/>
      <c r="AG144" s="4" t="str">
        <f t="shared" si="1"/>
        <v/>
      </c>
      <c r="AH144" s="8" t="s">
        <v>125</v>
      </c>
      <c r="AI144" s="4" t="s">
        <v>963</v>
      </c>
      <c r="AJ144" s="7" t="str">
        <f>VLOOKUP(D144,'slb RAW'!$E$2:$AF$293,9)</f>
        <v>#N/A N/A</v>
      </c>
      <c r="AK144" s="4">
        <f>VLOOKUP(D144,'slb RAW'!$E$2:$AE$293,27)</f>
        <v>4.602</v>
      </c>
      <c r="AL144" s="4">
        <f>VLOOKUP(C144,'Refinitiv SLB'!F144:S321,14)</f>
        <v>4.231</v>
      </c>
      <c r="AM144" s="4">
        <f t="shared" si="2"/>
        <v>4.602</v>
      </c>
      <c r="AN144" s="9" t="str">
        <f t="shared" si="3"/>
        <v>Cullinan Holdco ScspCALLABLEFIXEDEURSecured</v>
      </c>
      <c r="AO144" s="7" t="b">
        <f>ISNUMBER( IFERROR(VLOOKUP(A144,Pairs!$E$2:$E$57,1,FALSE),FALSE))</f>
        <v>0</v>
      </c>
      <c r="AP144" s="7"/>
      <c r="AQ144" s="7"/>
    </row>
    <row r="145" ht="15.75" customHeight="1">
      <c r="A145" s="3">
        <v>50.0</v>
      </c>
      <c r="B145" s="4" t="s">
        <v>955</v>
      </c>
      <c r="C145" s="4" t="str">
        <f>VLOOKUP(D145,'slb RAW'!$E:$F,2)</f>
        <v>XS2397354015</v>
      </c>
      <c r="D145" s="4" t="s">
        <v>969</v>
      </c>
      <c r="E145" s="4" t="s">
        <v>970</v>
      </c>
      <c r="F145" s="4" t="s">
        <v>958</v>
      </c>
      <c r="G145" s="4" t="s">
        <v>170</v>
      </c>
      <c r="H145" s="4" t="s">
        <v>170</v>
      </c>
      <c r="I145" s="4" t="s">
        <v>170</v>
      </c>
      <c r="J145" s="4">
        <v>4.75</v>
      </c>
      <c r="K145" s="4" t="s">
        <v>959</v>
      </c>
      <c r="L145" s="4" t="s">
        <v>960</v>
      </c>
      <c r="M145" s="25">
        <v>4.8159</v>
      </c>
      <c r="N145" s="4" t="s">
        <v>115</v>
      </c>
      <c r="O145" s="4" t="s">
        <v>116</v>
      </c>
      <c r="P145" s="4" t="s">
        <v>271</v>
      </c>
      <c r="Q145" s="4" t="s">
        <v>459</v>
      </c>
      <c r="R145" s="4" t="s">
        <v>53</v>
      </c>
      <c r="S145" s="4" t="s">
        <v>297</v>
      </c>
      <c r="T145" s="4" t="s">
        <v>55</v>
      </c>
      <c r="U145" s="4" t="s">
        <v>70</v>
      </c>
      <c r="V145" s="4" t="s">
        <v>392</v>
      </c>
      <c r="W145" s="4">
        <v>2.882075E8</v>
      </c>
      <c r="X145" s="4" t="s">
        <v>214</v>
      </c>
      <c r="Y145" s="4" t="s">
        <v>961</v>
      </c>
      <c r="Z145" s="4" t="s">
        <v>60</v>
      </c>
      <c r="AA145" s="4" t="s">
        <v>61</v>
      </c>
      <c r="AB145" s="4" t="s">
        <v>214</v>
      </c>
      <c r="AC145" s="4" t="s">
        <v>216</v>
      </c>
      <c r="AD145" s="3" t="s">
        <v>962</v>
      </c>
      <c r="AE145" s="7">
        <v>75.0</v>
      </c>
      <c r="AF145" s="12"/>
      <c r="AG145" s="4" t="str">
        <f t="shared" si="1"/>
        <v/>
      </c>
      <c r="AH145" s="8" t="s">
        <v>125</v>
      </c>
      <c r="AI145" s="4" t="s">
        <v>966</v>
      </c>
      <c r="AJ145" s="7" t="str">
        <f>VLOOKUP(D145,'slb RAW'!$E$2:$AF$293,9)</f>
        <v>#N/A N/A</v>
      </c>
      <c r="AK145" s="4">
        <f>VLOOKUP(D145,'slb RAW'!$E$2:$AE$293,27)</f>
        <v>4.764</v>
      </c>
      <c r="AL145" s="4">
        <f>VLOOKUP(C145,'Refinitiv SLB'!F145:S322,14)</f>
        <v>4.231</v>
      </c>
      <c r="AM145" s="4">
        <f t="shared" si="2"/>
        <v>4.764</v>
      </c>
      <c r="AN145" s="9" t="str">
        <f t="shared" si="3"/>
        <v>Cullinan Holdco ScspCALLABLEFLOATINGEURSecured</v>
      </c>
      <c r="AO145" s="7" t="b">
        <f>ISNUMBER( IFERROR(VLOOKUP(A145,Pairs!$E$2:$E$57,1,FALSE),FALSE))</f>
        <v>0</v>
      </c>
      <c r="AP145" s="7"/>
      <c r="AQ145" s="7"/>
    </row>
    <row r="146" ht="15.75" customHeight="1">
      <c r="A146" s="3">
        <v>174.0</v>
      </c>
      <c r="B146" s="4" t="s">
        <v>971</v>
      </c>
      <c r="C146" s="4" t="str">
        <f>VLOOKUP(D146,'slb RAW'!$E:$F,2)</f>
        <v>XS2395419844</v>
      </c>
      <c r="D146" s="4" t="s">
        <v>972</v>
      </c>
      <c r="E146" s="4" t="s">
        <v>973</v>
      </c>
      <c r="F146" s="4" t="s">
        <v>974</v>
      </c>
      <c r="G146" s="4" t="s">
        <v>367</v>
      </c>
      <c r="H146" s="4" t="s">
        <v>367</v>
      </c>
      <c r="I146" s="4" t="s">
        <v>367</v>
      </c>
      <c r="J146" s="4">
        <v>0.89</v>
      </c>
      <c r="K146" s="4" t="s">
        <v>951</v>
      </c>
      <c r="L146" s="4" t="s">
        <v>975</v>
      </c>
      <c r="M146" s="11">
        <v>0.8584</v>
      </c>
      <c r="N146" s="4" t="s">
        <v>49</v>
      </c>
      <c r="O146" s="4" t="s">
        <v>50</v>
      </c>
      <c r="P146" s="4" t="s">
        <v>174</v>
      </c>
      <c r="Q146" s="4" t="s">
        <v>52</v>
      </c>
      <c r="R146" s="4" t="s">
        <v>976</v>
      </c>
      <c r="S146" s="4" t="s">
        <v>54</v>
      </c>
      <c r="T146" s="4" t="s">
        <v>55</v>
      </c>
      <c r="U146" s="4" t="s">
        <v>56</v>
      </c>
      <c r="V146" s="4" t="s">
        <v>71</v>
      </c>
      <c r="W146" s="4">
        <v>8.81438E7</v>
      </c>
      <c r="X146" s="4" t="s">
        <v>422</v>
      </c>
      <c r="Y146" s="4" t="s">
        <v>977</v>
      </c>
      <c r="Z146" s="4" t="s">
        <v>60</v>
      </c>
      <c r="AA146" s="4" t="s">
        <v>61</v>
      </c>
      <c r="AB146" s="4" t="s">
        <v>136</v>
      </c>
      <c r="AC146" s="4" t="s">
        <v>137</v>
      </c>
      <c r="AD146" s="3" t="s">
        <v>978</v>
      </c>
      <c r="AE146" s="8" t="s">
        <v>124</v>
      </c>
      <c r="AF146" s="8" t="s">
        <v>124</v>
      </c>
      <c r="AG146" s="4" t="str">
        <f t="shared" si="1"/>
        <v>yes</v>
      </c>
      <c r="AH146" s="8" t="s">
        <v>125</v>
      </c>
      <c r="AI146" s="4" t="s">
        <v>979</v>
      </c>
      <c r="AJ146" s="7" t="str">
        <f>VLOOKUP(D146,'slb RAW'!$E$2:$AF$293,9)</f>
        <v>#N/A N/A</v>
      </c>
      <c r="AK146" s="4">
        <f>VLOOKUP(D146,'slb RAW'!$E$2:$AE$293,27)</f>
        <v>0.861</v>
      </c>
      <c r="AL146" s="4">
        <f>VLOOKUP(C146,'Refinitiv SLB'!F146:S323,14)</f>
        <v>4.231</v>
      </c>
      <c r="AM146" s="4">
        <f t="shared" si="2"/>
        <v>0.861</v>
      </c>
      <c r="AN146" s="9" t="str">
        <f t="shared" si="3"/>
        <v>Louis Dreyfus Co BVAT MATURITYFIXEDJPYSr Unsecured</v>
      </c>
      <c r="AO146" s="7" t="b">
        <f>ISNUMBER( IFERROR(VLOOKUP(A146,Pairs!$E$2:$E$57,1,FALSE),FALSE))</f>
        <v>0</v>
      </c>
      <c r="AP146" s="7"/>
      <c r="AQ146" s="7"/>
    </row>
    <row r="147" ht="15.75" customHeight="1">
      <c r="A147" s="3">
        <v>126.0</v>
      </c>
      <c r="B147" s="4" t="s">
        <v>980</v>
      </c>
      <c r="C147" s="4" t="str">
        <f>VLOOKUP(D147,'slb RAW'!$E:$F,2)</f>
        <v>XS2399933386</v>
      </c>
      <c r="D147" s="4" t="s">
        <v>981</v>
      </c>
      <c r="E147" s="4" t="s">
        <v>982</v>
      </c>
      <c r="F147" s="4" t="s">
        <v>983</v>
      </c>
      <c r="G147" s="4" t="s">
        <v>200</v>
      </c>
      <c r="H147" s="4" t="s">
        <v>200</v>
      </c>
      <c r="I147" s="4" t="s">
        <v>200</v>
      </c>
      <c r="J147" s="4">
        <v>1.0</v>
      </c>
      <c r="K147" s="4" t="s">
        <v>984</v>
      </c>
      <c r="L147" s="4" t="s">
        <v>985</v>
      </c>
      <c r="M147" s="4">
        <v>1.077</v>
      </c>
      <c r="N147" s="4" t="s">
        <v>115</v>
      </c>
      <c r="O147" s="4" t="s">
        <v>116</v>
      </c>
      <c r="P147" s="4" t="s">
        <v>226</v>
      </c>
      <c r="Q147" s="4" t="s">
        <v>52</v>
      </c>
      <c r="R147" s="4" t="s">
        <v>53</v>
      </c>
      <c r="S147" s="4" t="s">
        <v>175</v>
      </c>
      <c r="T147" s="4" t="s">
        <v>55</v>
      </c>
      <c r="U147" s="4" t="s">
        <v>56</v>
      </c>
      <c r="V147" s="4" t="s">
        <v>57</v>
      </c>
      <c r="W147" s="4">
        <v>5.80285E8</v>
      </c>
      <c r="X147" s="4" t="s">
        <v>120</v>
      </c>
      <c r="Y147" s="4" t="s">
        <v>120</v>
      </c>
      <c r="Z147" s="4" t="s">
        <v>203</v>
      </c>
      <c r="AA147" s="4" t="s">
        <v>412</v>
      </c>
      <c r="AB147" s="4" t="s">
        <v>986</v>
      </c>
      <c r="AC147" s="4" t="s">
        <v>986</v>
      </c>
      <c r="AD147" s="3" t="s">
        <v>987</v>
      </c>
      <c r="AE147" s="8" t="s">
        <v>124</v>
      </c>
      <c r="AF147" s="12"/>
      <c r="AG147" s="4" t="str">
        <f t="shared" si="1"/>
        <v/>
      </c>
      <c r="AH147" s="8" t="s">
        <v>125</v>
      </c>
      <c r="AI147" s="4" t="s">
        <v>988</v>
      </c>
      <c r="AJ147" s="7">
        <f>VLOOKUP(D147,'slb RAW'!$E$2:$AF$293,9)</f>
        <v>1.077</v>
      </c>
      <c r="AK147" s="4">
        <f>VLOOKUP(D147,'slb RAW'!$E$2:$AE$293,27)</f>
        <v>0.998</v>
      </c>
      <c r="AL147" s="4">
        <f>VLOOKUP(C147,'Refinitiv SLB'!F147:S324,14)</f>
        <v>5.129</v>
      </c>
      <c r="AM147" s="4">
        <f t="shared" si="2"/>
        <v>0.998</v>
      </c>
      <c r="AN147" s="9" t="str">
        <f t="shared" si="3"/>
        <v>Hera SpACALLABLEFIXEDEURSr Unsecured</v>
      </c>
      <c r="AO147" s="7" t="b">
        <f>ISNUMBER( IFERROR(VLOOKUP(A147,Pairs!$E$2:$E$57,1,FALSE),FALSE))</f>
        <v>0</v>
      </c>
      <c r="AP147" s="7"/>
      <c r="AQ147" s="7"/>
    </row>
    <row r="148" ht="15.75" customHeight="1">
      <c r="A148" s="3">
        <v>189.0</v>
      </c>
      <c r="B148" s="4" t="s">
        <v>989</v>
      </c>
      <c r="C148" s="4" t="str">
        <f>VLOOKUP(D148,'slb RAW'!$E:$F,2)</f>
        <v>XS2393520734</v>
      </c>
      <c r="D148" s="4" t="s">
        <v>990</v>
      </c>
      <c r="E148" s="4" t="s">
        <v>991</v>
      </c>
      <c r="F148" s="4" t="s">
        <v>992</v>
      </c>
      <c r="G148" s="4" t="s">
        <v>200</v>
      </c>
      <c r="H148" s="4" t="s">
        <v>200</v>
      </c>
      <c r="I148" s="4" t="s">
        <v>200</v>
      </c>
      <c r="J148" s="4">
        <v>2.25</v>
      </c>
      <c r="K148" s="4" t="s">
        <v>937</v>
      </c>
      <c r="L148" s="4" t="s">
        <v>993</v>
      </c>
      <c r="M148" s="11">
        <v>2.2769</v>
      </c>
      <c r="N148" s="4" t="s">
        <v>115</v>
      </c>
      <c r="O148" s="4" t="s">
        <v>116</v>
      </c>
      <c r="P148" s="4" t="s">
        <v>226</v>
      </c>
      <c r="Q148" s="4" t="s">
        <v>52</v>
      </c>
      <c r="R148" s="4" t="s">
        <v>53</v>
      </c>
      <c r="S148" s="3" t="s">
        <v>139</v>
      </c>
      <c r="T148" s="4" t="s">
        <v>55</v>
      </c>
      <c r="U148" s="4" t="s">
        <v>56</v>
      </c>
      <c r="V148" s="4" t="s">
        <v>57</v>
      </c>
      <c r="W148" s="4">
        <v>1.841968E8</v>
      </c>
      <c r="X148" s="4" t="s">
        <v>134</v>
      </c>
      <c r="Y148" s="4" t="s">
        <v>330</v>
      </c>
      <c r="Z148" s="4" t="s">
        <v>60</v>
      </c>
      <c r="AA148" s="4" t="s">
        <v>61</v>
      </c>
      <c r="AB148" s="4" t="s">
        <v>136</v>
      </c>
      <c r="AC148" s="4" t="s">
        <v>137</v>
      </c>
      <c r="AD148" s="3" t="s">
        <v>994</v>
      </c>
      <c r="AE148" s="7">
        <v>25.0</v>
      </c>
      <c r="AF148" s="12"/>
      <c r="AG148" s="4" t="str">
        <f t="shared" si="1"/>
        <v/>
      </c>
      <c r="AH148" s="8" t="s">
        <v>125</v>
      </c>
      <c r="AI148" s="4" t="s">
        <v>995</v>
      </c>
      <c r="AJ148" s="7" t="str">
        <f>VLOOKUP(D148,'slb RAW'!$E$2:$AF$293,9)</f>
        <v>#N/A N/A</v>
      </c>
      <c r="AK148" s="4">
        <f>VLOOKUP(D148,'slb RAW'!$E$2:$AE$293,27)</f>
        <v>2.272</v>
      </c>
      <c r="AL148" s="4">
        <f>VLOOKUP(C148,'Refinitiv SLB'!F148:S325,14)</f>
        <v>5.129</v>
      </c>
      <c r="AM148" s="4">
        <f t="shared" si="2"/>
        <v>2.272</v>
      </c>
      <c r="AN148" s="9" t="str">
        <f t="shared" si="3"/>
        <v>OVS SpACALLABLEFIXEDEURSr Unsecured</v>
      </c>
      <c r="AO148" s="7" t="b">
        <f>ISNUMBER( IFERROR(VLOOKUP(A148,Pairs!$E$2:$E$57,1,FALSE),FALSE))</f>
        <v>0</v>
      </c>
      <c r="AP148" s="7"/>
      <c r="AQ148" s="7"/>
    </row>
    <row r="149" ht="15.75" customHeight="1">
      <c r="A149" s="3">
        <v>217.0</v>
      </c>
      <c r="B149" s="4" t="s">
        <v>996</v>
      </c>
      <c r="C149" s="4" t="str">
        <f>VLOOKUP(D149,'slb RAW'!$E:$F,2)</f>
        <v>#N/A Field Not Applicable</v>
      </c>
      <c r="D149" s="4" t="s">
        <v>997</v>
      </c>
      <c r="E149" s="4" t="s">
        <v>998</v>
      </c>
      <c r="F149" s="4" t="s">
        <v>999</v>
      </c>
      <c r="G149" s="4" t="s">
        <v>45</v>
      </c>
      <c r="H149" s="4" t="s">
        <v>45</v>
      </c>
      <c r="I149" s="4" t="s">
        <v>45</v>
      </c>
      <c r="J149" s="4">
        <v>0.0</v>
      </c>
      <c r="K149" s="4" t="s">
        <v>1000</v>
      </c>
      <c r="L149" s="4" t="s">
        <v>1001</v>
      </c>
      <c r="M149" s="10" t="s">
        <v>48</v>
      </c>
      <c r="N149" s="4" t="s">
        <v>49</v>
      </c>
      <c r="O149" s="4" t="s">
        <v>50</v>
      </c>
      <c r="P149" s="4" t="s">
        <v>69</v>
      </c>
      <c r="Q149" s="4" t="s">
        <v>52</v>
      </c>
      <c r="R149" s="4" t="s">
        <v>53</v>
      </c>
      <c r="S149" s="4" t="s">
        <v>54</v>
      </c>
      <c r="T149" s="4" t="s">
        <v>55</v>
      </c>
      <c r="U149" s="4" t="s">
        <v>70</v>
      </c>
      <c r="V149" s="4" t="s">
        <v>71</v>
      </c>
      <c r="W149" s="4">
        <v>2.25864E8</v>
      </c>
      <c r="X149" s="4" t="s">
        <v>85</v>
      </c>
      <c r="Y149" s="4" t="s">
        <v>515</v>
      </c>
      <c r="Z149" s="4" t="s">
        <v>60</v>
      </c>
      <c r="AA149" s="4" t="s">
        <v>61</v>
      </c>
      <c r="AB149" s="4" t="s">
        <v>87</v>
      </c>
      <c r="AC149" s="4" t="s">
        <v>515</v>
      </c>
      <c r="AD149" s="3" t="s">
        <v>1002</v>
      </c>
      <c r="AE149" s="8" t="s">
        <v>124</v>
      </c>
      <c r="AF149" s="8" t="s">
        <v>124</v>
      </c>
      <c r="AG149" s="4" t="str">
        <f t="shared" si="1"/>
        <v>yes</v>
      </c>
      <c r="AH149" s="8" t="s">
        <v>612</v>
      </c>
      <c r="AI149" s="4" t="s">
        <v>1003</v>
      </c>
      <c r="AJ149" s="7" t="str">
        <f>VLOOKUP(D149,'slb RAW'!$E$2:$AF$293,9)</f>
        <v>#N/A N/A</v>
      </c>
      <c r="AK149" s="4" t="str">
        <f>VLOOKUP(D149,'slb RAW'!$E$2:$AE$293,27)</f>
        <v>#N/A N/A</v>
      </c>
      <c r="AL149" s="4" t="str">
        <f>VLOOKUP(C149,'Refinitiv SLB'!F149:S326,14)</f>
        <v>#N/A</v>
      </c>
      <c r="AM149" s="4" t="str">
        <f t="shared" si="2"/>
        <v>#N/A N/A</v>
      </c>
      <c r="AN149" s="9" t="str">
        <f t="shared" si="3"/>
        <v>Renolit SEAT MATURITYFLOATINGEURSr Unsecured</v>
      </c>
      <c r="AO149" s="7" t="b">
        <f>ISNUMBER( IFERROR(VLOOKUP(A149,Pairs!$E$2:$E$57,1,FALSE),FALSE))</f>
        <v>0</v>
      </c>
      <c r="AP149" s="7"/>
      <c r="AQ149" s="7"/>
    </row>
    <row r="150" ht="15.75" customHeight="1">
      <c r="A150" s="3">
        <v>219.0</v>
      </c>
      <c r="B150" s="4" t="s">
        <v>996</v>
      </c>
      <c r="C150" s="4" t="str">
        <f>VLOOKUP(D150,'slb RAW'!$E:$F,2)</f>
        <v>#N/A Field Not Applicable</v>
      </c>
      <c r="D150" s="4" t="s">
        <v>1004</v>
      </c>
      <c r="E150" s="4" t="s">
        <v>1005</v>
      </c>
      <c r="F150" s="4" t="s">
        <v>999</v>
      </c>
      <c r="G150" s="4" t="s">
        <v>45</v>
      </c>
      <c r="H150" s="4" t="s">
        <v>45</v>
      </c>
      <c r="I150" s="4" t="s">
        <v>45</v>
      </c>
      <c r="J150" s="4">
        <v>0.0</v>
      </c>
      <c r="K150" s="4" t="s">
        <v>1000</v>
      </c>
      <c r="L150" s="4" t="s">
        <v>1006</v>
      </c>
      <c r="M150" s="10" t="s">
        <v>48</v>
      </c>
      <c r="N150" s="4" t="s">
        <v>49</v>
      </c>
      <c r="O150" s="4" t="s">
        <v>50</v>
      </c>
      <c r="P150" s="4" t="s">
        <v>145</v>
      </c>
      <c r="Q150" s="4" t="s">
        <v>52</v>
      </c>
      <c r="R150" s="4" t="s">
        <v>53</v>
      </c>
      <c r="S150" s="4" t="s">
        <v>54</v>
      </c>
      <c r="T150" s="4" t="s">
        <v>55</v>
      </c>
      <c r="U150" s="4" t="s">
        <v>70</v>
      </c>
      <c r="V150" s="4" t="s">
        <v>71</v>
      </c>
      <c r="W150" s="4">
        <v>2.25864E8</v>
      </c>
      <c r="X150" s="4" t="s">
        <v>85</v>
      </c>
      <c r="Y150" s="4" t="s">
        <v>515</v>
      </c>
      <c r="Z150" s="4" t="s">
        <v>60</v>
      </c>
      <c r="AA150" s="4" t="s">
        <v>61</v>
      </c>
      <c r="AB150" s="4" t="s">
        <v>87</v>
      </c>
      <c r="AC150" s="4" t="s">
        <v>515</v>
      </c>
      <c r="AD150" s="3" t="s">
        <v>1002</v>
      </c>
      <c r="AE150" s="8" t="s">
        <v>124</v>
      </c>
      <c r="AF150" s="8" t="s">
        <v>124</v>
      </c>
      <c r="AG150" s="4" t="str">
        <f t="shared" si="1"/>
        <v>yes</v>
      </c>
      <c r="AH150" s="8" t="s">
        <v>612</v>
      </c>
      <c r="AI150" s="4" t="s">
        <v>1007</v>
      </c>
      <c r="AJ150" s="7" t="str">
        <f>VLOOKUP(D150,'slb RAW'!$E$2:$AF$293,9)</f>
        <v>#N/A N/A</v>
      </c>
      <c r="AK150" s="4" t="str">
        <f>VLOOKUP(D150,'slb RAW'!$E$2:$AE$293,27)</f>
        <v>#N/A N/A</v>
      </c>
      <c r="AL150" s="4" t="str">
        <f>VLOOKUP(C150,'Refinitiv SLB'!F150:S327,14)</f>
        <v>#N/A</v>
      </c>
      <c r="AM150" s="4" t="str">
        <f t="shared" si="2"/>
        <v>#N/A N/A</v>
      </c>
      <c r="AN150" s="9" t="str">
        <f t="shared" si="3"/>
        <v>Renolit SEAT MATURITYFLOATINGEURSr Unsecured</v>
      </c>
      <c r="AO150" s="7" t="b">
        <f>ISNUMBER( IFERROR(VLOOKUP(A150,Pairs!$E$2:$E$57,1,FALSE),FALSE))</f>
        <v>0</v>
      </c>
      <c r="AP150" s="7"/>
      <c r="AQ150" s="7"/>
    </row>
    <row r="151" ht="15.75" customHeight="1">
      <c r="A151" s="3">
        <v>220.0</v>
      </c>
      <c r="B151" s="4" t="s">
        <v>996</v>
      </c>
      <c r="C151" s="4" t="str">
        <f>VLOOKUP(D151,'slb RAW'!$E:$F,2)</f>
        <v>#N/A Field Not Applicable</v>
      </c>
      <c r="D151" s="4" t="s">
        <v>1008</v>
      </c>
      <c r="E151" s="4" t="s">
        <v>1009</v>
      </c>
      <c r="F151" s="4" t="s">
        <v>999</v>
      </c>
      <c r="G151" s="4" t="s">
        <v>45</v>
      </c>
      <c r="H151" s="4" t="s">
        <v>45</v>
      </c>
      <c r="I151" s="4" t="s">
        <v>45</v>
      </c>
      <c r="J151" s="4">
        <v>0.0</v>
      </c>
      <c r="K151" s="4" t="s">
        <v>1000</v>
      </c>
      <c r="L151" s="4" t="s">
        <v>1010</v>
      </c>
      <c r="M151" s="10" t="s">
        <v>48</v>
      </c>
      <c r="N151" s="4" t="s">
        <v>49</v>
      </c>
      <c r="O151" s="4" t="s">
        <v>50</v>
      </c>
      <c r="P151" s="4" t="s">
        <v>76</v>
      </c>
      <c r="Q151" s="4" t="s">
        <v>52</v>
      </c>
      <c r="R151" s="4" t="s">
        <v>53</v>
      </c>
      <c r="S151" s="4" t="s">
        <v>54</v>
      </c>
      <c r="T151" s="4" t="s">
        <v>55</v>
      </c>
      <c r="U151" s="4" t="s">
        <v>70</v>
      </c>
      <c r="V151" s="4" t="s">
        <v>71</v>
      </c>
      <c r="W151" s="4">
        <v>2.25864E8</v>
      </c>
      <c r="X151" s="4" t="s">
        <v>85</v>
      </c>
      <c r="Y151" s="4" t="s">
        <v>515</v>
      </c>
      <c r="Z151" s="4" t="s">
        <v>60</v>
      </c>
      <c r="AA151" s="4" t="s">
        <v>61</v>
      </c>
      <c r="AB151" s="4" t="s">
        <v>87</v>
      </c>
      <c r="AC151" s="4" t="s">
        <v>515</v>
      </c>
      <c r="AD151" s="3" t="s">
        <v>1002</v>
      </c>
      <c r="AE151" s="8" t="s">
        <v>124</v>
      </c>
      <c r="AF151" s="8" t="s">
        <v>124</v>
      </c>
      <c r="AG151" s="4" t="str">
        <f t="shared" si="1"/>
        <v>yes</v>
      </c>
      <c r="AH151" s="8" t="s">
        <v>612</v>
      </c>
      <c r="AI151" s="4" t="s">
        <v>1003</v>
      </c>
      <c r="AJ151" s="7" t="str">
        <f>VLOOKUP(D151,'slb RAW'!$E$2:$AF$293,9)</f>
        <v>#N/A N/A</v>
      </c>
      <c r="AK151" s="4" t="str">
        <f>VLOOKUP(D151,'slb RAW'!$E$2:$AE$293,27)</f>
        <v>#N/A N/A</v>
      </c>
      <c r="AL151" s="4" t="str">
        <f>VLOOKUP(C151,'Refinitiv SLB'!F151:S328,14)</f>
        <v>#N/A</v>
      </c>
      <c r="AM151" s="4" t="str">
        <f t="shared" si="2"/>
        <v>#N/A N/A</v>
      </c>
      <c r="AN151" s="9" t="str">
        <f t="shared" si="3"/>
        <v>Renolit SEAT MATURITYFLOATINGEURSr Unsecured</v>
      </c>
      <c r="AO151" s="7" t="b">
        <f>ISNUMBER( IFERROR(VLOOKUP(A151,Pairs!$E$2:$E$57,1,FALSE),FALSE))</f>
        <v>0</v>
      </c>
      <c r="AP151" s="7"/>
      <c r="AQ151" s="7"/>
    </row>
    <row r="152" ht="15.75" customHeight="1">
      <c r="A152" s="3">
        <v>237.0</v>
      </c>
      <c r="B152" s="4" t="s">
        <v>1011</v>
      </c>
      <c r="C152" s="4" t="str">
        <f>VLOOKUP(D152,'slb RAW'!$E:$F,2)</f>
        <v>XS2399981435</v>
      </c>
      <c r="D152" s="4" t="s">
        <v>1012</v>
      </c>
      <c r="E152" s="4" t="s">
        <v>1013</v>
      </c>
      <c r="F152" s="4" t="s">
        <v>1014</v>
      </c>
      <c r="G152" s="4" t="s">
        <v>185</v>
      </c>
      <c r="H152" s="4" t="s">
        <v>185</v>
      </c>
      <c r="I152" s="4" t="s">
        <v>185</v>
      </c>
      <c r="J152" s="4">
        <v>2.25</v>
      </c>
      <c r="K152" s="4" t="s">
        <v>1015</v>
      </c>
      <c r="L152" s="4" t="s">
        <v>1016</v>
      </c>
      <c r="M152" s="11">
        <v>2.1872</v>
      </c>
      <c r="N152" s="4" t="s">
        <v>115</v>
      </c>
      <c r="O152" s="4" t="s">
        <v>116</v>
      </c>
      <c r="P152" s="4" t="s">
        <v>174</v>
      </c>
      <c r="Q152" s="4" t="s">
        <v>52</v>
      </c>
      <c r="R152" s="4" t="s">
        <v>53</v>
      </c>
      <c r="S152" s="4" t="s">
        <v>885</v>
      </c>
      <c r="T152" s="4" t="s">
        <v>55</v>
      </c>
      <c r="U152" s="4" t="s">
        <v>56</v>
      </c>
      <c r="V152" s="4" t="s">
        <v>71</v>
      </c>
      <c r="W152" s="4">
        <v>3.46422E8</v>
      </c>
      <c r="X152" s="4" t="s">
        <v>58</v>
      </c>
      <c r="Y152" s="4" t="s">
        <v>865</v>
      </c>
      <c r="Z152" s="4" t="s">
        <v>60</v>
      </c>
      <c r="AA152" s="4" t="s">
        <v>61</v>
      </c>
      <c r="AB152" s="4" t="s">
        <v>177</v>
      </c>
      <c r="AC152" s="4" t="s">
        <v>866</v>
      </c>
      <c r="AD152" s="3" t="s">
        <v>1017</v>
      </c>
      <c r="AE152" s="8" t="s">
        <v>124</v>
      </c>
      <c r="AF152" s="12"/>
      <c r="AG152" s="4" t="str">
        <f t="shared" si="1"/>
        <v/>
      </c>
      <c r="AH152" s="8" t="s">
        <v>125</v>
      </c>
      <c r="AI152" s="4" t="s">
        <v>1018</v>
      </c>
      <c r="AJ152" s="7" t="str">
        <f>VLOOKUP(D152,'slb RAW'!$E$2:$AF$293,9)</f>
        <v>#N/A N/A</v>
      </c>
      <c r="AK152" s="4">
        <f>VLOOKUP(D152,'slb RAW'!$E$2:$AE$293,27)</f>
        <v>2.114</v>
      </c>
      <c r="AL152" s="4">
        <f>VLOOKUP(C152,'Refinitiv SLB'!F152:S329,14)</f>
        <v>5.129</v>
      </c>
      <c r="AM152" s="4">
        <f t="shared" si="2"/>
        <v>2.114</v>
      </c>
      <c r="AN152" s="9" t="str">
        <f t="shared" si="3"/>
        <v>Seche Environnement SACALLABLEFIXEDEURSr Unsecured</v>
      </c>
      <c r="AO152" s="7" t="b">
        <f>ISNUMBER( IFERROR(VLOOKUP(A152,Pairs!$E$2:$E$57,1,FALSE),FALSE))</f>
        <v>0</v>
      </c>
      <c r="AP152" s="7"/>
      <c r="AQ152" s="7"/>
    </row>
    <row r="153" ht="15.75" customHeight="1">
      <c r="A153" s="3">
        <v>118.0</v>
      </c>
      <c r="B153" s="4" t="s">
        <v>1019</v>
      </c>
      <c r="C153" s="4" t="str">
        <f>VLOOKUP(D153,'slb RAW'!$E:$F,2)</f>
        <v>SE0017072457</v>
      </c>
      <c r="D153" s="4" t="s">
        <v>1020</v>
      </c>
      <c r="E153" s="4" t="s">
        <v>1021</v>
      </c>
      <c r="F153" s="4" t="s">
        <v>1022</v>
      </c>
      <c r="G153" s="4" t="s">
        <v>368</v>
      </c>
      <c r="H153" s="4" t="s">
        <v>368</v>
      </c>
      <c r="I153" s="4" t="s">
        <v>368</v>
      </c>
      <c r="J153" s="4">
        <v>7.0</v>
      </c>
      <c r="K153" s="4" t="s">
        <v>1015</v>
      </c>
      <c r="L153" s="4" t="s">
        <v>1023</v>
      </c>
      <c r="M153" s="17">
        <v>6.8084</v>
      </c>
      <c r="N153" s="4" t="s">
        <v>115</v>
      </c>
      <c r="O153" s="4" t="s">
        <v>116</v>
      </c>
      <c r="P153" s="4" t="s">
        <v>174</v>
      </c>
      <c r="Q153" s="4" t="s">
        <v>459</v>
      </c>
      <c r="R153" s="4" t="s">
        <v>687</v>
      </c>
      <c r="S153" s="4" t="s">
        <v>54</v>
      </c>
      <c r="T153" s="4" t="s">
        <v>55</v>
      </c>
      <c r="U153" s="4" t="s">
        <v>70</v>
      </c>
      <c r="V153" s="4" t="s">
        <v>392</v>
      </c>
      <c r="W153" s="4">
        <v>1.22136E8</v>
      </c>
      <c r="X153" s="4" t="s">
        <v>422</v>
      </c>
      <c r="Y153" s="4" t="s">
        <v>664</v>
      </c>
      <c r="Z153" s="4" t="s">
        <v>60</v>
      </c>
      <c r="AA153" s="4" t="s">
        <v>61</v>
      </c>
      <c r="AB153" s="4" t="s">
        <v>228</v>
      </c>
      <c r="AC153" s="4" t="s">
        <v>665</v>
      </c>
      <c r="AD153" s="10" t="s">
        <v>48</v>
      </c>
      <c r="AE153" s="8" t="s">
        <v>139</v>
      </c>
      <c r="AF153" s="12"/>
      <c r="AG153" s="4" t="str">
        <f t="shared" si="1"/>
        <v/>
      </c>
      <c r="AH153" s="12"/>
      <c r="AI153" s="4" t="s">
        <v>1024</v>
      </c>
      <c r="AJ153" s="7" t="str">
        <f>VLOOKUP(D153,'slb RAW'!$E$2:$AF$293,9)</f>
        <v>#N/A N/A</v>
      </c>
      <c r="AK153" s="4">
        <f>VLOOKUP(D153,'slb RAW'!$E$2:$AE$293,27)</f>
        <v>6.711</v>
      </c>
      <c r="AL153" s="4" t="str">
        <f>VLOOKUP(C153,'Refinitiv SLB'!F153:S330,14)</f>
        <v>#N/A</v>
      </c>
      <c r="AM153" s="4">
        <f t="shared" si="2"/>
        <v>6.711</v>
      </c>
      <c r="AN153" s="9" t="str">
        <f t="shared" si="3"/>
        <v>Greenfood ABCALLABLEFLOATINGSEKSecured</v>
      </c>
      <c r="AO153" s="7" t="b">
        <f>ISNUMBER( IFERROR(VLOOKUP(A153,Pairs!$E$2:$E$57,1,FALSE),FALSE))</f>
        <v>0</v>
      </c>
      <c r="AP153" s="7"/>
      <c r="AQ153" s="7"/>
    </row>
    <row r="154" ht="15.75" customHeight="1">
      <c r="A154" s="3">
        <v>207.0</v>
      </c>
      <c r="B154" s="4" t="s">
        <v>1025</v>
      </c>
      <c r="C154" s="4" t="str">
        <f>VLOOKUP(D154,'slb RAW'!$E:$F,2)</f>
        <v>#N/A Field Not Applicable</v>
      </c>
      <c r="D154" s="4" t="s">
        <v>1026</v>
      </c>
      <c r="E154" s="4" t="s">
        <v>1027</v>
      </c>
      <c r="F154" s="4" t="s">
        <v>1028</v>
      </c>
      <c r="G154" s="4" t="s">
        <v>258</v>
      </c>
      <c r="H154" s="4" t="s">
        <v>258</v>
      </c>
      <c r="I154" s="4" t="s">
        <v>186</v>
      </c>
      <c r="J154" s="4">
        <v>0.5629999999999998</v>
      </c>
      <c r="K154" s="4" t="s">
        <v>1029</v>
      </c>
      <c r="L154" s="4" t="s">
        <v>1030</v>
      </c>
      <c r="M154" s="10" t="s">
        <v>48</v>
      </c>
      <c r="N154" s="4" t="s">
        <v>49</v>
      </c>
      <c r="O154" s="4" t="s">
        <v>50</v>
      </c>
      <c r="P154" s="4" t="s">
        <v>51</v>
      </c>
      <c r="Q154" s="4" t="s">
        <v>52</v>
      </c>
      <c r="R154" s="4" t="s">
        <v>53</v>
      </c>
      <c r="S154" s="4" t="s">
        <v>54</v>
      </c>
      <c r="T154" s="4" t="s">
        <v>55</v>
      </c>
      <c r="U154" s="4" t="s">
        <v>70</v>
      </c>
      <c r="V154" s="4" t="s">
        <v>71</v>
      </c>
      <c r="W154" s="4">
        <v>2.810975E8</v>
      </c>
      <c r="X154" s="4" t="s">
        <v>58</v>
      </c>
      <c r="Y154" s="4" t="s">
        <v>59</v>
      </c>
      <c r="Z154" s="4" t="s">
        <v>60</v>
      </c>
      <c r="AA154" s="4" t="s">
        <v>61</v>
      </c>
      <c r="AB154" s="4" t="s">
        <v>177</v>
      </c>
      <c r="AC154" s="4" t="s">
        <v>192</v>
      </c>
      <c r="AD154" s="3" t="s">
        <v>1031</v>
      </c>
      <c r="AE154" s="7">
        <v>3.0</v>
      </c>
      <c r="AF154" s="7">
        <v>3.0</v>
      </c>
      <c r="AG154" s="4" t="str">
        <f t="shared" si="1"/>
        <v>yes</v>
      </c>
      <c r="AH154" s="8" t="s">
        <v>64</v>
      </c>
      <c r="AI154" s="4" t="s">
        <v>1032</v>
      </c>
      <c r="AJ154" s="7" t="str">
        <f>VLOOKUP(D154,'slb RAW'!$E$2:$AF$293,9)</f>
        <v>#N/A N/A</v>
      </c>
      <c r="AK154" s="4" t="str">
        <f>VLOOKUP(D154,'slb RAW'!$E$2:$AE$293,27)</f>
        <v>#N/A N/A</v>
      </c>
      <c r="AL154" s="4" t="str">
        <f>VLOOKUP(C154,'Refinitiv SLB'!F154:S331,14)</f>
        <v>#N/A</v>
      </c>
      <c r="AM154" s="4" t="str">
        <f t="shared" si="2"/>
        <v>#N/A N/A</v>
      </c>
      <c r="AN154" s="9" t="str">
        <f t="shared" si="3"/>
        <v>RHI Magnesita GmbHAT MATURITYFLOATINGEURSr Unsecured</v>
      </c>
      <c r="AO154" s="7" t="b">
        <f>ISNUMBER( IFERROR(VLOOKUP(A154,Pairs!$E$2:$E$57,1,FALSE),FALSE))</f>
        <v>0</v>
      </c>
      <c r="AP154" s="7"/>
      <c r="AQ154" s="7"/>
    </row>
    <row r="155" ht="15.75" customHeight="1">
      <c r="A155" s="3">
        <v>208.0</v>
      </c>
      <c r="B155" s="4" t="s">
        <v>1025</v>
      </c>
      <c r="C155" s="4" t="str">
        <f>VLOOKUP(D155,'slb RAW'!$E:$F,2)</f>
        <v>#N/A Field Not Applicable</v>
      </c>
      <c r="D155" s="4" t="s">
        <v>1033</v>
      </c>
      <c r="E155" s="4" t="s">
        <v>1034</v>
      </c>
      <c r="F155" s="4" t="s">
        <v>1028</v>
      </c>
      <c r="G155" s="4" t="s">
        <v>258</v>
      </c>
      <c r="H155" s="4" t="s">
        <v>258</v>
      </c>
      <c r="I155" s="4" t="s">
        <v>186</v>
      </c>
      <c r="J155" s="4">
        <v>0.363</v>
      </c>
      <c r="K155" s="4" t="s">
        <v>1029</v>
      </c>
      <c r="L155" s="4" t="s">
        <v>1035</v>
      </c>
      <c r="M155" s="10" t="s">
        <v>48</v>
      </c>
      <c r="N155" s="4" t="s">
        <v>49</v>
      </c>
      <c r="O155" s="4" t="s">
        <v>50</v>
      </c>
      <c r="P155" s="4" t="s">
        <v>1036</v>
      </c>
      <c r="Q155" s="4" t="s">
        <v>52</v>
      </c>
      <c r="R155" s="4" t="s">
        <v>53</v>
      </c>
      <c r="S155" s="4" t="s">
        <v>54</v>
      </c>
      <c r="T155" s="4" t="s">
        <v>55</v>
      </c>
      <c r="U155" s="4" t="s">
        <v>70</v>
      </c>
      <c r="V155" s="4" t="s">
        <v>71</v>
      </c>
      <c r="W155" s="4">
        <v>2.810975E8</v>
      </c>
      <c r="X155" s="4" t="s">
        <v>58</v>
      </c>
      <c r="Y155" s="4" t="s">
        <v>59</v>
      </c>
      <c r="Z155" s="4" t="s">
        <v>60</v>
      </c>
      <c r="AA155" s="4" t="s">
        <v>61</v>
      </c>
      <c r="AB155" s="4" t="s">
        <v>177</v>
      </c>
      <c r="AC155" s="4" t="s">
        <v>192</v>
      </c>
      <c r="AD155" s="3" t="s">
        <v>1031</v>
      </c>
      <c r="AE155" s="7">
        <v>3.0</v>
      </c>
      <c r="AF155" s="7">
        <v>3.0</v>
      </c>
      <c r="AG155" s="4" t="str">
        <f t="shared" si="1"/>
        <v>yes</v>
      </c>
      <c r="AH155" s="8" t="s">
        <v>64</v>
      </c>
      <c r="AI155" s="4" t="s">
        <v>1032</v>
      </c>
      <c r="AJ155" s="7" t="str">
        <f>VLOOKUP(D155,'slb RAW'!$E$2:$AF$293,9)</f>
        <v>#N/A N/A</v>
      </c>
      <c r="AK155" s="4" t="str">
        <f>VLOOKUP(D155,'slb RAW'!$E$2:$AE$293,27)</f>
        <v>#N/A N/A</v>
      </c>
      <c r="AL155" s="4" t="str">
        <f>VLOOKUP(C155,'Refinitiv SLB'!F155:S332,14)</f>
        <v>#N/A</v>
      </c>
      <c r="AM155" s="4" t="str">
        <f t="shared" si="2"/>
        <v>#N/A N/A</v>
      </c>
      <c r="AN155" s="9" t="str">
        <f t="shared" si="3"/>
        <v>RHI Magnesita GmbHAT MATURITYFLOATINGEURSr Unsecured</v>
      </c>
      <c r="AO155" s="7" t="b">
        <f>ISNUMBER( IFERROR(VLOOKUP(A155,Pairs!$E$2:$E$57,1,FALSE),FALSE))</f>
        <v>0</v>
      </c>
      <c r="AP155" s="7"/>
      <c r="AQ155" s="7"/>
    </row>
    <row r="156" ht="15.75" customHeight="1">
      <c r="A156" s="3">
        <v>209.0</v>
      </c>
      <c r="B156" s="4" t="s">
        <v>1025</v>
      </c>
      <c r="C156" s="4" t="str">
        <f>VLOOKUP(D156,'slb RAW'!$E:$F,2)</f>
        <v>#N/A Field Not Applicable</v>
      </c>
      <c r="D156" s="4" t="s">
        <v>1037</v>
      </c>
      <c r="E156" s="4" t="s">
        <v>1038</v>
      </c>
      <c r="F156" s="4" t="s">
        <v>1028</v>
      </c>
      <c r="G156" s="4" t="s">
        <v>258</v>
      </c>
      <c r="H156" s="4" t="s">
        <v>258</v>
      </c>
      <c r="I156" s="4" t="s">
        <v>186</v>
      </c>
      <c r="J156" s="4">
        <v>0.313</v>
      </c>
      <c r="K156" s="4" t="s">
        <v>1029</v>
      </c>
      <c r="L156" s="4" t="s">
        <v>243</v>
      </c>
      <c r="M156" s="10" t="s">
        <v>48</v>
      </c>
      <c r="N156" s="4" t="s">
        <v>49</v>
      </c>
      <c r="O156" s="4" t="s">
        <v>50</v>
      </c>
      <c r="P156" s="4" t="s">
        <v>69</v>
      </c>
      <c r="Q156" s="4" t="s">
        <v>52</v>
      </c>
      <c r="R156" s="4" t="s">
        <v>53</v>
      </c>
      <c r="S156" s="4" t="s">
        <v>54</v>
      </c>
      <c r="T156" s="4" t="s">
        <v>55</v>
      </c>
      <c r="U156" s="4" t="s">
        <v>70</v>
      </c>
      <c r="V156" s="4" t="s">
        <v>71</v>
      </c>
      <c r="W156" s="4">
        <v>2.810975E8</v>
      </c>
      <c r="X156" s="4" t="s">
        <v>58</v>
      </c>
      <c r="Y156" s="4" t="s">
        <v>59</v>
      </c>
      <c r="Z156" s="4" t="s">
        <v>60</v>
      </c>
      <c r="AA156" s="4" t="s">
        <v>61</v>
      </c>
      <c r="AB156" s="4" t="s">
        <v>177</v>
      </c>
      <c r="AC156" s="4" t="s">
        <v>192</v>
      </c>
      <c r="AD156" s="3" t="s">
        <v>1031</v>
      </c>
      <c r="AE156" s="7">
        <v>3.0</v>
      </c>
      <c r="AF156" s="7">
        <v>3.0</v>
      </c>
      <c r="AG156" s="4" t="str">
        <f t="shared" si="1"/>
        <v>yes</v>
      </c>
      <c r="AH156" s="8" t="s">
        <v>64</v>
      </c>
      <c r="AI156" s="4" t="s">
        <v>1032</v>
      </c>
      <c r="AJ156" s="7" t="str">
        <f>VLOOKUP(D156,'slb RAW'!$E$2:$AF$293,9)</f>
        <v>#N/A N/A</v>
      </c>
      <c r="AK156" s="4" t="str">
        <f>VLOOKUP(D156,'slb RAW'!$E$2:$AE$293,27)</f>
        <v>#N/A N/A</v>
      </c>
      <c r="AL156" s="4" t="str">
        <f>VLOOKUP(C156,'Refinitiv SLB'!F156:S333,14)</f>
        <v>#N/A</v>
      </c>
      <c r="AM156" s="4" t="str">
        <f t="shared" si="2"/>
        <v>#N/A N/A</v>
      </c>
      <c r="AN156" s="9" t="str">
        <f t="shared" si="3"/>
        <v>RHI Magnesita GmbHAT MATURITYFLOATINGEURSr Unsecured</v>
      </c>
      <c r="AO156" s="7" t="b">
        <f>ISNUMBER( IFERROR(VLOOKUP(A156,Pairs!$E$2:$E$57,1,FALSE),FALSE))</f>
        <v>0</v>
      </c>
      <c r="AP156" s="7"/>
      <c r="AQ156" s="7"/>
    </row>
    <row r="157" ht="15.75" customHeight="1">
      <c r="A157" s="3">
        <v>210.0</v>
      </c>
      <c r="B157" s="4" t="s">
        <v>1025</v>
      </c>
      <c r="C157" s="4" t="str">
        <f>VLOOKUP(D157,'slb RAW'!$E:$F,2)</f>
        <v>#N/A Field Not Applicable</v>
      </c>
      <c r="D157" s="4" t="s">
        <v>1039</v>
      </c>
      <c r="E157" s="4" t="s">
        <v>1040</v>
      </c>
      <c r="F157" s="4" t="s">
        <v>1028</v>
      </c>
      <c r="G157" s="4" t="s">
        <v>258</v>
      </c>
      <c r="H157" s="4" t="s">
        <v>258</v>
      </c>
      <c r="I157" s="4" t="s">
        <v>186</v>
      </c>
      <c r="J157" s="4">
        <v>0.75</v>
      </c>
      <c r="K157" s="4" t="s">
        <v>1029</v>
      </c>
      <c r="L157" s="4" t="s">
        <v>1041</v>
      </c>
      <c r="M157" s="3">
        <v>0.0398</v>
      </c>
      <c r="N157" s="4" t="s">
        <v>49</v>
      </c>
      <c r="O157" s="4" t="s">
        <v>50</v>
      </c>
      <c r="P157" s="4" t="s">
        <v>1042</v>
      </c>
      <c r="Q157" s="4" t="s">
        <v>52</v>
      </c>
      <c r="R157" s="4" t="s">
        <v>53</v>
      </c>
      <c r="S157" s="4" t="s">
        <v>54</v>
      </c>
      <c r="T157" s="4" t="s">
        <v>55</v>
      </c>
      <c r="U157" s="4" t="s">
        <v>56</v>
      </c>
      <c r="V157" s="4" t="s">
        <v>57</v>
      </c>
      <c r="W157" s="4">
        <v>2.810975E8</v>
      </c>
      <c r="X157" s="4" t="s">
        <v>58</v>
      </c>
      <c r="Y157" s="4" t="s">
        <v>59</v>
      </c>
      <c r="Z157" s="4" t="s">
        <v>60</v>
      </c>
      <c r="AA157" s="4" t="s">
        <v>61</v>
      </c>
      <c r="AB157" s="4" t="s">
        <v>177</v>
      </c>
      <c r="AC157" s="4" t="s">
        <v>192</v>
      </c>
      <c r="AD157" s="3" t="s">
        <v>1031</v>
      </c>
      <c r="AE157" s="7">
        <v>3.0</v>
      </c>
      <c r="AF157" s="7">
        <v>3.0</v>
      </c>
      <c r="AG157" s="4" t="str">
        <f t="shared" si="1"/>
        <v>yes</v>
      </c>
      <c r="AH157" s="8" t="s">
        <v>64</v>
      </c>
      <c r="AI157" s="4" t="s">
        <v>1032</v>
      </c>
      <c r="AJ157" s="7" t="str">
        <f>VLOOKUP(D157,'slb RAW'!$E$2:$AF$293,9)</f>
        <v>#N/A N/A</v>
      </c>
      <c r="AK157" s="4" t="str">
        <f>VLOOKUP(D157,'slb RAW'!$E$2:$AE$293,27)</f>
        <v>#N/A N/A</v>
      </c>
      <c r="AL157" s="4" t="str">
        <f>VLOOKUP(C157,'Refinitiv SLB'!F157:S334,14)</f>
        <v>#N/A</v>
      </c>
      <c r="AM157" s="4" t="str">
        <f t="shared" si="2"/>
        <v>#N/A N/A</v>
      </c>
      <c r="AN157" s="9" t="str">
        <f t="shared" si="3"/>
        <v>RHI Magnesita GmbHAT MATURITYFIXEDEURSr Unsecured</v>
      </c>
      <c r="AO157" s="7" t="b">
        <f>ISNUMBER( IFERROR(VLOOKUP(A157,Pairs!$E$2:$E$57,1,FALSE),FALSE))</f>
        <v>0</v>
      </c>
      <c r="AP157" s="7"/>
      <c r="AQ157" s="7"/>
    </row>
    <row r="158" ht="15.75" customHeight="1">
      <c r="A158" s="3">
        <v>246.0</v>
      </c>
      <c r="B158" s="4" t="s">
        <v>1043</v>
      </c>
      <c r="C158" s="4" t="str">
        <f>VLOOKUP(D158,'slb RAW'!$E:$F,2)</f>
        <v>XS2406607098</v>
      </c>
      <c r="D158" s="4" t="s">
        <v>1044</v>
      </c>
      <c r="E158" s="4" t="s">
        <v>1045</v>
      </c>
      <c r="F158" s="4" t="s">
        <v>1046</v>
      </c>
      <c r="G158" s="4" t="s">
        <v>367</v>
      </c>
      <c r="H158" s="4" t="s">
        <v>367</v>
      </c>
      <c r="I158" s="4" t="s">
        <v>1047</v>
      </c>
      <c r="J158" s="4">
        <v>3.75</v>
      </c>
      <c r="K158" s="4" t="s">
        <v>1048</v>
      </c>
      <c r="L158" s="4" t="s">
        <v>1049</v>
      </c>
      <c r="M158" s="4">
        <v>3.75</v>
      </c>
      <c r="N158" s="4" t="s">
        <v>115</v>
      </c>
      <c r="O158" s="4" t="s">
        <v>116</v>
      </c>
      <c r="P158" s="4" t="s">
        <v>174</v>
      </c>
      <c r="Q158" s="4" t="s">
        <v>52</v>
      </c>
      <c r="R158" s="4" t="s">
        <v>53</v>
      </c>
      <c r="S158" s="4" t="s">
        <v>297</v>
      </c>
      <c r="T158" s="4" t="s">
        <v>55</v>
      </c>
      <c r="U158" s="4" t="s">
        <v>56</v>
      </c>
      <c r="V158" s="4" t="s">
        <v>71</v>
      </c>
      <c r="W158" s="4">
        <v>1.275076E9</v>
      </c>
      <c r="X158" s="4" t="s">
        <v>1050</v>
      </c>
      <c r="Y158" s="4" t="s">
        <v>1051</v>
      </c>
      <c r="Z158" s="4" t="s">
        <v>60</v>
      </c>
      <c r="AA158" s="4" t="s">
        <v>61</v>
      </c>
      <c r="AB158" s="4" t="s">
        <v>228</v>
      </c>
      <c r="AC158" s="4" t="s">
        <v>1051</v>
      </c>
      <c r="AD158" s="3" t="s">
        <v>1052</v>
      </c>
      <c r="AE158" s="12"/>
      <c r="AF158" s="12"/>
      <c r="AG158" s="4" t="str">
        <f t="shared" si="1"/>
        <v>yes</v>
      </c>
      <c r="AH158" s="8" t="s">
        <v>140</v>
      </c>
      <c r="AI158" s="4" t="s">
        <v>1053</v>
      </c>
      <c r="AJ158" s="7">
        <f>VLOOKUP(D158,'slb RAW'!$E$2:$AF$293,9)</f>
        <v>3.75</v>
      </c>
      <c r="AK158" s="4">
        <f>VLOOKUP(D158,'slb RAW'!$E$2:$AE$293,27)</f>
        <v>3.691</v>
      </c>
      <c r="AL158" s="4">
        <f>VLOOKUP(C158,'Refinitiv SLB'!F158:S335,14)</f>
        <v>4.231</v>
      </c>
      <c r="AM158" s="4">
        <f t="shared" si="2"/>
        <v>3.691</v>
      </c>
      <c r="AN158" s="9" t="str">
        <f t="shared" si="3"/>
        <v>Teva Pharmaceutical Finance Netherlands II BVCALLABLEFIXEDEURSr Unsecured</v>
      </c>
      <c r="AO158" s="7" t="b">
        <f>ISNUMBER( IFERROR(VLOOKUP(A158,Pairs!$E$2:$E$57,1,FALSE),FALSE))</f>
        <v>1</v>
      </c>
      <c r="AP158" s="7"/>
      <c r="AQ158" s="7"/>
    </row>
    <row r="159" ht="15.75" customHeight="1">
      <c r="A159" s="3">
        <v>247.0</v>
      </c>
      <c r="B159" s="4" t="s">
        <v>1043</v>
      </c>
      <c r="C159" s="4" t="str">
        <f>VLOOKUP(D159,'slb RAW'!$E:$F,2)</f>
        <v>XS2406607171</v>
      </c>
      <c r="D159" s="4" t="s">
        <v>1054</v>
      </c>
      <c r="E159" s="4" t="s">
        <v>1055</v>
      </c>
      <c r="F159" s="4" t="s">
        <v>1046</v>
      </c>
      <c r="G159" s="4" t="s">
        <v>367</v>
      </c>
      <c r="H159" s="4" t="s">
        <v>367</v>
      </c>
      <c r="I159" s="4" t="s">
        <v>1047</v>
      </c>
      <c r="J159" s="4">
        <v>4.375</v>
      </c>
      <c r="K159" s="4" t="s">
        <v>1048</v>
      </c>
      <c r="L159" s="4" t="s">
        <v>1056</v>
      </c>
      <c r="M159" s="4">
        <v>4.375</v>
      </c>
      <c r="N159" s="4" t="s">
        <v>115</v>
      </c>
      <c r="O159" s="4" t="s">
        <v>116</v>
      </c>
      <c r="P159" s="4" t="s">
        <v>174</v>
      </c>
      <c r="Q159" s="4" t="s">
        <v>52</v>
      </c>
      <c r="R159" s="4" t="s">
        <v>53</v>
      </c>
      <c r="S159" s="4" t="s">
        <v>297</v>
      </c>
      <c r="T159" s="4" t="s">
        <v>55</v>
      </c>
      <c r="U159" s="4" t="s">
        <v>56</v>
      </c>
      <c r="V159" s="4" t="s">
        <v>71</v>
      </c>
      <c r="W159" s="4">
        <v>1.73874E9</v>
      </c>
      <c r="X159" s="4" t="s">
        <v>1050</v>
      </c>
      <c r="Y159" s="4" t="s">
        <v>1051</v>
      </c>
      <c r="Z159" s="4" t="s">
        <v>60</v>
      </c>
      <c r="AA159" s="4" t="s">
        <v>61</v>
      </c>
      <c r="AB159" s="4" t="s">
        <v>228</v>
      </c>
      <c r="AC159" s="4" t="s">
        <v>1051</v>
      </c>
      <c r="AD159" s="3" t="s">
        <v>1057</v>
      </c>
      <c r="AE159" s="7">
        <v>15.0</v>
      </c>
      <c r="AF159" s="12"/>
      <c r="AG159" s="4" t="str">
        <f t="shared" si="1"/>
        <v/>
      </c>
      <c r="AH159" s="8" t="s">
        <v>612</v>
      </c>
      <c r="AI159" s="4" t="s">
        <v>1058</v>
      </c>
      <c r="AJ159" s="7">
        <f>VLOOKUP(D159,'slb RAW'!$E$2:$AF$293,9)</f>
        <v>4.375</v>
      </c>
      <c r="AK159" s="4">
        <f>VLOOKUP(D159,'slb RAW'!$E$2:$AE$293,27)</f>
        <v>4.375</v>
      </c>
      <c r="AL159" s="4">
        <f>VLOOKUP(C159,'Refinitiv SLB'!F159:S336,14)</f>
        <v>0.97</v>
      </c>
      <c r="AM159" s="4">
        <f t="shared" si="2"/>
        <v>4.375</v>
      </c>
      <c r="AN159" s="9" t="str">
        <f t="shared" si="3"/>
        <v>Teva Pharmaceutical Finance Netherlands II BVCALLABLEFIXEDEURSr Unsecured</v>
      </c>
      <c r="AO159" s="7" t="b">
        <f>ISNUMBER( IFERROR(VLOOKUP(A159,Pairs!$E$2:$E$57,1,FALSE),FALSE))</f>
        <v>0</v>
      </c>
      <c r="AP159" s="7"/>
      <c r="AQ159" s="7"/>
    </row>
    <row r="160" ht="15.75" customHeight="1">
      <c r="A160" s="3">
        <v>248.0</v>
      </c>
      <c r="B160" s="4" t="s">
        <v>1059</v>
      </c>
      <c r="C160" s="4" t="str">
        <f>VLOOKUP(D160,'slb RAW'!$E:$F,2)</f>
        <v>US88167AAQ40</v>
      </c>
      <c r="D160" s="4" t="s">
        <v>1060</v>
      </c>
      <c r="E160" s="4" t="s">
        <v>1061</v>
      </c>
      <c r="F160" s="4" t="s">
        <v>1046</v>
      </c>
      <c r="G160" s="4" t="s">
        <v>367</v>
      </c>
      <c r="H160" s="4" t="s">
        <v>367</v>
      </c>
      <c r="I160" s="4" t="s">
        <v>1047</v>
      </c>
      <c r="J160" s="4">
        <v>5.125</v>
      </c>
      <c r="K160" s="4" t="s">
        <v>1048</v>
      </c>
      <c r="L160" s="4" t="s">
        <v>1062</v>
      </c>
      <c r="M160" s="4">
        <v>5.125</v>
      </c>
      <c r="N160" s="4" t="s">
        <v>115</v>
      </c>
      <c r="O160" s="4" t="s">
        <v>116</v>
      </c>
      <c r="P160" s="4" t="s">
        <v>174</v>
      </c>
      <c r="Q160" s="4" t="s">
        <v>52</v>
      </c>
      <c r="R160" s="4" t="s">
        <v>263</v>
      </c>
      <c r="S160" s="4" t="s">
        <v>297</v>
      </c>
      <c r="T160" s="4" t="s">
        <v>55</v>
      </c>
      <c r="U160" s="4" t="s">
        <v>56</v>
      </c>
      <c r="V160" s="4" t="s">
        <v>71</v>
      </c>
      <c r="W160" s="4">
        <v>1.0E9</v>
      </c>
      <c r="X160" s="4" t="s">
        <v>1050</v>
      </c>
      <c r="Y160" s="4" t="s">
        <v>1051</v>
      </c>
      <c r="Z160" s="4" t="s">
        <v>60</v>
      </c>
      <c r="AA160" s="4" t="s">
        <v>61</v>
      </c>
      <c r="AB160" s="4" t="s">
        <v>228</v>
      </c>
      <c r="AC160" s="4" t="s">
        <v>1051</v>
      </c>
      <c r="AD160" s="3" t="s">
        <v>1063</v>
      </c>
      <c r="AE160" s="8" t="s">
        <v>124</v>
      </c>
      <c r="AF160" s="12"/>
      <c r="AG160" s="4" t="str">
        <f t="shared" si="1"/>
        <v/>
      </c>
      <c r="AH160" s="8" t="s">
        <v>612</v>
      </c>
      <c r="AI160" s="4" t="s">
        <v>1064</v>
      </c>
      <c r="AJ160" s="7">
        <f>VLOOKUP(D160,'slb RAW'!$E$2:$AF$293,9)</f>
        <v>5.125</v>
      </c>
      <c r="AK160" s="4">
        <f>VLOOKUP(D160,'slb RAW'!$E$2:$AE$293,27)</f>
        <v>5.068</v>
      </c>
      <c r="AL160" s="4">
        <f>VLOOKUP(C160,'Refinitiv SLB'!F160:S337,14)</f>
        <v>4.873</v>
      </c>
      <c r="AM160" s="4">
        <f t="shared" si="2"/>
        <v>5.068</v>
      </c>
      <c r="AN160" s="9" t="str">
        <f t="shared" si="3"/>
        <v>Teva Pharmaceutical Finance Netherlands III BVCALLABLEFIXEDUSDSr Unsecured</v>
      </c>
      <c r="AO160" s="7" t="b">
        <f>ISNUMBER( IFERROR(VLOOKUP(A160,Pairs!$E$2:$E$57,1,FALSE),FALSE))</f>
        <v>1</v>
      </c>
      <c r="AP160" s="7"/>
      <c r="AQ160" s="7"/>
    </row>
    <row r="161" ht="15.75" customHeight="1">
      <c r="A161" s="3">
        <v>249.0</v>
      </c>
      <c r="B161" s="4" t="s">
        <v>1059</v>
      </c>
      <c r="C161" s="4" t="str">
        <f>VLOOKUP(D161,'slb RAW'!$E:$F,2)</f>
        <v>US88167AAP66</v>
      </c>
      <c r="D161" s="4" t="s">
        <v>1065</v>
      </c>
      <c r="E161" s="4" t="s">
        <v>1066</v>
      </c>
      <c r="F161" s="4" t="s">
        <v>1046</v>
      </c>
      <c r="G161" s="4" t="s">
        <v>367</v>
      </c>
      <c r="H161" s="4" t="s">
        <v>367</v>
      </c>
      <c r="I161" s="4" t="s">
        <v>1047</v>
      </c>
      <c r="J161" s="4">
        <v>4.75</v>
      </c>
      <c r="K161" s="4" t="s">
        <v>1048</v>
      </c>
      <c r="L161" s="4" t="s">
        <v>1049</v>
      </c>
      <c r="M161" s="4">
        <v>4.75</v>
      </c>
      <c r="N161" s="4" t="s">
        <v>115</v>
      </c>
      <c r="O161" s="4" t="s">
        <v>116</v>
      </c>
      <c r="P161" s="4" t="s">
        <v>174</v>
      </c>
      <c r="Q161" s="4" t="s">
        <v>52</v>
      </c>
      <c r="R161" s="4" t="s">
        <v>263</v>
      </c>
      <c r="S161" s="4" t="s">
        <v>297</v>
      </c>
      <c r="T161" s="4" t="s">
        <v>55</v>
      </c>
      <c r="U161" s="4" t="s">
        <v>56</v>
      </c>
      <c r="V161" s="4" t="s">
        <v>71</v>
      </c>
      <c r="W161" s="4">
        <v>1.0E9</v>
      </c>
      <c r="X161" s="4" t="s">
        <v>1050</v>
      </c>
      <c r="Y161" s="4" t="s">
        <v>1051</v>
      </c>
      <c r="Z161" s="4" t="s">
        <v>60</v>
      </c>
      <c r="AA161" s="4" t="s">
        <v>61</v>
      </c>
      <c r="AB161" s="4" t="s">
        <v>228</v>
      </c>
      <c r="AC161" s="4" t="s">
        <v>1051</v>
      </c>
      <c r="AD161" s="10" t="s">
        <v>48</v>
      </c>
      <c r="AE161" s="8" t="s">
        <v>139</v>
      </c>
      <c r="AF161" s="12"/>
      <c r="AG161" s="4" t="str">
        <f t="shared" si="1"/>
        <v/>
      </c>
      <c r="AH161" s="12"/>
      <c r="AI161" s="4" t="s">
        <v>1064</v>
      </c>
      <c r="AJ161" s="7">
        <f>VLOOKUP(D161,'slb RAW'!$E$2:$AF$293,9)</f>
        <v>4.75</v>
      </c>
      <c r="AK161" s="4" t="str">
        <f>VLOOKUP(D161,'slb RAW'!$E$2:$AE$293,27)</f>
        <v>#N/A N/A</v>
      </c>
      <c r="AL161" s="4">
        <f>VLOOKUP(C161,'Refinitiv SLB'!F161:S338,14)</f>
        <v>4.873</v>
      </c>
      <c r="AM161" s="4">
        <f t="shared" si="2"/>
        <v>4.75</v>
      </c>
      <c r="AN161" s="9" t="str">
        <f t="shared" si="3"/>
        <v>Teva Pharmaceutical Finance Netherlands III BVCALLABLEFIXEDUSDSr Unsecured</v>
      </c>
      <c r="AO161" s="7" t="b">
        <f>ISNUMBER( IFERROR(VLOOKUP(A161,Pairs!$E$2:$E$57,1,FALSE),FALSE))</f>
        <v>1</v>
      </c>
      <c r="AP161" s="7"/>
      <c r="AQ161" s="7"/>
    </row>
    <row r="162" ht="15.75" customHeight="1">
      <c r="A162" s="3">
        <v>17.0</v>
      </c>
      <c r="B162" s="4" t="s">
        <v>1067</v>
      </c>
      <c r="C162" s="4" t="str">
        <f>VLOOKUP(D162,'slb RAW'!$E:$F,2)</f>
        <v>FR0014006G24</v>
      </c>
      <c r="D162" s="4" t="s">
        <v>1068</v>
      </c>
      <c r="E162" s="4" t="s">
        <v>1069</v>
      </c>
      <c r="F162" s="4" t="s">
        <v>1070</v>
      </c>
      <c r="G162" s="4" t="s">
        <v>185</v>
      </c>
      <c r="H162" s="4" t="s">
        <v>185</v>
      </c>
      <c r="I162" s="4" t="s">
        <v>185</v>
      </c>
      <c r="J162" s="4">
        <v>1.0</v>
      </c>
      <c r="K162" s="4" t="s">
        <v>1071</v>
      </c>
      <c r="L162" s="4" t="s">
        <v>1072</v>
      </c>
      <c r="M162" s="4">
        <v>1.109</v>
      </c>
      <c r="N162" s="4" t="s">
        <v>115</v>
      </c>
      <c r="O162" s="4" t="s">
        <v>116</v>
      </c>
      <c r="P162" s="4" t="s">
        <v>174</v>
      </c>
      <c r="Q162" s="4" t="s">
        <v>52</v>
      </c>
      <c r="R162" s="4" t="s">
        <v>53</v>
      </c>
      <c r="S162" s="4" t="s">
        <v>190</v>
      </c>
      <c r="T162" s="4" t="s">
        <v>55</v>
      </c>
      <c r="U162" s="4" t="s">
        <v>56</v>
      </c>
      <c r="V162" s="4" t="s">
        <v>57</v>
      </c>
      <c r="W162" s="4">
        <v>9.15936E8</v>
      </c>
      <c r="X162" s="4" t="s">
        <v>378</v>
      </c>
      <c r="Y162" s="4" t="s">
        <v>1073</v>
      </c>
      <c r="Z162" s="4" t="s">
        <v>60</v>
      </c>
      <c r="AA162" s="4" t="s">
        <v>61</v>
      </c>
      <c r="AB162" s="4" t="s">
        <v>378</v>
      </c>
      <c r="AC162" s="4" t="s">
        <v>378</v>
      </c>
      <c r="AD162" s="3" t="s">
        <v>1074</v>
      </c>
      <c r="AE162" s="8" t="s">
        <v>194</v>
      </c>
      <c r="AF162" s="12"/>
      <c r="AG162" s="4" t="str">
        <f t="shared" si="1"/>
        <v/>
      </c>
      <c r="AH162" s="8" t="s">
        <v>140</v>
      </c>
      <c r="AI162" s="4" t="s">
        <v>1075</v>
      </c>
      <c r="AJ162" s="7">
        <f>VLOOKUP(D162,'slb RAW'!$E$2:$AF$293,9)</f>
        <v>1.109</v>
      </c>
      <c r="AK162" s="4">
        <f>VLOOKUP(D162,'slb RAW'!$E$2:$AE$293,27)</f>
        <v>1.01</v>
      </c>
      <c r="AL162" s="4" t="str">
        <f>VLOOKUP(C162,'Refinitiv SLB'!F162:S339,14)</f>
        <v>#N/A</v>
      </c>
      <c r="AM162" s="4">
        <f t="shared" si="2"/>
        <v>1.01</v>
      </c>
      <c r="AN162" s="9" t="str">
        <f t="shared" si="3"/>
        <v>Atos SECALLABLEFIXEDEURSr Unsecured</v>
      </c>
      <c r="AO162" s="7" t="b">
        <f>ISNUMBER( IFERROR(VLOOKUP(A162,Pairs!$E$2:$E$57,1,FALSE),FALSE))</f>
        <v>1</v>
      </c>
      <c r="AP162" s="7"/>
      <c r="AQ162" s="7"/>
    </row>
    <row r="163" ht="15.75" customHeight="1">
      <c r="A163" s="3">
        <v>110.0</v>
      </c>
      <c r="B163" s="4" t="s">
        <v>1076</v>
      </c>
      <c r="C163" s="4" t="str">
        <f>VLOOKUP(D163,'slb RAW'!$E:$F,2)</f>
        <v>#N/A Field Not Applicable</v>
      </c>
      <c r="D163" s="4" t="s">
        <v>1077</v>
      </c>
      <c r="E163" s="4" t="s">
        <v>1078</v>
      </c>
      <c r="F163" s="4" t="s">
        <v>1079</v>
      </c>
      <c r="G163" s="4" t="s">
        <v>185</v>
      </c>
      <c r="H163" s="4" t="s">
        <v>185</v>
      </c>
      <c r="I163" s="4" t="s">
        <v>185</v>
      </c>
      <c r="J163" s="4">
        <v>0.0</v>
      </c>
      <c r="K163" s="4" t="s">
        <v>1080</v>
      </c>
      <c r="L163" s="4" t="s">
        <v>1081</v>
      </c>
      <c r="M163" s="10" t="s">
        <v>48</v>
      </c>
      <c r="N163" s="4" t="s">
        <v>49</v>
      </c>
      <c r="O163" s="4" t="s">
        <v>50</v>
      </c>
      <c r="P163" s="4" t="s">
        <v>1082</v>
      </c>
      <c r="Q163" s="4" t="s">
        <v>52</v>
      </c>
      <c r="R163" s="4" t="s">
        <v>53</v>
      </c>
      <c r="S163" s="4" t="s">
        <v>54</v>
      </c>
      <c r="T163" s="4" t="s">
        <v>885</v>
      </c>
      <c r="U163" s="4" t="s">
        <v>70</v>
      </c>
      <c r="V163" s="4" t="s">
        <v>71</v>
      </c>
      <c r="W163" s="4">
        <v>7.590497E8</v>
      </c>
      <c r="X163" s="4" t="s">
        <v>134</v>
      </c>
      <c r="Y163" s="4" t="s">
        <v>544</v>
      </c>
      <c r="Z163" s="4" t="s">
        <v>60</v>
      </c>
      <c r="AA163" s="4" t="s">
        <v>61</v>
      </c>
      <c r="AB163" s="4" t="s">
        <v>136</v>
      </c>
      <c r="AC163" s="4" t="s">
        <v>545</v>
      </c>
      <c r="AD163" s="3" t="s">
        <v>1083</v>
      </c>
      <c r="AE163" s="7">
        <v>10.0</v>
      </c>
      <c r="AF163" s="12"/>
      <c r="AG163" s="4" t="str">
        <f t="shared" si="1"/>
        <v/>
      </c>
      <c r="AH163" s="8" t="s">
        <v>125</v>
      </c>
      <c r="AI163" s="4" t="s">
        <v>1084</v>
      </c>
      <c r="AJ163" s="7" t="str">
        <f>VLOOKUP(D163,'slb RAW'!$E$2:$AF$293,9)</f>
        <v>#N/A N/A</v>
      </c>
      <c r="AK163" s="4" t="str">
        <f>VLOOKUP(D163,'slb RAW'!$E$2:$AE$293,27)</f>
        <v>#N/A N/A</v>
      </c>
      <c r="AL163" s="4" t="str">
        <f>VLOOKUP(C163,'Refinitiv SLB'!F163:S340,14)</f>
        <v>#N/A</v>
      </c>
      <c r="AM163" s="4" t="str">
        <f t="shared" si="2"/>
        <v>#N/A N/A</v>
      </c>
      <c r="AN163" s="9" t="str">
        <f t="shared" si="3"/>
        <v>Faurecia SEAT MATURITYFLOATINGEURSr Unsecured</v>
      </c>
      <c r="AO163" s="7" t="b">
        <f>ISNUMBER( IFERROR(VLOOKUP(A163,Pairs!$E$2:$E$57,1,FALSE),FALSE))</f>
        <v>1</v>
      </c>
      <c r="AP163" s="7"/>
      <c r="AQ163" s="7"/>
    </row>
    <row r="164" ht="15.75" customHeight="1">
      <c r="A164" s="3">
        <v>106.0</v>
      </c>
      <c r="B164" s="4" t="s">
        <v>1076</v>
      </c>
      <c r="C164" s="4" t="str">
        <f>VLOOKUP(D164,'slb RAW'!$E:$F,2)</f>
        <v>#N/A Field Not Applicable</v>
      </c>
      <c r="D164" s="4" t="s">
        <v>1085</v>
      </c>
      <c r="E164" s="4" t="s">
        <v>1086</v>
      </c>
      <c r="F164" s="4" t="s">
        <v>1079</v>
      </c>
      <c r="G164" s="4" t="s">
        <v>185</v>
      </c>
      <c r="H164" s="4" t="s">
        <v>185</v>
      </c>
      <c r="I164" s="4" t="s">
        <v>185</v>
      </c>
      <c r="J164" s="4">
        <v>0.0</v>
      </c>
      <c r="K164" s="4" t="s">
        <v>1080</v>
      </c>
      <c r="L164" s="4" t="s">
        <v>1087</v>
      </c>
      <c r="M164" s="10" t="s">
        <v>48</v>
      </c>
      <c r="N164" s="4" t="s">
        <v>49</v>
      </c>
      <c r="O164" s="4" t="s">
        <v>50</v>
      </c>
      <c r="P164" s="4" t="s">
        <v>1088</v>
      </c>
      <c r="Q164" s="4" t="s">
        <v>52</v>
      </c>
      <c r="R164" s="4" t="s">
        <v>53</v>
      </c>
      <c r="S164" s="4" t="s">
        <v>54</v>
      </c>
      <c r="T164" s="4" t="s">
        <v>885</v>
      </c>
      <c r="U164" s="4" t="s">
        <v>70</v>
      </c>
      <c r="V164" s="4" t="s">
        <v>71</v>
      </c>
      <c r="W164" s="4">
        <v>7.590497E8</v>
      </c>
      <c r="X164" s="4" t="s">
        <v>134</v>
      </c>
      <c r="Y164" s="4" t="s">
        <v>544</v>
      </c>
      <c r="Z164" s="4" t="s">
        <v>60</v>
      </c>
      <c r="AA164" s="4" t="s">
        <v>61</v>
      </c>
      <c r="AB164" s="4" t="s">
        <v>136</v>
      </c>
      <c r="AC164" s="4" t="s">
        <v>545</v>
      </c>
      <c r="AD164" s="3" t="s">
        <v>1083</v>
      </c>
      <c r="AE164" s="7">
        <v>10.0</v>
      </c>
      <c r="AF164" s="12"/>
      <c r="AG164" s="4" t="str">
        <f t="shared" si="1"/>
        <v/>
      </c>
      <c r="AH164" s="8" t="s">
        <v>125</v>
      </c>
      <c r="AI164" s="4" t="s">
        <v>1084</v>
      </c>
      <c r="AJ164" s="7" t="str">
        <f>VLOOKUP(D164,'slb RAW'!$E$2:$AF$293,9)</f>
        <v>#N/A N/A</v>
      </c>
      <c r="AK164" s="4" t="str">
        <f>VLOOKUP(D164,'slb RAW'!$E$2:$AE$293,27)</f>
        <v>#N/A N/A</v>
      </c>
      <c r="AL164" s="4" t="str">
        <f>VLOOKUP(C164,'Refinitiv SLB'!F164:S341,14)</f>
        <v>#N/A</v>
      </c>
      <c r="AM164" s="4" t="str">
        <f t="shared" si="2"/>
        <v>#N/A N/A</v>
      </c>
      <c r="AN164" s="9" t="str">
        <f t="shared" si="3"/>
        <v>Faurecia SEAT MATURITYFLOATINGEURSr Unsecured</v>
      </c>
      <c r="AO164" s="7" t="b">
        <f>ISNUMBER( IFERROR(VLOOKUP(A164,Pairs!$E$2:$E$57,1,FALSE),FALSE))</f>
        <v>1</v>
      </c>
      <c r="AP164" s="7"/>
      <c r="AQ164" s="7"/>
    </row>
    <row r="165" ht="15.75" customHeight="1">
      <c r="A165" s="3">
        <v>105.0</v>
      </c>
      <c r="B165" s="4" t="s">
        <v>1076</v>
      </c>
      <c r="C165" s="4" t="str">
        <f>VLOOKUP(D165,'slb RAW'!$E:$F,2)</f>
        <v>#N/A Field Not Applicable</v>
      </c>
      <c r="D165" s="4" t="s">
        <v>1089</v>
      </c>
      <c r="E165" s="4" t="s">
        <v>1090</v>
      </c>
      <c r="F165" s="4" t="s">
        <v>1079</v>
      </c>
      <c r="G165" s="4" t="s">
        <v>185</v>
      </c>
      <c r="H165" s="4" t="s">
        <v>185</v>
      </c>
      <c r="I165" s="4" t="s">
        <v>185</v>
      </c>
      <c r="J165" s="4">
        <v>0.0</v>
      </c>
      <c r="K165" s="4" t="s">
        <v>1080</v>
      </c>
      <c r="L165" s="4" t="s">
        <v>1091</v>
      </c>
      <c r="M165" s="10" t="s">
        <v>48</v>
      </c>
      <c r="N165" s="4" t="s">
        <v>49</v>
      </c>
      <c r="O165" s="4" t="s">
        <v>50</v>
      </c>
      <c r="P165" s="4" t="s">
        <v>76</v>
      </c>
      <c r="Q165" s="4" t="s">
        <v>52</v>
      </c>
      <c r="R165" s="4" t="s">
        <v>263</v>
      </c>
      <c r="S165" s="4" t="s">
        <v>54</v>
      </c>
      <c r="T165" s="4" t="s">
        <v>885</v>
      </c>
      <c r="U165" s="4" t="s">
        <v>70</v>
      </c>
      <c r="V165" s="4" t="s">
        <v>392</v>
      </c>
      <c r="W165" s="4">
        <v>3.35E7</v>
      </c>
      <c r="X165" s="4" t="s">
        <v>134</v>
      </c>
      <c r="Y165" s="4" t="s">
        <v>544</v>
      </c>
      <c r="Z165" s="4" t="s">
        <v>60</v>
      </c>
      <c r="AA165" s="4" t="s">
        <v>61</v>
      </c>
      <c r="AB165" s="4" t="s">
        <v>136</v>
      </c>
      <c r="AC165" s="4" t="s">
        <v>545</v>
      </c>
      <c r="AD165" s="3" t="s">
        <v>1092</v>
      </c>
      <c r="AE165" s="7">
        <v>10.0</v>
      </c>
      <c r="AF165" s="12"/>
      <c r="AG165" s="4" t="str">
        <f t="shared" si="1"/>
        <v/>
      </c>
      <c r="AH165" s="8" t="s">
        <v>125</v>
      </c>
      <c r="AI165" s="4" t="s">
        <v>1093</v>
      </c>
      <c r="AJ165" s="7" t="str">
        <f>VLOOKUP(D165,'slb RAW'!$E$2:$AF$293,9)</f>
        <v>#N/A N/A</v>
      </c>
      <c r="AK165" s="4" t="str">
        <f>VLOOKUP(D165,'slb RAW'!$E$2:$AE$293,27)</f>
        <v>#N/A N/A</v>
      </c>
      <c r="AL165" s="4" t="str">
        <f>VLOOKUP(C165,'Refinitiv SLB'!F165:S342,14)</f>
        <v>#N/A</v>
      </c>
      <c r="AM165" s="4" t="str">
        <f t="shared" si="2"/>
        <v>#N/A N/A</v>
      </c>
      <c r="AN165" s="9" t="str">
        <f t="shared" si="3"/>
        <v>Faurecia SEAT MATURITYFLOATINGUSDSr Unsecured</v>
      </c>
      <c r="AO165" s="7" t="b">
        <f>ISNUMBER( IFERROR(VLOOKUP(A165,Pairs!$E$2:$E$57,1,FALSE),FALSE))</f>
        <v>0</v>
      </c>
      <c r="AP165" s="7"/>
      <c r="AQ165" s="7"/>
    </row>
    <row r="166" ht="15.75" customHeight="1">
      <c r="A166" s="3">
        <v>107.0</v>
      </c>
      <c r="B166" s="4" t="s">
        <v>1076</v>
      </c>
      <c r="C166" s="4" t="str">
        <f>VLOOKUP(D166,'slb RAW'!$E:$F,2)</f>
        <v>#N/A Field Not Applicable</v>
      </c>
      <c r="D166" s="4" t="s">
        <v>1094</v>
      </c>
      <c r="E166" s="4" t="s">
        <v>1095</v>
      </c>
      <c r="F166" s="4" t="s">
        <v>1079</v>
      </c>
      <c r="G166" s="4" t="s">
        <v>185</v>
      </c>
      <c r="H166" s="4" t="s">
        <v>185</v>
      </c>
      <c r="I166" s="4" t="s">
        <v>185</v>
      </c>
      <c r="J166" s="4">
        <v>0.0</v>
      </c>
      <c r="K166" s="4" t="s">
        <v>1080</v>
      </c>
      <c r="L166" s="4" t="s">
        <v>1096</v>
      </c>
      <c r="M166" s="10" t="s">
        <v>48</v>
      </c>
      <c r="N166" s="4" t="s">
        <v>49</v>
      </c>
      <c r="O166" s="4" t="s">
        <v>50</v>
      </c>
      <c r="P166" s="4" t="s">
        <v>1097</v>
      </c>
      <c r="Q166" s="4" t="s">
        <v>52</v>
      </c>
      <c r="R166" s="4" t="s">
        <v>53</v>
      </c>
      <c r="S166" s="4" t="s">
        <v>54</v>
      </c>
      <c r="T166" s="4" t="s">
        <v>885</v>
      </c>
      <c r="U166" s="4" t="s">
        <v>70</v>
      </c>
      <c r="V166" s="4" t="s">
        <v>71</v>
      </c>
      <c r="W166" s="4">
        <v>7.93037E8</v>
      </c>
      <c r="X166" s="4" t="s">
        <v>134</v>
      </c>
      <c r="Y166" s="4" t="s">
        <v>544</v>
      </c>
      <c r="Z166" s="4" t="s">
        <v>60</v>
      </c>
      <c r="AA166" s="4" t="s">
        <v>61</v>
      </c>
      <c r="AB166" s="4" t="s">
        <v>136</v>
      </c>
      <c r="AC166" s="4" t="s">
        <v>545</v>
      </c>
      <c r="AD166" s="3" t="s">
        <v>1083</v>
      </c>
      <c r="AE166" s="7">
        <v>10.0</v>
      </c>
      <c r="AF166" s="12"/>
      <c r="AG166" s="4" t="str">
        <f t="shared" si="1"/>
        <v/>
      </c>
      <c r="AH166" s="8" t="s">
        <v>125</v>
      </c>
      <c r="AI166" s="4" t="s">
        <v>1098</v>
      </c>
      <c r="AJ166" s="7" t="str">
        <f>VLOOKUP(D166,'slb RAW'!$E$2:$AF$293,9)</f>
        <v>#N/A N/A</v>
      </c>
      <c r="AK166" s="4" t="str">
        <f>VLOOKUP(D166,'slb RAW'!$E$2:$AE$293,27)</f>
        <v>#N/A N/A</v>
      </c>
      <c r="AL166" s="4" t="str">
        <f>VLOOKUP(C166,'Refinitiv SLB'!F166:S343,14)</f>
        <v>#N/A</v>
      </c>
      <c r="AM166" s="4" t="str">
        <f t="shared" si="2"/>
        <v>#N/A N/A</v>
      </c>
      <c r="AN166" s="9" t="str">
        <f t="shared" si="3"/>
        <v>Faurecia SEAT MATURITYFLOATINGEURSr Unsecured</v>
      </c>
      <c r="AO166" s="7" t="b">
        <f>ISNUMBER( IFERROR(VLOOKUP(A166,Pairs!$E$2:$E$57,1,FALSE),FALSE))</f>
        <v>0</v>
      </c>
      <c r="AP166" s="7"/>
      <c r="AQ166" s="7"/>
    </row>
    <row r="167" ht="15.75" customHeight="1">
      <c r="A167" s="3">
        <v>175.0</v>
      </c>
      <c r="B167" s="4" t="s">
        <v>1099</v>
      </c>
      <c r="C167" s="4" t="str">
        <f>VLOOKUP(D167,'slb RAW'!$E:$F,2)</f>
        <v>XS2406727409</v>
      </c>
      <c r="D167" s="4" t="s">
        <v>1100</v>
      </c>
      <c r="E167" s="4" t="s">
        <v>1101</v>
      </c>
      <c r="F167" s="4" t="s">
        <v>1102</v>
      </c>
      <c r="G167" s="4" t="s">
        <v>170</v>
      </c>
      <c r="H167" s="4" t="s">
        <v>170</v>
      </c>
      <c r="I167" s="4" t="s">
        <v>185</v>
      </c>
      <c r="J167" s="4">
        <v>5.625</v>
      </c>
      <c r="K167" s="4" t="s">
        <v>1103</v>
      </c>
      <c r="L167" s="4" t="s">
        <v>1016</v>
      </c>
      <c r="M167" s="11">
        <v>5.6561</v>
      </c>
      <c r="N167" s="4" t="s">
        <v>115</v>
      </c>
      <c r="O167" s="4" t="s">
        <v>116</v>
      </c>
      <c r="P167" s="4" t="s">
        <v>262</v>
      </c>
      <c r="Q167" s="4" t="s">
        <v>459</v>
      </c>
      <c r="R167" s="4" t="s">
        <v>53</v>
      </c>
      <c r="S167" s="4" t="s">
        <v>351</v>
      </c>
      <c r="T167" s="4" t="s">
        <v>55</v>
      </c>
      <c r="U167" s="4" t="s">
        <v>56</v>
      </c>
      <c r="V167" s="4" t="s">
        <v>71</v>
      </c>
      <c r="W167" s="4">
        <v>5.11641E8</v>
      </c>
      <c r="X167" s="4" t="s">
        <v>85</v>
      </c>
      <c r="Y167" s="4" t="s">
        <v>515</v>
      </c>
      <c r="Z167" s="4" t="s">
        <v>60</v>
      </c>
      <c r="AA167" s="4" t="s">
        <v>61</v>
      </c>
      <c r="AB167" s="4" t="s">
        <v>87</v>
      </c>
      <c r="AC167" s="4" t="s">
        <v>515</v>
      </c>
      <c r="AD167" s="3" t="s">
        <v>1104</v>
      </c>
      <c r="AE167" s="8" t="s">
        <v>124</v>
      </c>
      <c r="AF167" s="12"/>
      <c r="AG167" s="4" t="str">
        <f t="shared" si="1"/>
        <v/>
      </c>
      <c r="AH167" s="8" t="s">
        <v>125</v>
      </c>
      <c r="AI167" s="4" t="s">
        <v>1105</v>
      </c>
      <c r="AJ167" s="7">
        <f>VLOOKUP(D167,'slb RAW'!$E$2:$AF$293,9)</f>
        <v>5.625</v>
      </c>
      <c r="AK167" s="4">
        <f>VLOOKUP(D167,'slb RAW'!$E$2:$AE$293,27)</f>
        <v>5.561</v>
      </c>
      <c r="AL167" s="4" t="str">
        <f>VLOOKUP(C167,'Refinitiv SLB'!F167:S344,14)</f>
        <v>#N/A</v>
      </c>
      <c r="AM167" s="4">
        <f t="shared" si="2"/>
        <v>5.561</v>
      </c>
      <c r="AN167" s="9" t="str">
        <f t="shared" si="3"/>
        <v>Lune Holdings SarlCALLABLEFIXEDEURSecured</v>
      </c>
      <c r="AO167" s="7" t="b">
        <f>ISNUMBER( IFERROR(VLOOKUP(A167,Pairs!$E$2:$E$57,1,FALSE),FALSE))</f>
        <v>0</v>
      </c>
      <c r="AP167" s="7"/>
      <c r="AQ167" s="7"/>
    </row>
    <row r="168" ht="15.75" customHeight="1">
      <c r="A168" s="3">
        <v>176.0</v>
      </c>
      <c r="B168" s="4" t="s">
        <v>1099</v>
      </c>
      <c r="C168" s="4" t="str">
        <f>VLOOKUP(D168,'slb RAW'!$E:$F,2)</f>
        <v>XS2406727151</v>
      </c>
      <c r="D168" s="4" t="s">
        <v>1106</v>
      </c>
      <c r="E168" s="4" t="s">
        <v>1107</v>
      </c>
      <c r="F168" s="4" t="s">
        <v>1102</v>
      </c>
      <c r="G168" s="4" t="s">
        <v>170</v>
      </c>
      <c r="H168" s="4" t="s">
        <v>170</v>
      </c>
      <c r="I168" s="4" t="s">
        <v>185</v>
      </c>
      <c r="J168" s="4">
        <v>5.625</v>
      </c>
      <c r="K168" s="4" t="s">
        <v>1103</v>
      </c>
      <c r="L168" s="4" t="s">
        <v>1016</v>
      </c>
      <c r="M168" s="11">
        <v>5.6367</v>
      </c>
      <c r="N168" s="4" t="s">
        <v>115</v>
      </c>
      <c r="O168" s="4" t="s">
        <v>116</v>
      </c>
      <c r="P168" s="4" t="s">
        <v>271</v>
      </c>
      <c r="Q168" s="4" t="s">
        <v>459</v>
      </c>
      <c r="R168" s="4" t="s">
        <v>53</v>
      </c>
      <c r="S168" s="4" t="s">
        <v>351</v>
      </c>
      <c r="T168" s="4" t="s">
        <v>55</v>
      </c>
      <c r="U168" s="4" t="s">
        <v>56</v>
      </c>
      <c r="V168" s="4" t="s">
        <v>71</v>
      </c>
      <c r="W168" s="4">
        <v>5.11641E8</v>
      </c>
      <c r="X168" s="4" t="s">
        <v>85</v>
      </c>
      <c r="Y168" s="4" t="s">
        <v>515</v>
      </c>
      <c r="Z168" s="4" t="s">
        <v>60</v>
      </c>
      <c r="AA168" s="4" t="s">
        <v>61</v>
      </c>
      <c r="AB168" s="4" t="s">
        <v>87</v>
      </c>
      <c r="AC168" s="4" t="s">
        <v>515</v>
      </c>
      <c r="AD168" s="3" t="s">
        <v>1104</v>
      </c>
      <c r="AE168" s="7">
        <v>25.0</v>
      </c>
      <c r="AF168" s="12"/>
      <c r="AG168" s="4" t="str">
        <f t="shared" si="1"/>
        <v/>
      </c>
      <c r="AH168" s="8" t="s">
        <v>125</v>
      </c>
      <c r="AI168" s="4" t="s">
        <v>1108</v>
      </c>
      <c r="AJ168" s="7">
        <f>VLOOKUP(D168,'slb RAW'!$E$2:$AF$293,9)</f>
        <v>5.625</v>
      </c>
      <c r="AK168" s="4">
        <f>VLOOKUP(D168,'slb RAW'!$E$2:$AE$293,27)</f>
        <v>5.569</v>
      </c>
      <c r="AL168" s="4" t="str">
        <f>VLOOKUP(C168,'Refinitiv SLB'!F168:S345,14)</f>
        <v>#N/A</v>
      </c>
      <c r="AM168" s="4">
        <f t="shared" si="2"/>
        <v>5.569</v>
      </c>
      <c r="AN168" s="9" t="str">
        <f t="shared" si="3"/>
        <v>Lune Holdings SarlCALLABLEFIXEDEURSecured</v>
      </c>
      <c r="AO168" s="7" t="b">
        <f>ISNUMBER( IFERROR(VLOOKUP(A168,Pairs!$E$2:$E$57,1,FALSE),FALSE))</f>
        <v>0</v>
      </c>
      <c r="AP168" s="7"/>
      <c r="AQ168" s="7"/>
    </row>
    <row r="169" ht="15.75" customHeight="1">
      <c r="A169" s="3">
        <v>225.0</v>
      </c>
      <c r="B169" s="4" t="s">
        <v>500</v>
      </c>
      <c r="C169" s="4" t="str">
        <f>VLOOKUP(D169,'slb RAW'!$E:$F,2)</f>
        <v>XS2403428472</v>
      </c>
      <c r="D169" s="4" t="s">
        <v>1109</v>
      </c>
      <c r="E169" s="4" t="s">
        <v>1110</v>
      </c>
      <c r="F169" s="4" t="s">
        <v>503</v>
      </c>
      <c r="G169" s="4" t="s">
        <v>185</v>
      </c>
      <c r="H169" s="4" t="s">
        <v>185</v>
      </c>
      <c r="I169" s="4" t="s">
        <v>185</v>
      </c>
      <c r="J169" s="4">
        <v>2.125</v>
      </c>
      <c r="K169" s="4" t="s">
        <v>937</v>
      </c>
      <c r="L169" s="4" t="s">
        <v>1111</v>
      </c>
      <c r="M169" s="4">
        <v>2.125</v>
      </c>
      <c r="N169" s="4" t="s">
        <v>115</v>
      </c>
      <c r="O169" s="4" t="s">
        <v>116</v>
      </c>
      <c r="P169" s="4" t="s">
        <v>174</v>
      </c>
      <c r="Q169" s="4" t="s">
        <v>52</v>
      </c>
      <c r="R169" s="4" t="s">
        <v>53</v>
      </c>
      <c r="S169" s="4" t="s">
        <v>297</v>
      </c>
      <c r="T169" s="4" t="s">
        <v>55</v>
      </c>
      <c r="U169" s="4" t="s">
        <v>56</v>
      </c>
      <c r="V169" s="4" t="s">
        <v>71</v>
      </c>
      <c r="W169" s="4">
        <v>6.90738E8</v>
      </c>
      <c r="X169" s="4" t="s">
        <v>58</v>
      </c>
      <c r="Y169" s="4" t="s">
        <v>506</v>
      </c>
      <c r="Z169" s="4" t="s">
        <v>60</v>
      </c>
      <c r="AA169" s="4" t="s">
        <v>61</v>
      </c>
      <c r="AB169" s="4" t="s">
        <v>177</v>
      </c>
      <c r="AC169" s="4" t="s">
        <v>192</v>
      </c>
      <c r="AD169" s="3" t="s">
        <v>857</v>
      </c>
      <c r="AE169" s="7">
        <v>25.0</v>
      </c>
      <c r="AF169" s="12"/>
      <c r="AG169" s="4" t="str">
        <f t="shared" si="1"/>
        <v/>
      </c>
      <c r="AH169" s="8" t="s">
        <v>125</v>
      </c>
      <c r="AI169" s="4" t="s">
        <v>1112</v>
      </c>
      <c r="AJ169" s="7">
        <f>VLOOKUP(D169,'slb RAW'!$E$2:$AF$293,9)</f>
        <v>2.125</v>
      </c>
      <c r="AK169" s="4">
        <f>VLOOKUP(D169,'slb RAW'!$E$2:$AE$293,27)</f>
        <v>2.105</v>
      </c>
      <c r="AL169" s="4" t="str">
        <f>VLOOKUP(C169,'Refinitiv SLB'!F169:S346,14)</f>
        <v>#N/A</v>
      </c>
      <c r="AM169" s="4">
        <f t="shared" si="2"/>
        <v>2.105</v>
      </c>
      <c r="AN169" s="9" t="str">
        <f t="shared" si="3"/>
        <v>Rexel SACALLABLEFIXEDEURSr Unsecured</v>
      </c>
      <c r="AO169" s="7" t="b">
        <f>ISNUMBER( IFERROR(VLOOKUP(A169,Pairs!$E$2:$E$57,1,FALSE),FALSE))</f>
        <v>0</v>
      </c>
      <c r="AP169" s="7"/>
      <c r="AQ169" s="7"/>
    </row>
    <row r="170" ht="15.75" customHeight="1">
      <c r="A170" s="3">
        <v>104.0</v>
      </c>
      <c r="B170" s="4" t="s">
        <v>1076</v>
      </c>
      <c r="C170" s="4" t="str">
        <f>VLOOKUP(D170,'slb RAW'!$E:$F,2)</f>
        <v>XS2405483301</v>
      </c>
      <c r="D170" s="4" t="s">
        <v>1113</v>
      </c>
      <c r="E170" s="4" t="s">
        <v>1114</v>
      </c>
      <c r="F170" s="4" t="s">
        <v>1079</v>
      </c>
      <c r="G170" s="4" t="s">
        <v>185</v>
      </c>
      <c r="H170" s="4" t="s">
        <v>185</v>
      </c>
      <c r="I170" s="4" t="s">
        <v>185</v>
      </c>
      <c r="J170" s="4">
        <v>2.75</v>
      </c>
      <c r="K170" s="4" t="s">
        <v>937</v>
      </c>
      <c r="L170" s="4" t="s">
        <v>1115</v>
      </c>
      <c r="M170" s="4">
        <v>2.75</v>
      </c>
      <c r="N170" s="4" t="s">
        <v>115</v>
      </c>
      <c r="O170" s="4" t="s">
        <v>116</v>
      </c>
      <c r="P170" s="4" t="s">
        <v>174</v>
      </c>
      <c r="Q170" s="4" t="s">
        <v>52</v>
      </c>
      <c r="R170" s="4" t="s">
        <v>53</v>
      </c>
      <c r="S170" s="4" t="s">
        <v>885</v>
      </c>
      <c r="T170" s="4" t="s">
        <v>885</v>
      </c>
      <c r="U170" s="4" t="s">
        <v>56</v>
      </c>
      <c r="V170" s="4" t="s">
        <v>71</v>
      </c>
      <c r="W170" s="4">
        <v>1.381476E9</v>
      </c>
      <c r="X170" s="4" t="s">
        <v>134</v>
      </c>
      <c r="Y170" s="4" t="s">
        <v>544</v>
      </c>
      <c r="Z170" s="4" t="s">
        <v>60</v>
      </c>
      <c r="AA170" s="4" t="s">
        <v>61</v>
      </c>
      <c r="AB170" s="4" t="s">
        <v>136</v>
      </c>
      <c r="AC170" s="4" t="s">
        <v>545</v>
      </c>
      <c r="AD170" s="26" t="s">
        <v>1116</v>
      </c>
      <c r="AE170" s="7">
        <v>25.0</v>
      </c>
      <c r="AF170" s="12"/>
      <c r="AG170" s="4" t="str">
        <f t="shared" si="1"/>
        <v/>
      </c>
      <c r="AH170" s="8" t="s">
        <v>125</v>
      </c>
      <c r="AI170" s="4" t="s">
        <v>1117</v>
      </c>
      <c r="AJ170" s="7">
        <f>VLOOKUP(D170,'slb RAW'!$E$2:$AF$293,9)</f>
        <v>2.75</v>
      </c>
      <c r="AK170" s="4">
        <f>VLOOKUP(D170,'slb RAW'!$E$2:$AE$293,27)</f>
        <v>2.398</v>
      </c>
      <c r="AL170" s="4" t="str">
        <f>VLOOKUP(C170,'Refinitiv SLB'!F170:S347,14)</f>
        <v>#N/A</v>
      </c>
      <c r="AM170" s="4">
        <f t="shared" si="2"/>
        <v>2.398</v>
      </c>
      <c r="AN170" s="9" t="str">
        <f t="shared" si="3"/>
        <v>Faurecia SECALLABLEFIXEDEURSr Unsecured</v>
      </c>
      <c r="AO170" s="7" t="b">
        <f>ISNUMBER( IFERROR(VLOOKUP(A170,Pairs!$E$2:$E$57,1,FALSE),FALSE))</f>
        <v>1</v>
      </c>
      <c r="AP170" s="7"/>
      <c r="AQ170" s="7"/>
    </row>
    <row r="171" ht="15.75" customHeight="1">
      <c r="A171" s="3">
        <v>266.0</v>
      </c>
      <c r="B171" s="4" t="s">
        <v>574</v>
      </c>
      <c r="C171" s="4" t="str">
        <f>VLOOKUP(D171,'slb RAW'!$E:$F,2)</f>
        <v>FR0014006EG0</v>
      </c>
      <c r="D171" s="4" t="s">
        <v>1118</v>
      </c>
      <c r="E171" s="4" t="s">
        <v>1119</v>
      </c>
      <c r="F171" s="4" t="s">
        <v>577</v>
      </c>
      <c r="G171" s="4" t="s">
        <v>185</v>
      </c>
      <c r="H171" s="4" t="s">
        <v>185</v>
      </c>
      <c r="I171" s="4" t="s">
        <v>185</v>
      </c>
      <c r="J171" s="4">
        <v>1.875</v>
      </c>
      <c r="K171" s="4" t="s">
        <v>937</v>
      </c>
      <c r="L171" s="4" t="s">
        <v>938</v>
      </c>
      <c r="M171" s="4">
        <v>2.0</v>
      </c>
      <c r="N171" s="4" t="s">
        <v>115</v>
      </c>
      <c r="O171" s="4" t="s">
        <v>116</v>
      </c>
      <c r="P171" s="4" t="s">
        <v>174</v>
      </c>
      <c r="Q171" s="4" t="s">
        <v>52</v>
      </c>
      <c r="R171" s="4" t="s">
        <v>53</v>
      </c>
      <c r="S171" s="4" t="s">
        <v>190</v>
      </c>
      <c r="T171" s="4" t="s">
        <v>55</v>
      </c>
      <c r="U171" s="4" t="s">
        <v>56</v>
      </c>
      <c r="V171" s="4" t="s">
        <v>57</v>
      </c>
      <c r="W171" s="4">
        <v>5.75615E8</v>
      </c>
      <c r="X171" s="4" t="s">
        <v>85</v>
      </c>
      <c r="Y171" s="4" t="s">
        <v>265</v>
      </c>
      <c r="Z171" s="4" t="s">
        <v>60</v>
      </c>
      <c r="AA171" s="4" t="s">
        <v>61</v>
      </c>
      <c r="AB171" s="4" t="s">
        <v>177</v>
      </c>
      <c r="AC171" s="4" t="s">
        <v>579</v>
      </c>
      <c r="AD171" s="3" t="s">
        <v>1120</v>
      </c>
      <c r="AE171" s="8" t="s">
        <v>124</v>
      </c>
      <c r="AF171" s="12"/>
      <c r="AG171" s="4" t="str">
        <f t="shared" si="1"/>
        <v/>
      </c>
      <c r="AH171" s="8" t="s">
        <v>125</v>
      </c>
      <c r="AI171" s="4" t="s">
        <v>1121</v>
      </c>
      <c r="AJ171" s="7">
        <f>VLOOKUP(D171,'slb RAW'!$E$2:$AF$293,9)</f>
        <v>2</v>
      </c>
      <c r="AK171" s="4">
        <f>VLOOKUP(D171,'slb RAW'!$E$2:$AE$293,27)</f>
        <v>1.8</v>
      </c>
      <c r="AL171" s="4" t="str">
        <f>VLOOKUP(C171,'Refinitiv SLB'!F171:S348,14)</f>
        <v>#N/A</v>
      </c>
      <c r="AM171" s="4">
        <f t="shared" si="2"/>
        <v>1.8</v>
      </c>
      <c r="AN171" s="9" t="str">
        <f t="shared" si="3"/>
        <v>Verallia SACALLABLEFIXEDEURSr Unsecured</v>
      </c>
      <c r="AO171" s="7" t="b">
        <f>ISNUMBER( IFERROR(VLOOKUP(A171,Pairs!$E$2:$E$57,1,FALSE),FALSE))</f>
        <v>0</v>
      </c>
      <c r="AP171" s="7"/>
      <c r="AQ171" s="7"/>
    </row>
    <row r="172" ht="15.75" customHeight="1">
      <c r="A172" s="3">
        <v>160.0</v>
      </c>
      <c r="B172" s="4" t="s">
        <v>1122</v>
      </c>
      <c r="C172" s="4" t="str">
        <f>VLOOKUP(D172,'slb RAW'!$E:$F,2)</f>
        <v>XS2406890066</v>
      </c>
      <c r="D172" s="4" t="s">
        <v>1123</v>
      </c>
      <c r="E172" s="4" t="s">
        <v>1124</v>
      </c>
      <c r="F172" s="4" t="s">
        <v>1125</v>
      </c>
      <c r="G172" s="4" t="s">
        <v>367</v>
      </c>
      <c r="H172" s="4" t="s">
        <v>367</v>
      </c>
      <c r="I172" s="4" t="s">
        <v>367</v>
      </c>
      <c r="J172" s="4">
        <v>0.875</v>
      </c>
      <c r="K172" s="4" t="s">
        <v>1126</v>
      </c>
      <c r="L172" s="4" t="s">
        <v>1127</v>
      </c>
      <c r="M172" s="4">
        <v>0.984</v>
      </c>
      <c r="N172" s="4" t="s">
        <v>115</v>
      </c>
      <c r="O172" s="4" t="s">
        <v>116</v>
      </c>
      <c r="P172" s="4" t="s">
        <v>1128</v>
      </c>
      <c r="Q172" s="4" t="s">
        <v>52</v>
      </c>
      <c r="R172" s="4" t="s">
        <v>53</v>
      </c>
      <c r="S172" s="4" t="s">
        <v>497</v>
      </c>
      <c r="T172" s="4" t="s">
        <v>133</v>
      </c>
      <c r="U172" s="4" t="s">
        <v>56</v>
      </c>
      <c r="V172" s="4" t="s">
        <v>57</v>
      </c>
      <c r="W172" s="4">
        <v>7.96999E8</v>
      </c>
      <c r="X172" s="4" t="s">
        <v>309</v>
      </c>
      <c r="Y172" s="4" t="s">
        <v>1129</v>
      </c>
      <c r="Z172" s="4" t="s">
        <v>60</v>
      </c>
      <c r="AA172" s="4" t="s">
        <v>61</v>
      </c>
      <c r="AB172" s="4" t="s">
        <v>309</v>
      </c>
      <c r="AC172" s="4" t="s">
        <v>1130</v>
      </c>
      <c r="AD172" s="3" t="s">
        <v>1131</v>
      </c>
      <c r="AE172" s="7">
        <v>37.5</v>
      </c>
      <c r="AF172" s="12"/>
      <c r="AG172" s="4" t="str">
        <f t="shared" si="1"/>
        <v/>
      </c>
      <c r="AH172" s="8" t="s">
        <v>125</v>
      </c>
      <c r="AI172" s="4" t="s">
        <v>1132</v>
      </c>
      <c r="AJ172" s="7">
        <f>VLOOKUP(D172,'slb RAW'!$E$2:$AF$293,9)</f>
        <v>0.984</v>
      </c>
      <c r="AK172" s="4">
        <f>VLOOKUP(D172,'slb RAW'!$E$2:$AE$293,27)</f>
        <v>1.021</v>
      </c>
      <c r="AL172" s="4" t="str">
        <f>VLOOKUP(C172,'Refinitiv SLB'!F172:S349,14)</f>
        <v>#N/A</v>
      </c>
      <c r="AM172" s="4">
        <f t="shared" si="2"/>
        <v>1.021</v>
      </c>
      <c r="AN172" s="9" t="str">
        <f t="shared" si="3"/>
        <v>Koninklijke KPN NVCALLABLEFIXEDEURSr Unsecured</v>
      </c>
      <c r="AO172" s="7" t="b">
        <f>ISNUMBER( IFERROR(VLOOKUP(A172,Pairs!$E$2:$E$57,1,FALSE),FALSE))</f>
        <v>1</v>
      </c>
      <c r="AP172" s="7"/>
      <c r="AQ172" s="7"/>
    </row>
    <row r="173" ht="15.75" customHeight="1">
      <c r="A173" s="3">
        <v>124.0</v>
      </c>
      <c r="B173" s="4" t="s">
        <v>1133</v>
      </c>
      <c r="C173" s="4" t="str">
        <f>VLOOKUP(D173,'slb RAW'!$E:$F,2)</f>
        <v>XS2407955827</v>
      </c>
      <c r="D173" s="4" t="s">
        <v>1134</v>
      </c>
      <c r="E173" s="4" t="s">
        <v>1135</v>
      </c>
      <c r="F173" s="4" t="s">
        <v>1136</v>
      </c>
      <c r="G173" s="4" t="s">
        <v>45</v>
      </c>
      <c r="H173" s="4" t="s">
        <v>45</v>
      </c>
      <c r="I173" s="4" t="s">
        <v>45</v>
      </c>
      <c r="J173" s="4">
        <v>0.5</v>
      </c>
      <c r="K173" s="4" t="s">
        <v>1137</v>
      </c>
      <c r="L173" s="4" t="s">
        <v>1138</v>
      </c>
      <c r="M173" s="17">
        <v>0.5644</v>
      </c>
      <c r="N173" s="4" t="s">
        <v>115</v>
      </c>
      <c r="O173" s="4" t="s">
        <v>116</v>
      </c>
      <c r="P173" s="4" t="s">
        <v>226</v>
      </c>
      <c r="Q173" s="4" t="s">
        <v>52</v>
      </c>
      <c r="R173" s="4" t="s">
        <v>53</v>
      </c>
      <c r="S173" s="4" t="s">
        <v>117</v>
      </c>
      <c r="T173" s="4" t="s">
        <v>421</v>
      </c>
      <c r="U173" s="4" t="s">
        <v>56</v>
      </c>
      <c r="V173" s="4" t="s">
        <v>57</v>
      </c>
      <c r="W173" s="4">
        <v>5.6595E8</v>
      </c>
      <c r="X173" s="4" t="s">
        <v>422</v>
      </c>
      <c r="Y173" s="4" t="s">
        <v>229</v>
      </c>
      <c r="Z173" s="4" t="s">
        <v>60</v>
      </c>
      <c r="AA173" s="4" t="s">
        <v>61</v>
      </c>
      <c r="AB173" s="4" t="s">
        <v>228</v>
      </c>
      <c r="AC173" s="4" t="s">
        <v>229</v>
      </c>
      <c r="AD173" s="3" t="s">
        <v>1139</v>
      </c>
      <c r="AE173" s="8" t="s">
        <v>124</v>
      </c>
      <c r="AF173" s="12"/>
      <c r="AG173" s="4" t="str">
        <f t="shared" si="1"/>
        <v/>
      </c>
      <c r="AH173" s="8" t="s">
        <v>140</v>
      </c>
      <c r="AI173" s="4" t="s">
        <v>1140</v>
      </c>
      <c r="AJ173" s="7" t="str">
        <f>VLOOKUP(D173,'slb RAW'!$E$2:$AF$293,9)</f>
        <v>#N/A N/A</v>
      </c>
      <c r="AK173" s="4">
        <f>VLOOKUP(D173,'slb RAW'!$E$2:$AE$293,27)</f>
        <v>0.55</v>
      </c>
      <c r="AL173" s="4" t="str">
        <f>VLOOKUP(C173,'Refinitiv SLB'!F173:S350,14)</f>
        <v>#N/A</v>
      </c>
      <c r="AM173" s="4">
        <f t="shared" si="2"/>
        <v>0.55</v>
      </c>
      <c r="AN173" s="9" t="str">
        <f t="shared" si="3"/>
        <v>Henkel AG &amp; Co KGaACALLABLEFIXEDEURSr Unsecured</v>
      </c>
      <c r="AO173" s="7" t="b">
        <f>ISNUMBER( IFERROR(VLOOKUP(A173,Pairs!$E$2:$E$57,1,FALSE),FALSE))</f>
        <v>0</v>
      </c>
      <c r="AP173" s="7"/>
      <c r="AQ173" s="7"/>
    </row>
    <row r="174" ht="15.75" customHeight="1">
      <c r="A174" s="3">
        <v>125.0</v>
      </c>
      <c r="B174" s="4" t="s">
        <v>1133</v>
      </c>
      <c r="C174" s="4" t="str">
        <f>VLOOKUP(D174,'slb RAW'!$E:$F,2)</f>
        <v>XS2407954002</v>
      </c>
      <c r="D174" s="4" t="s">
        <v>1141</v>
      </c>
      <c r="E174" s="4" t="s">
        <v>1142</v>
      </c>
      <c r="F174" s="4" t="s">
        <v>1136</v>
      </c>
      <c r="G174" s="4" t="s">
        <v>45</v>
      </c>
      <c r="H174" s="4" t="s">
        <v>45</v>
      </c>
      <c r="I174" s="4" t="s">
        <v>45</v>
      </c>
      <c r="J174" s="4">
        <v>1.75</v>
      </c>
      <c r="K174" s="4" t="s">
        <v>1137</v>
      </c>
      <c r="L174" s="4" t="s">
        <v>1143</v>
      </c>
      <c r="M174" s="4">
        <v>1.815</v>
      </c>
      <c r="N174" s="4" t="s">
        <v>115</v>
      </c>
      <c r="O174" s="4" t="s">
        <v>116</v>
      </c>
      <c r="P174" s="4" t="s">
        <v>226</v>
      </c>
      <c r="Q174" s="4" t="s">
        <v>52</v>
      </c>
      <c r="R174" s="4" t="s">
        <v>263</v>
      </c>
      <c r="S174" s="4" t="s">
        <v>117</v>
      </c>
      <c r="T174" s="4" t="s">
        <v>421</v>
      </c>
      <c r="U174" s="4" t="s">
        <v>56</v>
      </c>
      <c r="V174" s="4" t="s">
        <v>57</v>
      </c>
      <c r="W174" s="4">
        <v>2.5E8</v>
      </c>
      <c r="X174" s="4" t="s">
        <v>422</v>
      </c>
      <c r="Y174" s="4" t="s">
        <v>229</v>
      </c>
      <c r="Z174" s="4" t="s">
        <v>60</v>
      </c>
      <c r="AA174" s="4" t="s">
        <v>61</v>
      </c>
      <c r="AB174" s="4" t="s">
        <v>228</v>
      </c>
      <c r="AC174" s="4" t="s">
        <v>229</v>
      </c>
      <c r="AD174" s="3" t="s">
        <v>1144</v>
      </c>
      <c r="AE174" s="7">
        <v>25.0</v>
      </c>
      <c r="AF174" s="12"/>
      <c r="AG174" s="4" t="str">
        <f t="shared" si="1"/>
        <v/>
      </c>
      <c r="AH174" s="8" t="s">
        <v>140</v>
      </c>
      <c r="AI174" s="4" t="s">
        <v>1145</v>
      </c>
      <c r="AJ174" s="7">
        <f>VLOOKUP(D174,'slb RAW'!$E$2:$AF$293,9)</f>
        <v>1.815</v>
      </c>
      <c r="AK174" s="4" t="str">
        <f>VLOOKUP(D174,'slb RAW'!$E$2:$AE$293,27)</f>
        <v>#N/A N/A</v>
      </c>
      <c r="AL174" s="4" t="str">
        <f>VLOOKUP(C174,'Refinitiv SLB'!F174:S351,14)</f>
        <v>#N/A</v>
      </c>
      <c r="AM174" s="4">
        <f t="shared" si="2"/>
        <v>1.815</v>
      </c>
      <c r="AN174" s="9" t="str">
        <f t="shared" si="3"/>
        <v>Henkel AG &amp; Co KGaACALLABLEFIXEDUSDSr Unsecured</v>
      </c>
      <c r="AO174" s="7" t="b">
        <f>ISNUMBER( IFERROR(VLOOKUP(A174,Pairs!$E$2:$E$57,1,FALSE),FALSE))</f>
        <v>0</v>
      </c>
      <c r="AP174" s="7"/>
      <c r="AQ174" s="7"/>
    </row>
    <row r="175" ht="15.75" customHeight="1">
      <c r="A175" s="3">
        <v>155.0</v>
      </c>
      <c r="B175" s="4" t="s">
        <v>1146</v>
      </c>
      <c r="C175" s="4" t="str">
        <f>VLOOKUP(D175,'slb RAW'!$E:$F,2)</f>
        <v>SE0013360534</v>
      </c>
      <c r="D175" s="4" t="s">
        <v>1147</v>
      </c>
      <c r="E175" s="4" t="s">
        <v>1148</v>
      </c>
      <c r="F175" s="4" t="s">
        <v>1149</v>
      </c>
      <c r="G175" s="4" t="s">
        <v>368</v>
      </c>
      <c r="H175" s="4" t="s">
        <v>368</v>
      </c>
      <c r="I175" s="4" t="s">
        <v>368</v>
      </c>
      <c r="J175" s="4">
        <v>0.627</v>
      </c>
      <c r="K175" s="4" t="s">
        <v>1150</v>
      </c>
      <c r="L175" s="4" t="s">
        <v>1151</v>
      </c>
      <c r="M175" s="11">
        <v>0.7851</v>
      </c>
      <c r="N175" s="4" t="s">
        <v>49</v>
      </c>
      <c r="O175" s="4" t="s">
        <v>50</v>
      </c>
      <c r="P175" s="4" t="s">
        <v>686</v>
      </c>
      <c r="Q175" s="4" t="s">
        <v>52</v>
      </c>
      <c r="R175" s="4" t="s">
        <v>687</v>
      </c>
      <c r="S175" s="4" t="s">
        <v>54</v>
      </c>
      <c r="T175" s="4" t="s">
        <v>421</v>
      </c>
      <c r="U175" s="4" t="s">
        <v>70</v>
      </c>
      <c r="V175" s="4" t="s">
        <v>392</v>
      </c>
      <c r="W175" s="4">
        <v>1.65837E8</v>
      </c>
      <c r="X175" s="4" t="s">
        <v>485</v>
      </c>
      <c r="Y175" s="4" t="s">
        <v>563</v>
      </c>
      <c r="Z175" s="4" t="s">
        <v>60</v>
      </c>
      <c r="AA175" s="4" t="s">
        <v>487</v>
      </c>
      <c r="AB175" s="4" t="s">
        <v>1152</v>
      </c>
      <c r="AC175" s="4" t="s">
        <v>1152</v>
      </c>
      <c r="AD175" s="3" t="s">
        <v>1153</v>
      </c>
      <c r="AE175" s="7">
        <v>7.5</v>
      </c>
      <c r="AF175" s="12"/>
      <c r="AG175" s="4" t="str">
        <f t="shared" si="1"/>
        <v/>
      </c>
      <c r="AH175" s="8" t="s">
        <v>612</v>
      </c>
      <c r="AI175" s="4" t="s">
        <v>1154</v>
      </c>
      <c r="AJ175" s="7" t="str">
        <f>VLOOKUP(D175,'slb RAW'!$E$2:$AF$293,9)</f>
        <v>#N/A N/A</v>
      </c>
      <c r="AK175" s="4">
        <f>VLOOKUP(D175,'slb RAW'!$E$2:$AE$293,27)</f>
        <v>0.536</v>
      </c>
      <c r="AL175" s="4" t="str">
        <f>VLOOKUP(C175,'Refinitiv SLB'!F175:S352,14)</f>
        <v>#N/A</v>
      </c>
      <c r="AM175" s="4">
        <f t="shared" si="2"/>
        <v>0.536</v>
      </c>
      <c r="AN175" s="9" t="str">
        <f t="shared" si="3"/>
        <v>Kinnevik ABAT MATURITYFLOATINGSEKSr Unsecured</v>
      </c>
      <c r="AO175" s="7" t="b">
        <f>ISNUMBER( IFERROR(VLOOKUP(A175,Pairs!$E$2:$E$57,1,FALSE),FALSE))</f>
        <v>1</v>
      </c>
      <c r="AP175" s="7"/>
      <c r="AQ175" s="7"/>
    </row>
    <row r="176" ht="15.75" customHeight="1">
      <c r="A176" s="3">
        <v>156.0</v>
      </c>
      <c r="B176" s="4" t="s">
        <v>1146</v>
      </c>
      <c r="C176" s="4" t="str">
        <f>VLOOKUP(D176,'slb RAW'!$E:$F,2)</f>
        <v>SE0013360542</v>
      </c>
      <c r="D176" s="4" t="s">
        <v>1155</v>
      </c>
      <c r="E176" s="4" t="s">
        <v>1156</v>
      </c>
      <c r="F176" s="4" t="s">
        <v>1149</v>
      </c>
      <c r="G176" s="4" t="s">
        <v>368</v>
      </c>
      <c r="H176" s="4" t="s">
        <v>368</v>
      </c>
      <c r="I176" s="4" t="s">
        <v>368</v>
      </c>
      <c r="J176" s="4">
        <v>0.8270000000000001</v>
      </c>
      <c r="K176" s="4" t="s">
        <v>1150</v>
      </c>
      <c r="L176" s="4" t="s">
        <v>1157</v>
      </c>
      <c r="M176" s="11">
        <v>0.5858</v>
      </c>
      <c r="N176" s="4" t="s">
        <v>49</v>
      </c>
      <c r="O176" s="4" t="s">
        <v>50</v>
      </c>
      <c r="P176" s="4" t="s">
        <v>686</v>
      </c>
      <c r="Q176" s="4" t="s">
        <v>52</v>
      </c>
      <c r="R176" s="4" t="s">
        <v>687</v>
      </c>
      <c r="S176" s="4" t="s">
        <v>54</v>
      </c>
      <c r="T176" s="4" t="s">
        <v>421</v>
      </c>
      <c r="U176" s="4" t="s">
        <v>70</v>
      </c>
      <c r="V176" s="4" t="s">
        <v>392</v>
      </c>
      <c r="W176" s="4">
        <v>5.5279E7</v>
      </c>
      <c r="X176" s="4" t="s">
        <v>485</v>
      </c>
      <c r="Y176" s="4" t="s">
        <v>563</v>
      </c>
      <c r="Z176" s="4" t="s">
        <v>60</v>
      </c>
      <c r="AA176" s="4" t="s">
        <v>487</v>
      </c>
      <c r="AB176" s="4" t="s">
        <v>1152</v>
      </c>
      <c r="AC176" s="4" t="s">
        <v>1152</v>
      </c>
      <c r="AD176" s="3" t="s">
        <v>1153</v>
      </c>
      <c r="AE176" s="7">
        <v>7.5</v>
      </c>
      <c r="AF176" s="12"/>
      <c r="AG176" s="4" t="str">
        <f t="shared" si="1"/>
        <v/>
      </c>
      <c r="AH176" s="8" t="s">
        <v>612</v>
      </c>
      <c r="AI176" s="4" t="s">
        <v>1154</v>
      </c>
      <c r="AJ176" s="7" t="str">
        <f>VLOOKUP(D176,'slb RAW'!$E$2:$AF$293,9)</f>
        <v>#N/A N/A</v>
      </c>
      <c r="AK176" s="4">
        <f>VLOOKUP(D176,'slb RAW'!$E$2:$AE$293,27)</f>
        <v>0.728</v>
      </c>
      <c r="AL176" s="4" t="str">
        <f>VLOOKUP(C176,'Refinitiv SLB'!F176:S353,14)</f>
        <v>#N/A</v>
      </c>
      <c r="AM176" s="4">
        <f t="shared" si="2"/>
        <v>0.728</v>
      </c>
      <c r="AN176" s="9" t="str">
        <f t="shared" si="3"/>
        <v>Kinnevik ABAT MATURITYFLOATINGSEKSr Unsecured</v>
      </c>
      <c r="AO176" s="7" t="b">
        <f>ISNUMBER( IFERROR(VLOOKUP(A176,Pairs!$E$2:$E$57,1,FALSE),FALSE))</f>
        <v>0</v>
      </c>
      <c r="AP176" s="7"/>
      <c r="AQ176" s="7"/>
    </row>
    <row r="177" ht="15.75" customHeight="1">
      <c r="A177" s="3">
        <v>6.0</v>
      </c>
      <c r="B177" s="4" t="s">
        <v>1158</v>
      </c>
      <c r="C177" s="4" t="str">
        <f>VLOOKUP(D177,'slb RAW'!$E:$F,2)</f>
        <v>FR0014006ND8</v>
      </c>
      <c r="D177" s="4" t="s">
        <v>1159</v>
      </c>
      <c r="E177" s="4" t="s">
        <v>1160</v>
      </c>
      <c r="F177" s="4" t="s">
        <v>1161</v>
      </c>
      <c r="G177" s="4" t="s">
        <v>185</v>
      </c>
      <c r="H177" s="4" t="s">
        <v>185</v>
      </c>
      <c r="I177" s="4" t="s">
        <v>185</v>
      </c>
      <c r="J177" s="4">
        <v>2.375</v>
      </c>
      <c r="K177" s="4" t="s">
        <v>1162</v>
      </c>
      <c r="L177" s="4" t="s">
        <v>1163</v>
      </c>
      <c r="M177" s="4">
        <v>2.5</v>
      </c>
      <c r="N177" s="4" t="s">
        <v>115</v>
      </c>
      <c r="O177" s="4" t="s">
        <v>116</v>
      </c>
      <c r="P177" s="4" t="s">
        <v>174</v>
      </c>
      <c r="Q177" s="4" t="s">
        <v>52</v>
      </c>
      <c r="R177" s="4" t="s">
        <v>53</v>
      </c>
      <c r="S177" s="4" t="s">
        <v>264</v>
      </c>
      <c r="T177" s="4" t="s">
        <v>117</v>
      </c>
      <c r="U177" s="4" t="s">
        <v>56</v>
      </c>
      <c r="V177" s="4" t="s">
        <v>57</v>
      </c>
      <c r="W177" s="4">
        <v>7.88774E8</v>
      </c>
      <c r="X177" s="4" t="s">
        <v>134</v>
      </c>
      <c r="Y177" s="4" t="s">
        <v>535</v>
      </c>
      <c r="Z177" s="4" t="s">
        <v>60</v>
      </c>
      <c r="AA177" s="4" t="s">
        <v>61</v>
      </c>
      <c r="AB177" s="4" t="s">
        <v>136</v>
      </c>
      <c r="AC177" s="4" t="s">
        <v>1164</v>
      </c>
      <c r="AD177" s="4" t="s">
        <v>1165</v>
      </c>
      <c r="AE177" s="7">
        <v>12.5</v>
      </c>
      <c r="AF177" s="12"/>
      <c r="AG177" s="4" t="str">
        <f t="shared" si="1"/>
        <v/>
      </c>
      <c r="AH177" s="8" t="s">
        <v>125</v>
      </c>
      <c r="AI177" s="4" t="s">
        <v>1166</v>
      </c>
      <c r="AJ177" s="7">
        <f>VLOOKUP(D177,'slb RAW'!$E$2:$AF$293,9)</f>
        <v>2.5</v>
      </c>
      <c r="AK177" s="4">
        <f>VLOOKUP(D177,'slb RAW'!$E$2:$AE$293,27)</f>
        <v>2.408</v>
      </c>
      <c r="AL177" s="4" t="str">
        <f>VLOOKUP(C177,'Refinitiv SLB'!F177:S354,14)</f>
        <v>#N/A</v>
      </c>
      <c r="AM177" s="4">
        <f t="shared" si="2"/>
        <v>2.408</v>
      </c>
      <c r="AN177" s="9" t="str">
        <f t="shared" si="3"/>
        <v>Accor SACALLABLEFIXEDEURSr Unsecured</v>
      </c>
      <c r="AO177" s="7" t="b">
        <f>ISNUMBER( IFERROR(VLOOKUP(A177,Pairs!$E$2:$E$57,1,FALSE),FALSE))</f>
        <v>1</v>
      </c>
      <c r="AP177" s="7"/>
      <c r="AQ177" s="7"/>
    </row>
    <row r="178" ht="15.75" customHeight="1">
      <c r="A178" s="3">
        <v>3.0</v>
      </c>
      <c r="B178" s="4" t="s">
        <v>1167</v>
      </c>
      <c r="C178" s="4" t="str">
        <f>VLOOKUP(D178,'slb RAW'!$E:$F,2)</f>
        <v>XS2412267358</v>
      </c>
      <c r="D178" s="4" t="s">
        <v>1168</v>
      </c>
      <c r="E178" s="4" t="s">
        <v>1169</v>
      </c>
      <c r="F178" s="4" t="s">
        <v>1170</v>
      </c>
      <c r="G178" s="4" t="s">
        <v>200</v>
      </c>
      <c r="H178" s="4" t="s">
        <v>200</v>
      </c>
      <c r="I178" s="4" t="s">
        <v>200</v>
      </c>
      <c r="J178" s="4">
        <v>1.0</v>
      </c>
      <c r="K178" s="4" t="s">
        <v>1171</v>
      </c>
      <c r="L178" s="4" t="s">
        <v>1172</v>
      </c>
      <c r="M178" s="4">
        <v>1.054</v>
      </c>
      <c r="N178" s="4" t="s">
        <v>115</v>
      </c>
      <c r="O178" s="4" t="s">
        <v>116</v>
      </c>
      <c r="P178" s="4" t="s">
        <v>226</v>
      </c>
      <c r="Q178" s="4" t="s">
        <v>52</v>
      </c>
      <c r="R178" s="4" t="s">
        <v>53</v>
      </c>
      <c r="S178" s="4" t="s">
        <v>497</v>
      </c>
      <c r="T178" s="4" t="s">
        <v>55</v>
      </c>
      <c r="U178" s="4" t="s">
        <v>56</v>
      </c>
      <c r="V178" s="4" t="s">
        <v>57</v>
      </c>
      <c r="W178" s="4">
        <v>8.407125E8</v>
      </c>
      <c r="X178" s="4" t="s">
        <v>58</v>
      </c>
      <c r="Y178" s="4" t="s">
        <v>506</v>
      </c>
      <c r="Z178" s="4" t="s">
        <v>60</v>
      </c>
      <c r="AA178" s="4" t="s">
        <v>61</v>
      </c>
      <c r="AB178" s="4" t="s">
        <v>280</v>
      </c>
      <c r="AC178" s="4" t="s">
        <v>281</v>
      </c>
      <c r="AD178" s="4" t="s">
        <v>1173</v>
      </c>
      <c r="AE178" s="7">
        <v>50.0</v>
      </c>
      <c r="AF178" s="12"/>
      <c r="AG178" s="4" t="str">
        <f t="shared" si="1"/>
        <v/>
      </c>
      <c r="AH178" s="8" t="s">
        <v>125</v>
      </c>
      <c r="AI178" s="4" t="s">
        <v>1174</v>
      </c>
      <c r="AJ178" s="7">
        <f>VLOOKUP(D178,'slb RAW'!$E$2:$AF$293,9)</f>
        <v>1.054</v>
      </c>
      <c r="AK178" s="4">
        <f>VLOOKUP(D178,'slb RAW'!$E$2:$AE$293,27)</f>
        <v>0.927</v>
      </c>
      <c r="AL178" s="4" t="str">
        <f>VLOOKUP(C178,'Refinitiv SLB'!F178:S355,14)</f>
        <v>#N/A</v>
      </c>
      <c r="AM178" s="4">
        <f t="shared" si="2"/>
        <v>0.927</v>
      </c>
      <c r="AN178" s="9" t="str">
        <f t="shared" si="3"/>
        <v>ASTM SpACALLABLEFIXEDEURSr Unsecured</v>
      </c>
      <c r="AO178" s="7" t="b">
        <f>ISNUMBER( IFERROR(VLOOKUP(A178,Pairs!$E$2:$E$57,1,FALSE),FALSE))</f>
        <v>0</v>
      </c>
      <c r="AP178" s="7"/>
      <c r="AQ178" s="7"/>
    </row>
    <row r="179" ht="15.75" customHeight="1">
      <c r="A179" s="3">
        <v>4.0</v>
      </c>
      <c r="B179" s="4" t="s">
        <v>1167</v>
      </c>
      <c r="C179" s="4" t="str">
        <f>VLOOKUP(D179,'slb RAW'!$E:$F,2)</f>
        <v>XS2412267515</v>
      </c>
      <c r="D179" s="4" t="s">
        <v>1175</v>
      </c>
      <c r="E179" s="4" t="s">
        <v>1176</v>
      </c>
      <c r="F179" s="4" t="s">
        <v>1170</v>
      </c>
      <c r="G179" s="4" t="s">
        <v>200</v>
      </c>
      <c r="H179" s="4" t="s">
        <v>200</v>
      </c>
      <c r="I179" s="4" t="s">
        <v>200</v>
      </c>
      <c r="J179" s="4">
        <v>1.5</v>
      </c>
      <c r="K179" s="4" t="s">
        <v>1171</v>
      </c>
      <c r="L179" s="4" t="s">
        <v>1177</v>
      </c>
      <c r="M179" s="4">
        <v>1.675</v>
      </c>
      <c r="N179" s="4" t="s">
        <v>115</v>
      </c>
      <c r="O179" s="4" t="s">
        <v>116</v>
      </c>
      <c r="P179" s="4" t="s">
        <v>226</v>
      </c>
      <c r="Q179" s="4" t="s">
        <v>52</v>
      </c>
      <c r="R179" s="4" t="s">
        <v>53</v>
      </c>
      <c r="S179" s="4" t="s">
        <v>497</v>
      </c>
      <c r="T179" s="4" t="s">
        <v>55</v>
      </c>
      <c r="U179" s="4" t="s">
        <v>56</v>
      </c>
      <c r="V179" s="4" t="s">
        <v>57</v>
      </c>
      <c r="W179" s="4">
        <v>1.4011875E9</v>
      </c>
      <c r="X179" s="4" t="s">
        <v>58</v>
      </c>
      <c r="Y179" s="4" t="s">
        <v>506</v>
      </c>
      <c r="Z179" s="4" t="s">
        <v>60</v>
      </c>
      <c r="AA179" s="4" t="s">
        <v>61</v>
      </c>
      <c r="AB179" s="4" t="s">
        <v>280</v>
      </c>
      <c r="AC179" s="4" t="s">
        <v>281</v>
      </c>
      <c r="AD179" s="4" t="s">
        <v>1178</v>
      </c>
      <c r="AE179" s="7">
        <v>50.0</v>
      </c>
      <c r="AF179" s="12"/>
      <c r="AG179" s="4" t="str">
        <f t="shared" si="1"/>
        <v/>
      </c>
      <c r="AH179" s="8" t="s">
        <v>125</v>
      </c>
      <c r="AI179" s="4" t="s">
        <v>1174</v>
      </c>
      <c r="AJ179" s="7">
        <f>VLOOKUP(D179,'slb RAW'!$E$2:$AF$293,9)</f>
        <v>1.675</v>
      </c>
      <c r="AK179" s="4">
        <f>VLOOKUP(D179,'slb RAW'!$E$2:$AE$293,27)</f>
        <v>1.65</v>
      </c>
      <c r="AL179" s="4" t="str">
        <f>VLOOKUP(C179,'Refinitiv SLB'!F179:S356,14)</f>
        <v>#N/A</v>
      </c>
      <c r="AM179" s="4">
        <f t="shared" si="2"/>
        <v>1.65</v>
      </c>
      <c r="AN179" s="9" t="str">
        <f t="shared" si="3"/>
        <v>ASTM SpACALLABLEFIXEDEURSr Unsecured</v>
      </c>
      <c r="AO179" s="7" t="b">
        <f>ISNUMBER( IFERROR(VLOOKUP(A179,Pairs!$E$2:$E$57,1,FALSE),FALSE))</f>
        <v>0</v>
      </c>
      <c r="AP179" s="7"/>
      <c r="AQ179" s="7"/>
    </row>
    <row r="180" ht="15.75" customHeight="1">
      <c r="A180" s="3">
        <v>5.0</v>
      </c>
      <c r="B180" s="4" t="s">
        <v>1167</v>
      </c>
      <c r="C180" s="4" t="str">
        <f>VLOOKUP(D180,'slb RAW'!$E:$F,2)</f>
        <v>XS2412267788</v>
      </c>
      <c r="D180" s="4" t="s">
        <v>1179</v>
      </c>
      <c r="E180" s="4" t="s">
        <v>1180</v>
      </c>
      <c r="F180" s="4" t="s">
        <v>1170</v>
      </c>
      <c r="G180" s="4" t="s">
        <v>200</v>
      </c>
      <c r="H180" s="4" t="s">
        <v>200</v>
      </c>
      <c r="I180" s="4" t="s">
        <v>200</v>
      </c>
      <c r="J180" s="4">
        <v>2.375</v>
      </c>
      <c r="K180" s="27">
        <v>44525.0</v>
      </c>
      <c r="L180" s="4" t="s">
        <v>1181</v>
      </c>
      <c r="M180" s="18">
        <v>2.3946</v>
      </c>
      <c r="N180" s="4" t="s">
        <v>115</v>
      </c>
      <c r="O180" s="4" t="s">
        <v>116</v>
      </c>
      <c r="P180" s="4" t="s">
        <v>226</v>
      </c>
      <c r="Q180" s="4" t="s">
        <v>52</v>
      </c>
      <c r="R180" s="4" t="s">
        <v>53</v>
      </c>
      <c r="S180" s="4" t="s">
        <v>497</v>
      </c>
      <c r="T180" s="4" t="s">
        <v>55</v>
      </c>
      <c r="U180" s="4" t="s">
        <v>56</v>
      </c>
      <c r="V180" s="4" t="s">
        <v>57</v>
      </c>
      <c r="W180" s="4">
        <v>1.12095E9</v>
      </c>
      <c r="X180" s="4" t="s">
        <v>58</v>
      </c>
      <c r="Y180" s="4" t="s">
        <v>506</v>
      </c>
      <c r="Z180" s="4" t="s">
        <v>60</v>
      </c>
      <c r="AA180" s="4" t="s">
        <v>61</v>
      </c>
      <c r="AB180" s="4" t="s">
        <v>280</v>
      </c>
      <c r="AC180" s="4" t="s">
        <v>281</v>
      </c>
      <c r="AD180" s="4" t="s">
        <v>1182</v>
      </c>
      <c r="AE180" s="7">
        <v>50.0</v>
      </c>
      <c r="AF180" s="12"/>
      <c r="AG180" s="4" t="str">
        <f t="shared" si="1"/>
        <v/>
      </c>
      <c r="AH180" s="8" t="s">
        <v>125</v>
      </c>
      <c r="AI180" s="4" t="s">
        <v>1183</v>
      </c>
      <c r="AJ180" s="7" t="str">
        <f>VLOOKUP(D180,'slb RAW'!$E$2:$AF$293,9)</f>
        <v>#N/A N/A</v>
      </c>
      <c r="AK180" s="4">
        <f>VLOOKUP(D180,'slb RAW'!$E$2:$AE$293,27)</f>
        <v>2.376</v>
      </c>
      <c r="AL180" s="4" t="str">
        <f>VLOOKUP(C180,'Refinitiv SLB'!F180:S357,14)</f>
        <v>#N/A</v>
      </c>
      <c r="AM180" s="4">
        <f t="shared" si="2"/>
        <v>2.376</v>
      </c>
      <c r="AN180" s="9" t="str">
        <f t="shared" si="3"/>
        <v>ASTM SpACALLABLEFIXEDEURSr Unsecured</v>
      </c>
      <c r="AO180" s="7" t="b">
        <f>ISNUMBER( IFERROR(VLOOKUP(A180,Pairs!$E$2:$E$57,1,FALSE),FALSE))</f>
        <v>0</v>
      </c>
      <c r="AP180" s="7"/>
      <c r="AQ180" s="7"/>
    </row>
    <row r="181" ht="15.75" customHeight="1">
      <c r="A181" s="3">
        <v>178.0</v>
      </c>
      <c r="B181" s="4" t="s">
        <v>1184</v>
      </c>
      <c r="C181" s="4" t="str">
        <f>VLOOKUP(D181,'slb RAW'!$E:$F,2)</f>
        <v>FR0014004UD8</v>
      </c>
      <c r="D181" s="4" t="s">
        <v>1185</v>
      </c>
      <c r="E181" s="4" t="s">
        <v>1186</v>
      </c>
      <c r="F181" s="4" t="s">
        <v>1187</v>
      </c>
      <c r="G181" s="4" t="s">
        <v>185</v>
      </c>
      <c r="H181" s="4" t="s">
        <v>185</v>
      </c>
      <c r="I181" s="4" t="s">
        <v>185</v>
      </c>
      <c r="J181" s="4">
        <v>2.6</v>
      </c>
      <c r="K181" s="4" t="s">
        <v>1188</v>
      </c>
      <c r="L181" s="4" t="s">
        <v>1189</v>
      </c>
      <c r="M181" s="11">
        <v>0.5684</v>
      </c>
      <c r="N181" s="4" t="s">
        <v>49</v>
      </c>
      <c r="O181" s="4" t="s">
        <v>50</v>
      </c>
      <c r="P181" s="4" t="s">
        <v>174</v>
      </c>
      <c r="Q181" s="4" t="s">
        <v>52</v>
      </c>
      <c r="R181" s="4" t="s">
        <v>53</v>
      </c>
      <c r="S181" s="3" t="s">
        <v>139</v>
      </c>
      <c r="T181" s="4" t="s">
        <v>55</v>
      </c>
      <c r="U181" s="4" t="s">
        <v>56</v>
      </c>
      <c r="V181" s="4" t="s">
        <v>57</v>
      </c>
      <c r="W181" s="4">
        <v>5.46093E7</v>
      </c>
      <c r="X181" s="4" t="s">
        <v>485</v>
      </c>
      <c r="Y181" s="4" t="s">
        <v>563</v>
      </c>
      <c r="Z181" s="4" t="s">
        <v>60</v>
      </c>
      <c r="AA181" s="4" t="s">
        <v>487</v>
      </c>
      <c r="AB181" s="4" t="s">
        <v>1152</v>
      </c>
      <c r="AC181" s="4" t="s">
        <v>1152</v>
      </c>
      <c r="AD181" s="3" t="s">
        <v>1190</v>
      </c>
      <c r="AE181" s="7">
        <v>50.0</v>
      </c>
      <c r="AF181" s="7">
        <v>50.0</v>
      </c>
      <c r="AG181" s="4" t="str">
        <f t="shared" si="1"/>
        <v>yes</v>
      </c>
      <c r="AH181" s="8" t="s">
        <v>612</v>
      </c>
      <c r="AI181" s="4" t="s">
        <v>1191</v>
      </c>
      <c r="AJ181" s="7" t="str">
        <f>VLOOKUP(D181,'slb RAW'!$E$2:$AF$293,9)</f>
        <v>#N/A N/A</v>
      </c>
      <c r="AK181" s="4" t="str">
        <f>VLOOKUP(D181,'slb RAW'!$E$2:$AE$293,27)</f>
        <v>#N/A N/A</v>
      </c>
      <c r="AL181" s="4" t="str">
        <f>VLOOKUP(C181,'Refinitiv SLB'!F181:S358,14)</f>
        <v>#N/A</v>
      </c>
      <c r="AM181" s="4" t="str">
        <f t="shared" si="2"/>
        <v>#N/A N/A</v>
      </c>
      <c r="AN181" s="9" t="str">
        <f t="shared" si="3"/>
        <v>M FINANCE SASUAT MATURITYFIXEDEURSr Unsecured</v>
      </c>
      <c r="AO181" s="7" t="b">
        <f>ISNUMBER( IFERROR(VLOOKUP(A181,Pairs!$E$2:$E$57,1,FALSE),FALSE))</f>
        <v>0</v>
      </c>
      <c r="AP181" s="7"/>
      <c r="AQ181" s="7"/>
    </row>
    <row r="182" ht="15.75" customHeight="1">
      <c r="A182" s="3">
        <v>177.0</v>
      </c>
      <c r="B182" s="4" t="s">
        <v>1184</v>
      </c>
      <c r="C182" s="4" t="str">
        <f>VLOOKUP(D182,'slb RAW'!$E:$F,2)</f>
        <v>FR0014004UB2</v>
      </c>
      <c r="D182" s="4" t="s">
        <v>1192</v>
      </c>
      <c r="E182" s="4" t="s">
        <v>1193</v>
      </c>
      <c r="F182" s="4" t="s">
        <v>1187</v>
      </c>
      <c r="G182" s="4" t="s">
        <v>185</v>
      </c>
      <c r="H182" s="4" t="s">
        <v>185</v>
      </c>
      <c r="I182" s="4" t="s">
        <v>185</v>
      </c>
      <c r="J182" s="4">
        <v>2.475</v>
      </c>
      <c r="K182" s="4" t="s">
        <v>1188</v>
      </c>
      <c r="L182" s="4" t="s">
        <v>1194</v>
      </c>
      <c r="M182" s="11">
        <v>0.4525</v>
      </c>
      <c r="N182" s="4" t="s">
        <v>49</v>
      </c>
      <c r="O182" s="4" t="s">
        <v>50</v>
      </c>
      <c r="P182" s="4" t="s">
        <v>174</v>
      </c>
      <c r="Q182" s="4" t="s">
        <v>52</v>
      </c>
      <c r="R182" s="4" t="s">
        <v>53</v>
      </c>
      <c r="S182" s="3" t="s">
        <v>139</v>
      </c>
      <c r="T182" s="4" t="s">
        <v>55</v>
      </c>
      <c r="U182" s="4" t="s">
        <v>56</v>
      </c>
      <c r="V182" s="4" t="s">
        <v>57</v>
      </c>
      <c r="W182" s="4">
        <v>1.103805E8</v>
      </c>
      <c r="X182" s="4" t="s">
        <v>485</v>
      </c>
      <c r="Y182" s="4" t="s">
        <v>563</v>
      </c>
      <c r="Z182" s="4" t="s">
        <v>60</v>
      </c>
      <c r="AA182" s="4" t="s">
        <v>487</v>
      </c>
      <c r="AB182" s="4" t="s">
        <v>1152</v>
      </c>
      <c r="AC182" s="4" t="s">
        <v>1152</v>
      </c>
      <c r="AD182" s="3" t="s">
        <v>1190</v>
      </c>
      <c r="AE182" s="7">
        <v>50.0</v>
      </c>
      <c r="AF182" s="7">
        <v>50.0</v>
      </c>
      <c r="AG182" s="4" t="str">
        <f t="shared" si="1"/>
        <v>yes</v>
      </c>
      <c r="AH182" s="8" t="s">
        <v>612</v>
      </c>
      <c r="AI182" s="4" t="s">
        <v>1195</v>
      </c>
      <c r="AJ182" s="7" t="str">
        <f>VLOOKUP(D182,'slb RAW'!$E$2:$AF$293,9)</f>
        <v>#N/A N/A</v>
      </c>
      <c r="AK182" s="4" t="str">
        <f>VLOOKUP(D182,'slb RAW'!$E$2:$AE$293,27)</f>
        <v>#N/A N/A</v>
      </c>
      <c r="AL182" s="4" t="str">
        <f>VLOOKUP(C182,'Refinitiv SLB'!F182:S359,14)</f>
        <v>#N/A</v>
      </c>
      <c r="AM182" s="4" t="str">
        <f t="shared" si="2"/>
        <v>#N/A N/A</v>
      </c>
      <c r="AN182" s="9" t="str">
        <f t="shared" si="3"/>
        <v>M FINANCE SASUAT MATURITYFIXEDEURSr Unsecured</v>
      </c>
      <c r="AO182" s="7" t="b">
        <f>ISNUMBER( IFERROR(VLOOKUP(A182,Pairs!$E$2:$E$57,1,FALSE),FALSE))</f>
        <v>0</v>
      </c>
      <c r="AP182" s="7"/>
      <c r="AQ182" s="7"/>
    </row>
    <row r="183" ht="15.75" customHeight="1">
      <c r="A183" s="3">
        <v>179.0</v>
      </c>
      <c r="B183" s="4" t="s">
        <v>1184</v>
      </c>
      <c r="C183" s="4" t="str">
        <f>VLOOKUP(D183,'slb RAW'!$E:$F,2)</f>
        <v>FR0014004UC0</v>
      </c>
      <c r="D183" s="4" t="s">
        <v>1196</v>
      </c>
      <c r="E183" s="4" t="s">
        <v>1197</v>
      </c>
      <c r="F183" s="4" t="s">
        <v>1187</v>
      </c>
      <c r="G183" s="4" t="s">
        <v>185</v>
      </c>
      <c r="H183" s="4" t="s">
        <v>185</v>
      </c>
      <c r="I183" s="4" t="s">
        <v>185</v>
      </c>
      <c r="J183" s="4">
        <v>2.95</v>
      </c>
      <c r="K183" s="4" t="s">
        <v>1188</v>
      </c>
      <c r="L183" s="4" t="s">
        <v>1198</v>
      </c>
      <c r="M183" s="11">
        <v>0.8032</v>
      </c>
      <c r="N183" s="4" t="s">
        <v>49</v>
      </c>
      <c r="O183" s="4" t="s">
        <v>50</v>
      </c>
      <c r="P183" s="4" t="s">
        <v>554</v>
      </c>
      <c r="Q183" s="4" t="s">
        <v>52</v>
      </c>
      <c r="R183" s="4" t="s">
        <v>53</v>
      </c>
      <c r="S183" s="3" t="s">
        <v>139</v>
      </c>
      <c r="T183" s="4" t="s">
        <v>55</v>
      </c>
      <c r="U183" s="4" t="s">
        <v>56</v>
      </c>
      <c r="V183" s="4" t="s">
        <v>57</v>
      </c>
      <c r="W183" s="4">
        <v>9295200.0</v>
      </c>
      <c r="X183" s="4" t="s">
        <v>485</v>
      </c>
      <c r="Y183" s="4" t="s">
        <v>563</v>
      </c>
      <c r="Z183" s="4" t="s">
        <v>60</v>
      </c>
      <c r="AA183" s="4" t="s">
        <v>487</v>
      </c>
      <c r="AB183" s="4" t="s">
        <v>1152</v>
      </c>
      <c r="AC183" s="4" t="s">
        <v>1152</v>
      </c>
      <c r="AD183" s="3" t="s">
        <v>1190</v>
      </c>
      <c r="AE183" s="7">
        <v>50.0</v>
      </c>
      <c r="AF183" s="7">
        <v>50.0</v>
      </c>
      <c r="AG183" s="4" t="str">
        <f t="shared" si="1"/>
        <v>yes</v>
      </c>
      <c r="AH183" s="8" t="s">
        <v>612</v>
      </c>
      <c r="AI183" s="4" t="s">
        <v>1195</v>
      </c>
      <c r="AJ183" s="7" t="str">
        <f>VLOOKUP(D183,'slb RAW'!$E$2:$AF$293,9)</f>
        <v>#N/A N/A</v>
      </c>
      <c r="AK183" s="4" t="str">
        <f>VLOOKUP(D183,'slb RAW'!$E$2:$AE$293,27)</f>
        <v>#N/A N/A</v>
      </c>
      <c r="AL183" s="4" t="str">
        <f>VLOOKUP(C183,'Refinitiv SLB'!F183:S360,14)</f>
        <v>#N/A</v>
      </c>
      <c r="AM183" s="4" t="str">
        <f t="shared" si="2"/>
        <v>#N/A N/A</v>
      </c>
      <c r="AN183" s="9" t="str">
        <f t="shared" si="3"/>
        <v>M FINANCE SASUAT MATURITYFIXEDEURSr Unsecured</v>
      </c>
      <c r="AO183" s="7" t="b">
        <f>ISNUMBER( IFERROR(VLOOKUP(A183,Pairs!$E$2:$E$57,1,FALSE),FALSE))</f>
        <v>0</v>
      </c>
      <c r="AP183" s="7"/>
      <c r="AQ183" s="7"/>
    </row>
    <row r="184" ht="15.75" customHeight="1">
      <c r="A184" s="3">
        <v>182.0</v>
      </c>
      <c r="B184" s="4" t="s">
        <v>1199</v>
      </c>
      <c r="C184" s="4" t="str">
        <f>VLOOKUP(D184,'slb RAW'!$E:$F,2)</f>
        <v>PTMENYOM0005</v>
      </c>
      <c r="D184" s="4" t="s">
        <v>1200</v>
      </c>
      <c r="E184" s="4" t="s">
        <v>1201</v>
      </c>
      <c r="F184" s="4" t="s">
        <v>1202</v>
      </c>
      <c r="G184" s="4" t="s">
        <v>1203</v>
      </c>
      <c r="H184" s="4" t="s">
        <v>1203</v>
      </c>
      <c r="I184" s="4" t="s">
        <v>1203</v>
      </c>
      <c r="J184" s="4">
        <v>4.25</v>
      </c>
      <c r="K184" s="4" t="s">
        <v>1204</v>
      </c>
      <c r="L184" s="4" t="s">
        <v>1205</v>
      </c>
      <c r="M184" s="11">
        <v>4.1914</v>
      </c>
      <c r="N184" s="4" t="s">
        <v>1206</v>
      </c>
      <c r="O184" s="4" t="s">
        <v>50</v>
      </c>
      <c r="P184" s="4" t="s">
        <v>174</v>
      </c>
      <c r="Q184" s="4" t="s">
        <v>52</v>
      </c>
      <c r="R184" s="4" t="s">
        <v>53</v>
      </c>
      <c r="S184" s="3" t="s">
        <v>139</v>
      </c>
      <c r="T184" s="4" t="s">
        <v>55</v>
      </c>
      <c r="U184" s="4" t="s">
        <v>56</v>
      </c>
      <c r="V184" s="4" t="s">
        <v>71</v>
      </c>
      <c r="W184" s="4">
        <v>1.49192434875E8</v>
      </c>
      <c r="X184" s="4" t="s">
        <v>58</v>
      </c>
      <c r="Y184" s="4" t="s">
        <v>506</v>
      </c>
      <c r="Z184" s="4" t="s">
        <v>60</v>
      </c>
      <c r="AA184" s="4" t="s">
        <v>61</v>
      </c>
      <c r="AB184" s="4" t="s">
        <v>62</v>
      </c>
      <c r="AC184" s="4" t="s">
        <v>62</v>
      </c>
      <c r="AD184" s="3" t="s">
        <v>1207</v>
      </c>
      <c r="AE184" s="8" t="s">
        <v>194</v>
      </c>
      <c r="AF184" s="12"/>
      <c r="AG184" s="4" t="str">
        <f t="shared" si="1"/>
        <v/>
      </c>
      <c r="AH184" s="8" t="s">
        <v>140</v>
      </c>
      <c r="AI184" s="4" t="s">
        <v>1208</v>
      </c>
      <c r="AJ184" s="7" t="str">
        <f>VLOOKUP(D184,'slb RAW'!$E$2:$AF$293,9)</f>
        <v>#N/A N/A</v>
      </c>
      <c r="AK184" s="4" t="str">
        <f>VLOOKUP(D184,'slb RAW'!$E$2:$AE$293,27)</f>
        <v>#N/A N/A</v>
      </c>
      <c r="AL184" s="4" t="str">
        <f>VLOOKUP(C184,'Refinitiv SLB'!F184:S361,14)</f>
        <v>#N/A</v>
      </c>
      <c r="AM184" s="4" t="str">
        <f t="shared" si="2"/>
        <v>#N/A N/A</v>
      </c>
      <c r="AN184" s="9" t="str">
        <f t="shared" si="3"/>
        <v>Mota-Engil SGPS SASINKABLEFIXEDEURSr Unsecured</v>
      </c>
      <c r="AO184" s="7" t="b">
        <f>ISNUMBER( IFERROR(VLOOKUP(A184,Pairs!$E$2:$E$57,1,FALSE),FALSE))</f>
        <v>1</v>
      </c>
      <c r="AP184" s="7"/>
      <c r="AQ184" s="7"/>
    </row>
    <row r="185" ht="15.75" customHeight="1">
      <c r="A185" s="3">
        <v>173.0</v>
      </c>
      <c r="B185" s="4" t="s">
        <v>1209</v>
      </c>
      <c r="C185" s="4" t="str">
        <f>VLOOKUP(D185,'slb RAW'!$E:$F,2)</f>
        <v>SE0013360559</v>
      </c>
      <c r="D185" s="4" t="s">
        <v>1210</v>
      </c>
      <c r="E185" s="4" t="s">
        <v>1211</v>
      </c>
      <c r="F185" s="4" t="s">
        <v>1212</v>
      </c>
      <c r="G185" s="4" t="s">
        <v>368</v>
      </c>
      <c r="H185" s="4" t="s">
        <v>368</v>
      </c>
      <c r="I185" s="4" t="s">
        <v>368</v>
      </c>
      <c r="J185" s="4">
        <v>1.29</v>
      </c>
      <c r="K185" s="4" t="s">
        <v>1213</v>
      </c>
      <c r="L185" s="4" t="s">
        <v>1214</v>
      </c>
      <c r="M185" s="11">
        <v>1.29</v>
      </c>
      <c r="N185" s="4" t="s">
        <v>49</v>
      </c>
      <c r="O185" s="4" t="s">
        <v>50</v>
      </c>
      <c r="P185" s="4" t="s">
        <v>686</v>
      </c>
      <c r="Q185" s="4" t="s">
        <v>52</v>
      </c>
      <c r="R185" s="4" t="s">
        <v>687</v>
      </c>
      <c r="S185" s="3" t="s">
        <v>139</v>
      </c>
      <c r="T185" s="4" t="s">
        <v>55</v>
      </c>
      <c r="U185" s="4" t="s">
        <v>70</v>
      </c>
      <c r="V185" s="4" t="s">
        <v>392</v>
      </c>
      <c r="W185" s="4">
        <v>1.658085E8</v>
      </c>
      <c r="X185" s="4" t="s">
        <v>134</v>
      </c>
      <c r="Y185" s="4" t="s">
        <v>677</v>
      </c>
      <c r="Z185" s="4" t="s">
        <v>60</v>
      </c>
      <c r="AA185" s="4" t="s">
        <v>61</v>
      </c>
      <c r="AB185" s="4" t="s">
        <v>136</v>
      </c>
      <c r="AC185" s="4" t="s">
        <v>311</v>
      </c>
      <c r="AD185" s="3" t="s">
        <v>1215</v>
      </c>
      <c r="AE185" s="8" t="s">
        <v>194</v>
      </c>
      <c r="AF185" s="12"/>
      <c r="AG185" s="4" t="str">
        <f t="shared" si="1"/>
        <v/>
      </c>
      <c r="AH185" s="8" t="s">
        <v>125</v>
      </c>
      <c r="AI185" s="4" t="s">
        <v>1216</v>
      </c>
      <c r="AJ185" s="7" t="str">
        <f>VLOOKUP(D185,'slb RAW'!$E$2:$AF$293,9)</f>
        <v>#N/A N/A</v>
      </c>
      <c r="AK185" s="4" t="str">
        <f>VLOOKUP(D185,'slb RAW'!$E$2:$AE$293,27)</f>
        <v>#N/A N/A</v>
      </c>
      <c r="AL185" s="4" t="str">
        <f>VLOOKUP(C185,'Refinitiv SLB'!F185:S362,14)</f>
        <v>#N/A</v>
      </c>
      <c r="AM185" s="4" t="str">
        <f t="shared" si="2"/>
        <v>#N/A N/A</v>
      </c>
      <c r="AN185" s="9" t="str">
        <f t="shared" si="3"/>
        <v>Loomis ABAT MATURITYFLOATINGSEKSr Unsecured</v>
      </c>
      <c r="AO185" s="7" t="b">
        <f>ISNUMBER( IFERROR(VLOOKUP(A185,Pairs!$E$2:$E$57,1,FALSE),FALSE))</f>
        <v>0</v>
      </c>
      <c r="AP185" s="7"/>
      <c r="AQ185" s="7"/>
    </row>
    <row r="186" ht="15.75" customHeight="1">
      <c r="A186" s="3">
        <v>163.0</v>
      </c>
      <c r="B186" s="4" t="s">
        <v>1217</v>
      </c>
      <c r="C186" s="4" t="str">
        <f>VLOOKUP(D186,'slb RAW'!$E:$F,2)</f>
        <v>XS2415386726</v>
      </c>
      <c r="D186" s="4" t="s">
        <v>1218</v>
      </c>
      <c r="E186" s="4" t="s">
        <v>1219</v>
      </c>
      <c r="F186" s="4" t="s">
        <v>1220</v>
      </c>
      <c r="G186" s="4" t="s">
        <v>45</v>
      </c>
      <c r="H186" s="4" t="s">
        <v>45</v>
      </c>
      <c r="I186" s="4" t="s">
        <v>45</v>
      </c>
      <c r="J186" s="4">
        <v>0.625</v>
      </c>
      <c r="K186" s="4" t="s">
        <v>1221</v>
      </c>
      <c r="L186" s="4" t="s">
        <v>1222</v>
      </c>
      <c r="M186" s="4">
        <v>0.738</v>
      </c>
      <c r="N186" s="4" t="s">
        <v>115</v>
      </c>
      <c r="O186" s="4" t="s">
        <v>116</v>
      </c>
      <c r="P186" s="4" t="s">
        <v>226</v>
      </c>
      <c r="Q186" s="4" t="s">
        <v>52</v>
      </c>
      <c r="R186" s="4" t="s">
        <v>53</v>
      </c>
      <c r="S186" s="4" t="s">
        <v>175</v>
      </c>
      <c r="T186" s="4" t="s">
        <v>421</v>
      </c>
      <c r="U186" s="4" t="s">
        <v>56</v>
      </c>
      <c r="V186" s="4" t="s">
        <v>57</v>
      </c>
      <c r="W186" s="4">
        <v>6.79416E8</v>
      </c>
      <c r="X186" s="4" t="s">
        <v>85</v>
      </c>
      <c r="Y186" s="4" t="s">
        <v>515</v>
      </c>
      <c r="Z186" s="4" t="s">
        <v>60</v>
      </c>
      <c r="AA186" s="4" t="s">
        <v>61</v>
      </c>
      <c r="AB186" s="4" t="s">
        <v>87</v>
      </c>
      <c r="AC186" s="4" t="s">
        <v>515</v>
      </c>
      <c r="AD186" s="3" t="s">
        <v>1223</v>
      </c>
      <c r="AE186" s="8" t="s">
        <v>194</v>
      </c>
      <c r="AF186" s="12"/>
      <c r="AG186" s="4" t="str">
        <f t="shared" si="1"/>
        <v/>
      </c>
      <c r="AH186" s="8" t="s">
        <v>125</v>
      </c>
      <c r="AI186" s="4" t="s">
        <v>1224</v>
      </c>
      <c r="AJ186" s="7">
        <f>VLOOKUP(D186,'slb RAW'!$E$2:$AF$293,9)</f>
        <v>0.738</v>
      </c>
      <c r="AK186" s="4">
        <f>VLOOKUP(D186,'slb RAW'!$E$2:$AE$293,27)</f>
        <v>0.581</v>
      </c>
      <c r="AL186" s="4" t="str">
        <f>VLOOKUP(C186,'Refinitiv SLB'!F186:S363,14)</f>
        <v>#N/A</v>
      </c>
      <c r="AM186" s="4">
        <f t="shared" si="2"/>
        <v>0.581</v>
      </c>
      <c r="AN186" s="9" t="str">
        <f t="shared" si="3"/>
        <v>LANXESS AGCALLABLEFIXEDEURSr Unsecured</v>
      </c>
      <c r="AO186" s="7" t="b">
        <f>ISNUMBER( IFERROR(VLOOKUP(A186,Pairs!$E$2:$E$57,1,FALSE),FALSE))</f>
        <v>1</v>
      </c>
      <c r="AP186" s="7"/>
      <c r="AQ186" s="7"/>
    </row>
    <row r="187" ht="15.75" customHeight="1">
      <c r="A187" s="3">
        <v>154.0</v>
      </c>
      <c r="B187" s="4" t="s">
        <v>1225</v>
      </c>
      <c r="C187" s="4" t="str">
        <f>VLOOKUP(D187,'slb RAW'!$E:$F,2)</f>
        <v>XS2414830963</v>
      </c>
      <c r="D187" s="4" t="s">
        <v>1226</v>
      </c>
      <c r="E187" s="4" t="s">
        <v>1227</v>
      </c>
      <c r="F187" s="4" t="s">
        <v>1228</v>
      </c>
      <c r="G187" s="4" t="s">
        <v>595</v>
      </c>
      <c r="H187" s="4" t="s">
        <v>595</v>
      </c>
      <c r="I187" s="4" t="s">
        <v>595</v>
      </c>
      <c r="J187" s="4">
        <v>0.875</v>
      </c>
      <c r="K187" s="4" t="s">
        <v>1221</v>
      </c>
      <c r="L187" s="4" t="s">
        <v>1229</v>
      </c>
      <c r="M187" s="4">
        <v>0.931</v>
      </c>
      <c r="N187" s="4" t="s">
        <v>115</v>
      </c>
      <c r="O187" s="4" t="s">
        <v>116</v>
      </c>
      <c r="P187" s="4" t="s">
        <v>174</v>
      </c>
      <c r="Q187" s="4" t="s">
        <v>52</v>
      </c>
      <c r="R187" s="4" t="s">
        <v>53</v>
      </c>
      <c r="S187" s="4" t="s">
        <v>175</v>
      </c>
      <c r="T187" s="4" t="s">
        <v>55</v>
      </c>
      <c r="U187" s="4" t="s">
        <v>56</v>
      </c>
      <c r="V187" s="4" t="s">
        <v>57</v>
      </c>
      <c r="W187" s="4">
        <v>8.4927E8</v>
      </c>
      <c r="X187" s="4" t="s">
        <v>422</v>
      </c>
      <c r="Y187" s="4" t="s">
        <v>664</v>
      </c>
      <c r="Z187" s="4" t="s">
        <v>60</v>
      </c>
      <c r="AA187" s="4" t="s">
        <v>61</v>
      </c>
      <c r="AB187" s="4" t="s">
        <v>228</v>
      </c>
      <c r="AC187" s="4" t="s">
        <v>665</v>
      </c>
      <c r="AD187" s="3" t="s">
        <v>1230</v>
      </c>
      <c r="AE187" s="7">
        <v>50.0</v>
      </c>
      <c r="AF187" s="12"/>
      <c r="AG187" s="4" t="str">
        <f t="shared" si="1"/>
        <v/>
      </c>
      <c r="AH187" s="8" t="s">
        <v>125</v>
      </c>
      <c r="AI187" s="4" t="s">
        <v>1231</v>
      </c>
      <c r="AJ187" s="7">
        <f>VLOOKUP(D187,'slb RAW'!$E$2:$AF$293,9)</f>
        <v>0.931</v>
      </c>
      <c r="AK187" s="4">
        <f>VLOOKUP(D187,'slb RAW'!$E$2:$AE$293,27)</f>
        <v>0.818</v>
      </c>
      <c r="AL187" s="4" t="str">
        <f>VLOOKUP(C187,'Refinitiv SLB'!F187:S364,14)</f>
        <v>#N/A</v>
      </c>
      <c r="AM187" s="4">
        <f t="shared" si="2"/>
        <v>0.818</v>
      </c>
      <c r="AN187" s="9" t="str">
        <f t="shared" si="3"/>
        <v>Kerry Group Financial Services Unltd CoCALLABLEFIXEDEURSr Unsecured</v>
      </c>
      <c r="AO187" s="7" t="b">
        <f>ISNUMBER( IFERROR(VLOOKUP(A187,Pairs!$E$2:$E$57,1,FALSE),FALSE))</f>
        <v>1</v>
      </c>
      <c r="AP187" s="7"/>
      <c r="AQ187" s="7"/>
    </row>
    <row r="188" ht="15.75" customHeight="1">
      <c r="A188" s="3">
        <v>152.0</v>
      </c>
      <c r="B188" s="4" t="s">
        <v>1232</v>
      </c>
      <c r="C188" s="4" t="str">
        <f>VLOOKUP(D188,'slb RAW'!$E:$F,2)</f>
        <v>SE0017085285</v>
      </c>
      <c r="D188" s="4" t="s">
        <v>1233</v>
      </c>
      <c r="E188" s="4" t="s">
        <v>1234</v>
      </c>
      <c r="F188" s="4" t="s">
        <v>1235</v>
      </c>
      <c r="G188" s="4" t="s">
        <v>368</v>
      </c>
      <c r="H188" s="4" t="s">
        <v>368</v>
      </c>
      <c r="I188" s="4" t="s">
        <v>368</v>
      </c>
      <c r="J188" s="4">
        <v>6.0</v>
      </c>
      <c r="K188" s="4" t="s">
        <v>1029</v>
      </c>
      <c r="L188" s="4" t="s">
        <v>1236</v>
      </c>
      <c r="M188" s="11">
        <v>5.8059</v>
      </c>
      <c r="N188" s="4" t="s">
        <v>115</v>
      </c>
      <c r="O188" s="4" t="s">
        <v>116</v>
      </c>
      <c r="P188" s="4" t="s">
        <v>686</v>
      </c>
      <c r="Q188" s="4" t="s">
        <v>459</v>
      </c>
      <c r="R188" s="4" t="s">
        <v>687</v>
      </c>
      <c r="S188" s="4" t="s">
        <v>54</v>
      </c>
      <c r="T188" s="4" t="s">
        <v>55</v>
      </c>
      <c r="U188" s="4" t="s">
        <v>70</v>
      </c>
      <c r="V188" s="4" t="s">
        <v>392</v>
      </c>
      <c r="W188" s="4">
        <v>1.58862E8</v>
      </c>
      <c r="X188" s="4" t="s">
        <v>134</v>
      </c>
      <c r="Y188" s="4" t="s">
        <v>1237</v>
      </c>
      <c r="Z188" s="4" t="s">
        <v>60</v>
      </c>
      <c r="AA188" s="4" t="s">
        <v>61</v>
      </c>
      <c r="AB188" s="4" t="s">
        <v>177</v>
      </c>
      <c r="AC188" s="4" t="s">
        <v>178</v>
      </c>
      <c r="AD188" s="3" t="s">
        <v>1238</v>
      </c>
      <c r="AE188" s="7">
        <v>50.0</v>
      </c>
      <c r="AF188" s="12"/>
      <c r="AG188" s="4" t="str">
        <f t="shared" si="1"/>
        <v/>
      </c>
      <c r="AH188" s="8" t="s">
        <v>140</v>
      </c>
      <c r="AI188" s="4" t="s">
        <v>1239</v>
      </c>
      <c r="AJ188" s="7" t="str">
        <f>VLOOKUP(D188,'slb RAW'!$E$2:$AF$293,9)</f>
        <v>#N/A N/A</v>
      </c>
      <c r="AK188" s="4">
        <f>VLOOKUP(D188,'slb RAW'!$E$2:$AE$293,27)</f>
        <v>5.721</v>
      </c>
      <c r="AL188" s="4" t="str">
        <f>VLOOKUP(C188,'Refinitiv SLB'!F188:S365,14)</f>
        <v>#N/A</v>
      </c>
      <c r="AM188" s="4">
        <f t="shared" si="2"/>
        <v>5.721</v>
      </c>
      <c r="AN188" s="9" t="str">
        <f t="shared" si="3"/>
        <v>Kahrs BondCo ABCALLABLEFLOATINGSEKSecured</v>
      </c>
      <c r="AO188" s="7" t="b">
        <f>ISNUMBER( IFERROR(VLOOKUP(A188,Pairs!$E$2:$E$57,1,FALSE),FALSE))</f>
        <v>0</v>
      </c>
      <c r="AP188" s="7"/>
      <c r="AQ188" s="7"/>
    </row>
    <row r="189" ht="15.75" customHeight="1">
      <c r="A189" s="3">
        <v>226.0</v>
      </c>
      <c r="B189" s="4" t="s">
        <v>1240</v>
      </c>
      <c r="C189" s="4" t="str">
        <f>VLOOKUP(D189,'slb RAW'!$E:$F,2)</f>
        <v>XS2417499832</v>
      </c>
      <c r="D189" s="4" t="s">
        <v>1241</v>
      </c>
      <c r="E189" s="4" t="s">
        <v>1242</v>
      </c>
      <c r="F189" s="4" t="s">
        <v>1243</v>
      </c>
      <c r="G189" s="4" t="s">
        <v>200</v>
      </c>
      <c r="H189" s="4" t="s">
        <v>200</v>
      </c>
      <c r="I189" s="4" t="s">
        <v>200</v>
      </c>
      <c r="J189" s="4">
        <v>5.25</v>
      </c>
      <c r="K189" s="4" t="s">
        <v>1244</v>
      </c>
      <c r="L189" s="4" t="s">
        <v>225</v>
      </c>
      <c r="M189" s="11">
        <v>5.4771</v>
      </c>
      <c r="N189" s="4" t="s">
        <v>115</v>
      </c>
      <c r="O189" s="4" t="s">
        <v>116</v>
      </c>
      <c r="P189" s="4" t="s">
        <v>262</v>
      </c>
      <c r="Q189" s="4" t="s">
        <v>459</v>
      </c>
      <c r="R189" s="4" t="s">
        <v>53</v>
      </c>
      <c r="S189" s="4" t="s">
        <v>351</v>
      </c>
      <c r="T189" s="4" t="s">
        <v>55</v>
      </c>
      <c r="U189" s="4" t="s">
        <v>70</v>
      </c>
      <c r="V189" s="4" t="s">
        <v>392</v>
      </c>
      <c r="W189" s="4">
        <v>5.015951E8</v>
      </c>
      <c r="X189" s="4" t="s">
        <v>85</v>
      </c>
      <c r="Y189" s="4" t="s">
        <v>265</v>
      </c>
      <c r="Z189" s="4" t="s">
        <v>60</v>
      </c>
      <c r="AA189" s="4" t="s">
        <v>61</v>
      </c>
      <c r="AB189" s="4" t="s">
        <v>87</v>
      </c>
      <c r="AC189" s="4" t="s">
        <v>266</v>
      </c>
      <c r="AD189" s="3" t="s">
        <v>1245</v>
      </c>
      <c r="AE189" s="8" t="s">
        <v>124</v>
      </c>
      <c r="AF189" s="12"/>
      <c r="AG189" s="4" t="str">
        <f t="shared" si="1"/>
        <v/>
      </c>
      <c r="AH189" s="8" t="s">
        <v>125</v>
      </c>
      <c r="AI189" s="4" t="s">
        <v>1246</v>
      </c>
      <c r="AJ189" s="7" t="str">
        <f>VLOOKUP(D189,'slb RAW'!$E$2:$AF$293,9)</f>
        <v>#N/A N/A</v>
      </c>
      <c r="AK189" s="4">
        <f>VLOOKUP(D189,'slb RAW'!$E$2:$AE$293,27)</f>
        <v>5.511</v>
      </c>
      <c r="AL189" s="4" t="str">
        <f>VLOOKUP(C189,'Refinitiv SLB'!F189:S366,14)</f>
        <v>#N/A</v>
      </c>
      <c r="AM189" s="4">
        <f t="shared" si="2"/>
        <v>5.511</v>
      </c>
      <c r="AN189" s="9" t="str">
        <f t="shared" si="3"/>
        <v>Rimini Bidco SpACALLABLEFLOATINGEURSecured</v>
      </c>
      <c r="AO189" s="7" t="b">
        <f>ISNUMBER( IFERROR(VLOOKUP(A189,Pairs!$E$2:$E$57,1,FALSE),FALSE))</f>
        <v>0</v>
      </c>
      <c r="AP189" s="7"/>
      <c r="AQ189" s="7"/>
    </row>
    <row r="190" ht="15.75" customHeight="1">
      <c r="A190" s="3">
        <v>227.0</v>
      </c>
      <c r="B190" s="4" t="s">
        <v>1240</v>
      </c>
      <c r="C190" s="4" t="str">
        <f>VLOOKUP(D190,'slb RAW'!$E:$F,2)</f>
        <v>XS2417486771</v>
      </c>
      <c r="D190" s="4" t="s">
        <v>1247</v>
      </c>
      <c r="E190" s="4" t="s">
        <v>1248</v>
      </c>
      <c r="F190" s="4" t="s">
        <v>1243</v>
      </c>
      <c r="G190" s="4" t="s">
        <v>200</v>
      </c>
      <c r="H190" s="4" t="s">
        <v>200</v>
      </c>
      <c r="I190" s="4" t="s">
        <v>200</v>
      </c>
      <c r="J190" s="4">
        <v>5.25</v>
      </c>
      <c r="K190" s="4" t="s">
        <v>1244</v>
      </c>
      <c r="L190" s="4" t="s">
        <v>225</v>
      </c>
      <c r="M190" s="11">
        <v>5.1709</v>
      </c>
      <c r="N190" s="4" t="s">
        <v>115</v>
      </c>
      <c r="O190" s="4" t="s">
        <v>116</v>
      </c>
      <c r="P190" s="4" t="s">
        <v>271</v>
      </c>
      <c r="Q190" s="4" t="s">
        <v>459</v>
      </c>
      <c r="R190" s="4" t="s">
        <v>53</v>
      </c>
      <c r="S190" s="4" t="s">
        <v>351</v>
      </c>
      <c r="T190" s="4" t="s">
        <v>55</v>
      </c>
      <c r="U190" s="4" t="s">
        <v>70</v>
      </c>
      <c r="V190" s="4" t="s">
        <v>392</v>
      </c>
      <c r="W190" s="4">
        <v>5.015951E8</v>
      </c>
      <c r="X190" s="4" t="s">
        <v>85</v>
      </c>
      <c r="Y190" s="4" t="s">
        <v>265</v>
      </c>
      <c r="Z190" s="4" t="s">
        <v>60</v>
      </c>
      <c r="AA190" s="4" t="s">
        <v>61</v>
      </c>
      <c r="AB190" s="4" t="s">
        <v>87</v>
      </c>
      <c r="AC190" s="4" t="s">
        <v>266</v>
      </c>
      <c r="AD190" s="3" t="s">
        <v>1245</v>
      </c>
      <c r="AE190" s="8" t="s">
        <v>124</v>
      </c>
      <c r="AF190" s="12"/>
      <c r="AG190" s="4" t="str">
        <f t="shared" si="1"/>
        <v/>
      </c>
      <c r="AH190" s="8" t="s">
        <v>125</v>
      </c>
      <c r="AI190" s="4" t="s">
        <v>1249</v>
      </c>
      <c r="AJ190" s="7" t="str">
        <f>VLOOKUP(D190,'slb RAW'!$E$2:$AF$293,9)</f>
        <v>#N/A N/A</v>
      </c>
      <c r="AK190" s="4">
        <f>VLOOKUP(D190,'slb RAW'!$E$2:$AE$293,27)</f>
        <v>5.5</v>
      </c>
      <c r="AL190" s="4" t="str">
        <f>VLOOKUP(C190,'Refinitiv SLB'!F190:S367,14)</f>
        <v>#N/A</v>
      </c>
      <c r="AM190" s="4">
        <f t="shared" si="2"/>
        <v>5.5</v>
      </c>
      <c r="AN190" s="9" t="str">
        <f t="shared" si="3"/>
        <v>Rimini Bidco SpACALLABLEFLOATINGEURSecured</v>
      </c>
      <c r="AO190" s="7" t="b">
        <f>ISNUMBER( IFERROR(VLOOKUP(A190,Pairs!$E$2:$E$57,1,FALSE),FALSE))</f>
        <v>0</v>
      </c>
      <c r="AP190" s="7"/>
      <c r="AQ190" s="7"/>
    </row>
    <row r="191" ht="15.75" customHeight="1">
      <c r="A191" s="3">
        <v>73.0</v>
      </c>
      <c r="B191" s="4" t="s">
        <v>1250</v>
      </c>
      <c r="C191" s="4" t="str">
        <f>VLOOKUP(D191,'slb RAW'!$E:$F,2)</f>
        <v>SE0016274260</v>
      </c>
      <c r="D191" s="4" t="s">
        <v>1251</v>
      </c>
      <c r="E191" s="4" t="s">
        <v>1252</v>
      </c>
      <c r="F191" s="4" t="s">
        <v>1253</v>
      </c>
      <c r="G191" s="4" t="s">
        <v>368</v>
      </c>
      <c r="H191" s="4" t="s">
        <v>368</v>
      </c>
      <c r="I191" s="4" t="s">
        <v>368</v>
      </c>
      <c r="J191" s="4">
        <v>0.9209999999999999</v>
      </c>
      <c r="K191" s="4" t="s">
        <v>1244</v>
      </c>
      <c r="L191" s="4" t="s">
        <v>225</v>
      </c>
      <c r="M191" s="25">
        <v>0.7458</v>
      </c>
      <c r="N191" s="4" t="s">
        <v>49</v>
      </c>
      <c r="O191" s="4" t="s">
        <v>50</v>
      </c>
      <c r="P191" s="4" t="s">
        <v>686</v>
      </c>
      <c r="Q191" s="4" t="s">
        <v>52</v>
      </c>
      <c r="R191" s="4" t="s">
        <v>687</v>
      </c>
      <c r="S191" s="4" t="s">
        <v>54</v>
      </c>
      <c r="T191" s="4" t="s">
        <v>55</v>
      </c>
      <c r="U191" s="4" t="s">
        <v>70</v>
      </c>
      <c r="V191" s="4" t="s">
        <v>392</v>
      </c>
      <c r="W191" s="4">
        <v>1.25879E8</v>
      </c>
      <c r="X191" s="4" t="s">
        <v>1050</v>
      </c>
      <c r="Y191" s="4" t="s">
        <v>1254</v>
      </c>
      <c r="Z191" s="4" t="s">
        <v>60</v>
      </c>
      <c r="AA191" s="4" t="s">
        <v>61</v>
      </c>
      <c r="AB191" s="4" t="s">
        <v>228</v>
      </c>
      <c r="AC191" s="4" t="s">
        <v>1255</v>
      </c>
      <c r="AD191" s="3" t="s">
        <v>1256</v>
      </c>
      <c r="AE191" s="8" t="s">
        <v>194</v>
      </c>
      <c r="AF191" s="12"/>
      <c r="AG191" s="4" t="str">
        <f t="shared" si="1"/>
        <v/>
      </c>
      <c r="AH191" s="21" t="s">
        <v>125</v>
      </c>
      <c r="AI191" s="4" t="s">
        <v>1257</v>
      </c>
      <c r="AJ191" s="7" t="str">
        <f>VLOOKUP(D191,'slb RAW'!$E$2:$AF$293,9)</f>
        <v>#N/A N/A</v>
      </c>
      <c r="AK191" s="4">
        <f>VLOOKUP(D191,'slb RAW'!$E$2:$AE$293,27)</f>
        <v>0.694</v>
      </c>
      <c r="AL191" s="4" t="str">
        <f>VLOOKUP(C191,'Refinitiv SLB'!F191:S368,14)</f>
        <v>#N/A</v>
      </c>
      <c r="AM191" s="4">
        <f t="shared" si="2"/>
        <v>0.694</v>
      </c>
      <c r="AN191" s="9" t="str">
        <f t="shared" si="3"/>
        <v>Elekta ABAT MATURITYFLOATINGSEKSr Unsecured</v>
      </c>
      <c r="AO191" s="7" t="b">
        <f>ISNUMBER( IFERROR(VLOOKUP(A191,Pairs!$E$2:$E$57,1,FALSE),FALSE))</f>
        <v>1</v>
      </c>
      <c r="AP191" s="7"/>
      <c r="AQ191" s="7"/>
    </row>
    <row r="192" ht="15.75" customHeight="1">
      <c r="A192" s="3">
        <v>74.0</v>
      </c>
      <c r="B192" s="4" t="s">
        <v>1250</v>
      </c>
      <c r="C192" s="4" t="str">
        <f>VLOOKUP(D192,'slb RAW'!$E:$F,2)</f>
        <v>SE0016274278</v>
      </c>
      <c r="D192" s="4" t="s">
        <v>1258</v>
      </c>
      <c r="E192" s="4" t="s">
        <v>1259</v>
      </c>
      <c r="F192" s="4" t="s">
        <v>1253</v>
      </c>
      <c r="G192" s="4" t="s">
        <v>368</v>
      </c>
      <c r="H192" s="4" t="s">
        <v>368</v>
      </c>
      <c r="I192" s="4" t="s">
        <v>368</v>
      </c>
      <c r="J192" s="4">
        <v>1.925</v>
      </c>
      <c r="K192" s="4" t="s">
        <v>1244</v>
      </c>
      <c r="L192" s="4" t="s">
        <v>250</v>
      </c>
      <c r="M192" s="25">
        <v>1.8956</v>
      </c>
      <c r="N192" s="4" t="s">
        <v>49</v>
      </c>
      <c r="O192" s="4" t="s">
        <v>50</v>
      </c>
      <c r="P192" s="4" t="s">
        <v>686</v>
      </c>
      <c r="Q192" s="4" t="s">
        <v>52</v>
      </c>
      <c r="R192" s="4" t="s">
        <v>687</v>
      </c>
      <c r="S192" s="4" t="s">
        <v>54</v>
      </c>
      <c r="T192" s="4" t="s">
        <v>55</v>
      </c>
      <c r="U192" s="4" t="s">
        <v>56</v>
      </c>
      <c r="V192" s="4" t="s">
        <v>57</v>
      </c>
      <c r="W192" s="4">
        <v>3.8311E7</v>
      </c>
      <c r="X192" s="4" t="s">
        <v>1050</v>
      </c>
      <c r="Y192" s="4" t="s">
        <v>1254</v>
      </c>
      <c r="Z192" s="4" t="s">
        <v>60</v>
      </c>
      <c r="AA192" s="4" t="s">
        <v>61</v>
      </c>
      <c r="AB192" s="4" t="s">
        <v>228</v>
      </c>
      <c r="AC192" s="4" t="s">
        <v>1255</v>
      </c>
      <c r="AD192" s="3" t="s">
        <v>1260</v>
      </c>
      <c r="AE192" s="7">
        <v>35.0</v>
      </c>
      <c r="AF192" s="12"/>
      <c r="AG192" s="4" t="str">
        <f t="shared" si="1"/>
        <v/>
      </c>
      <c r="AH192" s="21" t="s">
        <v>125</v>
      </c>
      <c r="AI192" s="4" t="s">
        <v>1261</v>
      </c>
      <c r="AJ192" s="7" t="str">
        <f>VLOOKUP(D192,'slb RAW'!$E$2:$AF$293,9)</f>
        <v>#N/A N/A</v>
      </c>
      <c r="AK192" s="4">
        <f>VLOOKUP(D192,'slb RAW'!$E$2:$AE$293,27)</f>
        <v>1.843</v>
      </c>
      <c r="AL192" s="4" t="str">
        <f>VLOOKUP(C192,'Refinitiv SLB'!F192:S369,14)</f>
        <v>#N/A</v>
      </c>
      <c r="AM192" s="4">
        <f t="shared" si="2"/>
        <v>1.843</v>
      </c>
      <c r="AN192" s="9" t="str">
        <f t="shared" si="3"/>
        <v>Elekta ABAT MATURITYFIXEDSEKSr Unsecured</v>
      </c>
      <c r="AO192" s="7" t="b">
        <f>ISNUMBER( IFERROR(VLOOKUP(A192,Pairs!$E$2:$E$57,1,FALSE),FALSE))</f>
        <v>0</v>
      </c>
      <c r="AP192" s="7"/>
      <c r="AQ192" s="7"/>
    </row>
    <row r="193" ht="15.75" customHeight="1">
      <c r="A193" s="3">
        <v>116.0</v>
      </c>
      <c r="B193" s="4" t="s">
        <v>1262</v>
      </c>
      <c r="C193" s="4" t="str">
        <f>VLOOKUP(D193,'slb RAW'!$E:$F,2)</f>
        <v>GRC145121CD2</v>
      </c>
      <c r="D193" s="4" t="s">
        <v>1263</v>
      </c>
      <c r="E193" s="4" t="s">
        <v>1264</v>
      </c>
      <c r="F193" s="4" t="s">
        <v>1265</v>
      </c>
      <c r="G193" s="4" t="s">
        <v>408</v>
      </c>
      <c r="H193" s="4" t="s">
        <v>408</v>
      </c>
      <c r="I193" s="4" t="s">
        <v>408</v>
      </c>
      <c r="J193" s="4">
        <v>2.3</v>
      </c>
      <c r="K193" s="4" t="s">
        <v>1244</v>
      </c>
      <c r="L193" s="4" t="s">
        <v>250</v>
      </c>
      <c r="M193" s="17">
        <v>2.3151</v>
      </c>
      <c r="N193" s="4" t="s">
        <v>115</v>
      </c>
      <c r="O193" s="4" t="s">
        <v>116</v>
      </c>
      <c r="P193" s="4" t="s">
        <v>174</v>
      </c>
      <c r="Q193" s="4" t="s">
        <v>118</v>
      </c>
      <c r="R193" s="4" t="s">
        <v>53</v>
      </c>
      <c r="S193" s="4" t="s">
        <v>54</v>
      </c>
      <c r="T193" s="4" t="s">
        <v>55</v>
      </c>
      <c r="U193" s="4" t="s">
        <v>56</v>
      </c>
      <c r="V193" s="4" t="s">
        <v>71</v>
      </c>
      <c r="W193" s="4">
        <v>3.38154E8</v>
      </c>
      <c r="X193" s="4" t="s">
        <v>58</v>
      </c>
      <c r="Y193" s="4" t="s">
        <v>506</v>
      </c>
      <c r="Z193" s="4" t="s">
        <v>60</v>
      </c>
      <c r="AA193" s="4" t="s">
        <v>61</v>
      </c>
      <c r="AB193" s="4" t="s">
        <v>280</v>
      </c>
      <c r="AC193" s="4" t="s">
        <v>281</v>
      </c>
      <c r="AD193" s="3" t="s">
        <v>1266</v>
      </c>
      <c r="AE193" s="7">
        <v>20.0</v>
      </c>
      <c r="AF193" s="12"/>
      <c r="AG193" s="4" t="str">
        <f t="shared" si="1"/>
        <v/>
      </c>
      <c r="AH193" s="8" t="s">
        <v>125</v>
      </c>
      <c r="AI193" s="4" t="s">
        <v>1267</v>
      </c>
      <c r="AJ193" s="7" t="str">
        <f>VLOOKUP(D193,'slb RAW'!$E$2:$AF$293,9)</f>
        <v>#N/A N/A</v>
      </c>
      <c r="AK193" s="4">
        <f>VLOOKUP(D193,'slb RAW'!$E$2:$AE$293,27)</f>
        <v>2.3</v>
      </c>
      <c r="AL193" s="4" t="str">
        <f>VLOOKUP(C193,'Refinitiv SLB'!F193:S370,14)</f>
        <v>#N/A</v>
      </c>
      <c r="AM193" s="4">
        <f t="shared" si="2"/>
        <v>2.3</v>
      </c>
      <c r="AN193" s="9" t="str">
        <f t="shared" si="3"/>
        <v>GEK Terna Holding Real Estate Construction SACALLABLEFIXEDEURUnsecured</v>
      </c>
      <c r="AO193" s="7" t="b">
        <f>ISNUMBER( IFERROR(VLOOKUP(A193,Pairs!$E$2:$E$57,1,FALSE),FALSE))</f>
        <v>0</v>
      </c>
      <c r="AP193" s="7"/>
      <c r="AQ193" s="7"/>
    </row>
    <row r="194" ht="15.75" customHeight="1">
      <c r="A194" s="3">
        <v>212.0</v>
      </c>
      <c r="B194" s="4" t="s">
        <v>1025</v>
      </c>
      <c r="C194" s="4" t="str">
        <f>VLOOKUP(D194,'slb RAW'!$E:$F,2)</f>
        <v>#N/A Field Not Applicable</v>
      </c>
      <c r="D194" s="4" t="s">
        <v>1268</v>
      </c>
      <c r="E194" s="4" t="s">
        <v>1269</v>
      </c>
      <c r="F194" s="4" t="s">
        <v>1028</v>
      </c>
      <c r="G194" s="4" t="s">
        <v>258</v>
      </c>
      <c r="H194" s="4" t="s">
        <v>258</v>
      </c>
      <c r="I194" s="4" t="s">
        <v>186</v>
      </c>
      <c r="J194" s="4">
        <v>1.277</v>
      </c>
      <c r="K194" s="4" t="s">
        <v>1029</v>
      </c>
      <c r="L194" s="4" t="s">
        <v>1030</v>
      </c>
      <c r="M194" s="3">
        <v>1.2446</v>
      </c>
      <c r="N194" s="4" t="s">
        <v>49</v>
      </c>
      <c r="O194" s="4" t="s">
        <v>50</v>
      </c>
      <c r="P194" s="4" t="s">
        <v>1270</v>
      </c>
      <c r="Q194" s="4" t="s">
        <v>52</v>
      </c>
      <c r="R194" s="4" t="s">
        <v>53</v>
      </c>
      <c r="S194" s="4" t="s">
        <v>54</v>
      </c>
      <c r="T194" s="4" t="s">
        <v>55</v>
      </c>
      <c r="U194" s="4" t="s">
        <v>56</v>
      </c>
      <c r="V194" s="4" t="s">
        <v>57</v>
      </c>
      <c r="W194" s="4">
        <v>2.810975E8</v>
      </c>
      <c r="X194" s="4" t="s">
        <v>58</v>
      </c>
      <c r="Y194" s="4" t="s">
        <v>59</v>
      </c>
      <c r="Z194" s="4" t="s">
        <v>60</v>
      </c>
      <c r="AA194" s="4" t="s">
        <v>61</v>
      </c>
      <c r="AB194" s="4" t="s">
        <v>177</v>
      </c>
      <c r="AC194" s="4" t="s">
        <v>192</v>
      </c>
      <c r="AD194" s="3" t="s">
        <v>1031</v>
      </c>
      <c r="AE194" s="7">
        <v>3.0</v>
      </c>
      <c r="AF194" s="7">
        <v>3.0</v>
      </c>
      <c r="AG194" s="4" t="str">
        <f t="shared" si="1"/>
        <v>yes</v>
      </c>
      <c r="AH194" s="8" t="s">
        <v>64</v>
      </c>
      <c r="AI194" s="4" t="s">
        <v>1271</v>
      </c>
      <c r="AJ194" s="7" t="str">
        <f>VLOOKUP(D194,'slb RAW'!$E$2:$AF$293,9)</f>
        <v>#N/A N/A</v>
      </c>
      <c r="AK194" s="4" t="str">
        <f>VLOOKUP(D194,'slb RAW'!$E$2:$AE$293,27)</f>
        <v>#N/A N/A</v>
      </c>
      <c r="AL194" s="4" t="str">
        <f>VLOOKUP(C194,'Refinitiv SLB'!F194:S371,14)</f>
        <v>#N/A</v>
      </c>
      <c r="AM194" s="4" t="str">
        <f t="shared" si="2"/>
        <v>#N/A N/A</v>
      </c>
      <c r="AN194" s="9" t="str">
        <f t="shared" si="3"/>
        <v>RHI Magnesita GmbHAT MATURITYFIXEDEURSr Unsecured</v>
      </c>
      <c r="AO194" s="7" t="b">
        <f>ISNUMBER( IFERROR(VLOOKUP(A194,Pairs!$E$2:$E$57,1,FALSE),FALSE))</f>
        <v>0</v>
      </c>
      <c r="AP194" s="7"/>
      <c r="AQ194" s="7"/>
    </row>
    <row r="195" ht="15.75" customHeight="1">
      <c r="A195" s="3">
        <v>206.0</v>
      </c>
      <c r="B195" s="4" t="s">
        <v>1025</v>
      </c>
      <c r="C195" s="4" t="str">
        <f>VLOOKUP(D195,'slb RAW'!$E:$F,2)</f>
        <v>#N/A Field Not Applicable</v>
      </c>
      <c r="D195" s="4" t="s">
        <v>1272</v>
      </c>
      <c r="E195" s="4" t="s">
        <v>1273</v>
      </c>
      <c r="F195" s="4" t="s">
        <v>1028</v>
      </c>
      <c r="G195" s="4" t="s">
        <v>258</v>
      </c>
      <c r="H195" s="4" t="s">
        <v>258</v>
      </c>
      <c r="I195" s="4" t="s">
        <v>186</v>
      </c>
      <c r="J195" s="4">
        <v>0.213</v>
      </c>
      <c r="K195" s="4" t="s">
        <v>1029</v>
      </c>
      <c r="L195" s="4" t="s">
        <v>1041</v>
      </c>
      <c r="M195" s="10" t="s">
        <v>48</v>
      </c>
      <c r="N195" s="4" t="s">
        <v>49</v>
      </c>
      <c r="O195" s="4" t="s">
        <v>50</v>
      </c>
      <c r="P195" s="4" t="s">
        <v>1274</v>
      </c>
      <c r="Q195" s="4" t="s">
        <v>52</v>
      </c>
      <c r="R195" s="4" t="s">
        <v>53</v>
      </c>
      <c r="S195" s="4" t="s">
        <v>54</v>
      </c>
      <c r="T195" s="4" t="s">
        <v>55</v>
      </c>
      <c r="U195" s="4" t="s">
        <v>70</v>
      </c>
      <c r="V195" s="4" t="s">
        <v>71</v>
      </c>
      <c r="W195" s="4">
        <v>2.810975E8</v>
      </c>
      <c r="X195" s="4" t="s">
        <v>58</v>
      </c>
      <c r="Y195" s="4" t="s">
        <v>59</v>
      </c>
      <c r="Z195" s="4" t="s">
        <v>60</v>
      </c>
      <c r="AA195" s="4" t="s">
        <v>61</v>
      </c>
      <c r="AB195" s="4" t="s">
        <v>177</v>
      </c>
      <c r="AC195" s="4" t="s">
        <v>192</v>
      </c>
      <c r="AD195" s="3" t="s">
        <v>1031</v>
      </c>
      <c r="AE195" s="7">
        <v>3.0</v>
      </c>
      <c r="AF195" s="7">
        <v>3.0</v>
      </c>
      <c r="AG195" s="4" t="str">
        <f t="shared" si="1"/>
        <v>yes</v>
      </c>
      <c r="AH195" s="8" t="s">
        <v>64</v>
      </c>
      <c r="AI195" s="4" t="s">
        <v>1032</v>
      </c>
      <c r="AJ195" s="7" t="str">
        <f>VLOOKUP(D195,'slb RAW'!$E$2:$AF$293,9)</f>
        <v>#N/A N/A</v>
      </c>
      <c r="AK195" s="4" t="str">
        <f>VLOOKUP(D195,'slb RAW'!$E$2:$AE$293,27)</f>
        <v>#N/A N/A</v>
      </c>
      <c r="AL195" s="4" t="str">
        <f>VLOOKUP(C195,'Refinitiv SLB'!F195:S372,14)</f>
        <v>#N/A</v>
      </c>
      <c r="AM195" s="4" t="str">
        <f t="shared" si="2"/>
        <v>#N/A N/A</v>
      </c>
      <c r="AN195" s="9" t="str">
        <f t="shared" si="3"/>
        <v>RHI Magnesita GmbHAT MATURITYFLOATINGEURSr Unsecured</v>
      </c>
      <c r="AO195" s="7" t="b">
        <f>ISNUMBER( IFERROR(VLOOKUP(A195,Pairs!$E$2:$E$57,1,FALSE),FALSE))</f>
        <v>0</v>
      </c>
      <c r="AP195" s="7"/>
      <c r="AQ195" s="7"/>
    </row>
    <row r="196" ht="15.75" customHeight="1">
      <c r="A196" s="3">
        <v>211.0</v>
      </c>
      <c r="B196" s="4" t="s">
        <v>1025</v>
      </c>
      <c r="C196" s="4" t="str">
        <f>VLOOKUP(D196,'slb RAW'!$E:$F,2)</f>
        <v>#N/A Field Not Applicable</v>
      </c>
      <c r="D196" s="4" t="s">
        <v>1275</v>
      </c>
      <c r="E196" s="4" t="s">
        <v>1276</v>
      </c>
      <c r="F196" s="4" t="s">
        <v>1028</v>
      </c>
      <c r="G196" s="4" t="s">
        <v>258</v>
      </c>
      <c r="H196" s="4" t="s">
        <v>258</v>
      </c>
      <c r="I196" s="4" t="s">
        <v>186</v>
      </c>
      <c r="J196" s="4">
        <v>0.85</v>
      </c>
      <c r="K196" s="4" t="s">
        <v>1029</v>
      </c>
      <c r="L196" s="4" t="s">
        <v>243</v>
      </c>
      <c r="M196" s="3">
        <v>0.1957</v>
      </c>
      <c r="N196" s="4" t="s">
        <v>49</v>
      </c>
      <c r="O196" s="4" t="s">
        <v>50</v>
      </c>
      <c r="P196" s="4" t="s">
        <v>101</v>
      </c>
      <c r="Q196" s="4" t="s">
        <v>52</v>
      </c>
      <c r="R196" s="4" t="s">
        <v>53</v>
      </c>
      <c r="S196" s="4" t="s">
        <v>54</v>
      </c>
      <c r="T196" s="4" t="s">
        <v>55</v>
      </c>
      <c r="U196" s="4" t="s">
        <v>56</v>
      </c>
      <c r="V196" s="4" t="s">
        <v>57</v>
      </c>
      <c r="W196" s="4">
        <v>2.810975E8</v>
      </c>
      <c r="X196" s="4" t="s">
        <v>58</v>
      </c>
      <c r="Y196" s="4" t="s">
        <v>59</v>
      </c>
      <c r="Z196" s="4" t="s">
        <v>60</v>
      </c>
      <c r="AA196" s="4" t="s">
        <v>61</v>
      </c>
      <c r="AB196" s="4" t="s">
        <v>177</v>
      </c>
      <c r="AC196" s="4" t="s">
        <v>192</v>
      </c>
      <c r="AD196" s="3" t="s">
        <v>1031</v>
      </c>
      <c r="AE196" s="7">
        <v>3.0</v>
      </c>
      <c r="AF196" s="7">
        <v>3.0</v>
      </c>
      <c r="AG196" s="4" t="str">
        <f t="shared" si="1"/>
        <v>yes</v>
      </c>
      <c r="AH196" s="8" t="s">
        <v>64</v>
      </c>
      <c r="AI196" s="4" t="s">
        <v>1032</v>
      </c>
      <c r="AJ196" s="7" t="str">
        <f>VLOOKUP(D196,'slb RAW'!$E$2:$AF$293,9)</f>
        <v>#N/A N/A</v>
      </c>
      <c r="AK196" s="4">
        <f>VLOOKUP(D196,'slb RAW'!$E$2:$AE$293,27)</f>
        <v>0.157</v>
      </c>
      <c r="AL196" s="4" t="str">
        <f>VLOOKUP(C196,'Refinitiv SLB'!F196:S373,14)</f>
        <v>#N/A</v>
      </c>
      <c r="AM196" s="4">
        <f t="shared" si="2"/>
        <v>0.157</v>
      </c>
      <c r="AN196" s="9" t="str">
        <f t="shared" si="3"/>
        <v>RHI Magnesita GmbHAT MATURITYFIXEDEURSr Unsecured</v>
      </c>
      <c r="AO196" s="7" t="b">
        <f>ISNUMBER( IFERROR(VLOOKUP(A196,Pairs!$E$2:$E$57,1,FALSE),FALSE))</f>
        <v>0</v>
      </c>
      <c r="AP196" s="7"/>
      <c r="AQ196" s="7"/>
    </row>
    <row r="197" ht="15.75" customHeight="1">
      <c r="A197" s="3">
        <v>278.0</v>
      </c>
      <c r="B197" s="4" t="s">
        <v>1277</v>
      </c>
      <c r="C197" s="4" t="str">
        <f>VLOOKUP(D197,'slb RAW'!$E:$F,2)</f>
        <v>SE0016831150</v>
      </c>
      <c r="D197" s="4" t="s">
        <v>1278</v>
      </c>
      <c r="E197" s="4" t="s">
        <v>1279</v>
      </c>
      <c r="F197" s="4" t="s">
        <v>1280</v>
      </c>
      <c r="G197" s="4" t="s">
        <v>368</v>
      </c>
      <c r="H197" s="4" t="s">
        <v>368</v>
      </c>
      <c r="I197" s="4" t="s">
        <v>368</v>
      </c>
      <c r="J197" s="4">
        <v>8.801</v>
      </c>
      <c r="K197" s="4" t="s">
        <v>1281</v>
      </c>
      <c r="L197" s="4" t="s">
        <v>1282</v>
      </c>
      <c r="M197" s="28">
        <v>7.6839</v>
      </c>
      <c r="N197" s="4" t="s">
        <v>115</v>
      </c>
      <c r="O197" s="4" t="s">
        <v>116</v>
      </c>
      <c r="P197" s="4" t="s">
        <v>686</v>
      </c>
      <c r="Q197" s="4" t="s">
        <v>459</v>
      </c>
      <c r="R197" s="4" t="s">
        <v>687</v>
      </c>
      <c r="S197" s="4" t="s">
        <v>54</v>
      </c>
      <c r="T197" s="4" t="s">
        <v>55</v>
      </c>
      <c r="U197" s="4" t="s">
        <v>70</v>
      </c>
      <c r="V197" s="4" t="s">
        <v>392</v>
      </c>
      <c r="W197" s="4">
        <v>5.2704E7</v>
      </c>
      <c r="X197" s="4" t="s">
        <v>134</v>
      </c>
      <c r="Y197" s="4" t="s">
        <v>1283</v>
      </c>
      <c r="Z197" s="4" t="s">
        <v>60</v>
      </c>
      <c r="AA197" s="4" t="s">
        <v>61</v>
      </c>
      <c r="AB197" s="4" t="s">
        <v>62</v>
      </c>
      <c r="AC197" s="4" t="s">
        <v>62</v>
      </c>
      <c r="AD197" s="3" t="s">
        <v>1284</v>
      </c>
      <c r="AE197" s="8" t="s">
        <v>194</v>
      </c>
      <c r="AF197" s="12"/>
      <c r="AG197" s="4" t="str">
        <f t="shared" si="1"/>
        <v/>
      </c>
      <c r="AH197" s="8" t="s">
        <v>140</v>
      </c>
      <c r="AI197" s="4" t="s">
        <v>1285</v>
      </c>
      <c r="AJ197" s="7" t="str">
        <f>VLOOKUP(D197,'slb RAW'!$E$2:$AF$293,9)</f>
        <v>#N/A N/A</v>
      </c>
      <c r="AK197" s="4" t="str">
        <f>VLOOKUP(D197,'slb RAW'!$E$2:$AE$293,27)</f>
        <v>#N/A N/A</v>
      </c>
      <c r="AL197" s="4" t="str">
        <f>VLOOKUP(C197,'Refinitiv SLB'!F197:S374,14)</f>
        <v>#N/A</v>
      </c>
      <c r="AM197" s="4" t="str">
        <f t="shared" si="2"/>
        <v>#N/A N/A</v>
      </c>
      <c r="AN197" s="9" t="str">
        <f t="shared" si="3"/>
        <v>YA Holding ABCALLABLEFLOATINGSEKSecured</v>
      </c>
      <c r="AO197" s="7" t="b">
        <f>ISNUMBER( IFERROR(VLOOKUP(A197,Pairs!$E$2:$E$57,1,FALSE),FALSE))</f>
        <v>0</v>
      </c>
      <c r="AP197" s="7"/>
      <c r="AQ197" s="7"/>
    </row>
    <row r="198" ht="15.75" customHeight="1">
      <c r="A198" s="3">
        <v>221.0</v>
      </c>
      <c r="B198" s="4" t="s">
        <v>996</v>
      </c>
      <c r="C198" s="4" t="str">
        <f>VLOOKUP(D198,'slb RAW'!$E:$F,2)</f>
        <v>#N/A Field Not Applicable</v>
      </c>
      <c r="D198" s="4" t="s">
        <v>1286</v>
      </c>
      <c r="E198" s="4" t="s">
        <v>1287</v>
      </c>
      <c r="F198" s="4" t="s">
        <v>999</v>
      </c>
      <c r="G198" s="4" t="s">
        <v>45</v>
      </c>
      <c r="H198" s="4" t="s">
        <v>45</v>
      </c>
      <c r="I198" s="4" t="s">
        <v>45</v>
      </c>
      <c r="J198" s="4">
        <v>0.0</v>
      </c>
      <c r="K198" s="4" t="s">
        <v>1000</v>
      </c>
      <c r="L198" s="4" t="s">
        <v>1288</v>
      </c>
      <c r="M198" s="10" t="s">
        <v>48</v>
      </c>
      <c r="N198" s="4" t="s">
        <v>49</v>
      </c>
      <c r="O198" s="4" t="s">
        <v>50</v>
      </c>
      <c r="P198" s="4" t="s">
        <v>158</v>
      </c>
      <c r="Q198" s="4" t="s">
        <v>52</v>
      </c>
      <c r="R198" s="4" t="s">
        <v>53</v>
      </c>
      <c r="S198" s="4" t="s">
        <v>54</v>
      </c>
      <c r="T198" s="4" t="s">
        <v>55</v>
      </c>
      <c r="U198" s="4" t="s">
        <v>70</v>
      </c>
      <c r="V198" s="4" t="s">
        <v>71</v>
      </c>
      <c r="W198" s="4">
        <v>2.25864E8</v>
      </c>
      <c r="X198" s="4" t="s">
        <v>85</v>
      </c>
      <c r="Y198" s="4" t="s">
        <v>515</v>
      </c>
      <c r="Z198" s="4" t="s">
        <v>60</v>
      </c>
      <c r="AA198" s="4" t="s">
        <v>61</v>
      </c>
      <c r="AB198" s="4" t="s">
        <v>87</v>
      </c>
      <c r="AC198" s="4" t="s">
        <v>515</v>
      </c>
      <c r="AD198" s="3" t="s">
        <v>1002</v>
      </c>
      <c r="AE198" s="8" t="s">
        <v>124</v>
      </c>
      <c r="AF198" s="8" t="s">
        <v>124</v>
      </c>
      <c r="AG198" s="4" t="str">
        <f t="shared" si="1"/>
        <v>yes</v>
      </c>
      <c r="AH198" s="8" t="s">
        <v>612</v>
      </c>
      <c r="AI198" s="4" t="s">
        <v>1003</v>
      </c>
      <c r="AJ198" s="7" t="str">
        <f>VLOOKUP(D198,'slb RAW'!$E$2:$AF$293,9)</f>
        <v>#N/A N/A</v>
      </c>
      <c r="AK198" s="4" t="str">
        <f>VLOOKUP(D198,'slb RAW'!$E$2:$AE$293,27)</f>
        <v>#N/A N/A</v>
      </c>
      <c r="AL198" s="4" t="str">
        <f>VLOOKUP(C198,'Refinitiv SLB'!F198:S375,14)</f>
        <v>#N/A</v>
      </c>
      <c r="AM198" s="4" t="str">
        <f t="shared" si="2"/>
        <v>#N/A N/A</v>
      </c>
      <c r="AN198" s="9" t="str">
        <f t="shared" si="3"/>
        <v>Renolit SEAT MATURITYFLOATINGEURSr Unsecured</v>
      </c>
      <c r="AO198" s="7" t="b">
        <f>ISNUMBER( IFERROR(VLOOKUP(A198,Pairs!$E$2:$E$57,1,FALSE),FALSE))</f>
        <v>0</v>
      </c>
      <c r="AP198" s="7"/>
      <c r="AQ198" s="7"/>
    </row>
    <row r="199" ht="15.75" customHeight="1">
      <c r="A199" s="3">
        <v>218.0</v>
      </c>
      <c r="B199" s="4" t="s">
        <v>996</v>
      </c>
      <c r="C199" s="4" t="str">
        <f>VLOOKUP(D199,'slb RAW'!$E:$F,2)</f>
        <v>#N/A Field Not Applicable</v>
      </c>
      <c r="D199" s="4" t="s">
        <v>1289</v>
      </c>
      <c r="E199" s="4" t="s">
        <v>1290</v>
      </c>
      <c r="F199" s="4" t="s">
        <v>999</v>
      </c>
      <c r="G199" s="4" t="s">
        <v>45</v>
      </c>
      <c r="H199" s="4" t="s">
        <v>45</v>
      </c>
      <c r="I199" s="4" t="s">
        <v>45</v>
      </c>
      <c r="J199" s="4">
        <v>0.0</v>
      </c>
      <c r="K199" s="4" t="s">
        <v>1000</v>
      </c>
      <c r="L199" s="4" t="s">
        <v>1291</v>
      </c>
      <c r="M199" s="10" t="s">
        <v>48</v>
      </c>
      <c r="N199" s="4" t="s">
        <v>49</v>
      </c>
      <c r="O199" s="4" t="s">
        <v>50</v>
      </c>
      <c r="P199" s="4" t="s">
        <v>162</v>
      </c>
      <c r="Q199" s="4" t="s">
        <v>52</v>
      </c>
      <c r="R199" s="4" t="s">
        <v>53</v>
      </c>
      <c r="S199" s="4" t="s">
        <v>54</v>
      </c>
      <c r="T199" s="4" t="s">
        <v>55</v>
      </c>
      <c r="U199" s="4" t="s">
        <v>70</v>
      </c>
      <c r="V199" s="4" t="s">
        <v>71</v>
      </c>
      <c r="W199" s="4">
        <v>2.25864E8</v>
      </c>
      <c r="X199" s="4" t="s">
        <v>85</v>
      </c>
      <c r="Y199" s="4" t="s">
        <v>515</v>
      </c>
      <c r="Z199" s="4" t="s">
        <v>60</v>
      </c>
      <c r="AA199" s="4" t="s">
        <v>61</v>
      </c>
      <c r="AB199" s="4" t="s">
        <v>87</v>
      </c>
      <c r="AC199" s="4" t="s">
        <v>515</v>
      </c>
      <c r="AD199" s="3" t="s">
        <v>1002</v>
      </c>
      <c r="AE199" s="8" t="s">
        <v>124</v>
      </c>
      <c r="AF199" s="8" t="s">
        <v>124</v>
      </c>
      <c r="AG199" s="4" t="str">
        <f t="shared" si="1"/>
        <v>yes</v>
      </c>
      <c r="AH199" s="8" t="s">
        <v>612</v>
      </c>
      <c r="AI199" s="4" t="s">
        <v>1003</v>
      </c>
      <c r="AJ199" s="7" t="str">
        <f>VLOOKUP(D199,'slb RAW'!$E$2:$AF$293,9)</f>
        <v>#N/A N/A</v>
      </c>
      <c r="AK199" s="4" t="str">
        <f>VLOOKUP(D199,'slb RAW'!$E$2:$AE$293,27)</f>
        <v>#N/A N/A</v>
      </c>
      <c r="AL199" s="4" t="str">
        <f>VLOOKUP(C199,'Refinitiv SLB'!F199:S376,14)</f>
        <v>#N/A</v>
      </c>
      <c r="AM199" s="4" t="str">
        <f t="shared" si="2"/>
        <v>#N/A N/A</v>
      </c>
      <c r="AN199" s="9" t="str">
        <f t="shared" si="3"/>
        <v>Renolit SEAT MATURITYFLOATINGEURSr Unsecured</v>
      </c>
      <c r="AO199" s="7" t="b">
        <f>ISNUMBER( IFERROR(VLOOKUP(A199,Pairs!$E$2:$E$57,1,FALSE),FALSE))</f>
        <v>0</v>
      </c>
      <c r="AP199" s="7"/>
      <c r="AQ199" s="7"/>
    </row>
    <row r="200" ht="15.75" customHeight="1">
      <c r="A200" s="3">
        <v>27.0</v>
      </c>
      <c r="B200" s="4" t="s">
        <v>1292</v>
      </c>
      <c r="C200" s="4" t="str">
        <f>VLOOKUP(D200,'slb RAW'!$E:$F,2)</f>
        <v>#N/A Field Not Applicable</v>
      </c>
      <c r="D200" s="4" t="s">
        <v>1293</v>
      </c>
      <c r="E200" s="4" t="s">
        <v>1294</v>
      </c>
      <c r="F200" s="4" t="s">
        <v>1295</v>
      </c>
      <c r="G200" s="4" t="s">
        <v>45</v>
      </c>
      <c r="H200" s="4" t="s">
        <v>45</v>
      </c>
      <c r="I200" s="4" t="s">
        <v>45</v>
      </c>
      <c r="J200" s="5">
        <v>0.0</v>
      </c>
      <c r="K200" s="4" t="s">
        <v>1296</v>
      </c>
      <c r="L200" s="4" t="s">
        <v>1297</v>
      </c>
      <c r="M200" s="10" t="s">
        <v>48</v>
      </c>
      <c r="N200" s="4" t="s">
        <v>49</v>
      </c>
      <c r="O200" s="4" t="s">
        <v>50</v>
      </c>
      <c r="P200" s="4" t="s">
        <v>51</v>
      </c>
      <c r="Q200" s="4" t="s">
        <v>52</v>
      </c>
      <c r="R200" s="4" t="s">
        <v>53</v>
      </c>
      <c r="S200" s="4" t="s">
        <v>54</v>
      </c>
      <c r="T200" s="4" t="s">
        <v>55</v>
      </c>
      <c r="U200" s="4" t="s">
        <v>56</v>
      </c>
      <c r="V200" s="4" t="s">
        <v>57</v>
      </c>
      <c r="W200" s="4">
        <v>3.94352E8</v>
      </c>
      <c r="X200" s="4" t="s">
        <v>422</v>
      </c>
      <c r="Y200" s="4" t="s">
        <v>977</v>
      </c>
      <c r="Z200" s="4" t="s">
        <v>60</v>
      </c>
      <c r="AA200" s="4" t="s">
        <v>61</v>
      </c>
      <c r="AB200" s="4" t="s">
        <v>228</v>
      </c>
      <c r="AC200" s="4" t="s">
        <v>665</v>
      </c>
      <c r="AD200" s="3" t="s">
        <v>1298</v>
      </c>
      <c r="AE200" s="8" t="s">
        <v>139</v>
      </c>
      <c r="AF200" s="12"/>
      <c r="AG200" s="4" t="str">
        <f t="shared" si="1"/>
        <v/>
      </c>
      <c r="AH200" s="8" t="s">
        <v>64</v>
      </c>
      <c r="AI200" s="4" t="s">
        <v>1299</v>
      </c>
      <c r="AJ200" s="7" t="str">
        <f>VLOOKUP(D200,'slb RAW'!$E$2:$AF$293,9)</f>
        <v>#N/A N/A</v>
      </c>
      <c r="AK200" s="4" t="str">
        <f>VLOOKUP(D200,'slb RAW'!$E$2:$AE$293,27)</f>
        <v>#N/A N/A</v>
      </c>
      <c r="AL200" s="4" t="str">
        <f>VLOOKUP(C200,'Refinitiv SLB'!F200:S377,14)</f>
        <v>#N/A</v>
      </c>
      <c r="AM200" s="4" t="str">
        <f t="shared" si="2"/>
        <v>#N/A N/A</v>
      </c>
      <c r="AN200" s="9" t="str">
        <f t="shared" si="3"/>
        <v>BayWa AGAT MATURITYFIXEDEURSr Unsecured</v>
      </c>
      <c r="AO200" s="7" t="b">
        <f>ISNUMBER( IFERROR(VLOOKUP(A200,Pairs!$E$2:$E$57,1,FALSE),FALSE))</f>
        <v>0</v>
      </c>
      <c r="AP200" s="7"/>
      <c r="AQ200" s="7"/>
    </row>
    <row r="201" ht="15.75" customHeight="1">
      <c r="A201" s="3">
        <v>28.0</v>
      </c>
      <c r="B201" s="4" t="s">
        <v>1292</v>
      </c>
      <c r="C201" s="4" t="str">
        <f>VLOOKUP(D201,'slb RAW'!$E:$F,2)</f>
        <v>#N/A Field Not Applicable</v>
      </c>
      <c r="D201" s="4" t="s">
        <v>1300</v>
      </c>
      <c r="E201" s="4" t="s">
        <v>1301</v>
      </c>
      <c r="F201" s="4" t="s">
        <v>1295</v>
      </c>
      <c r="G201" s="4" t="s">
        <v>45</v>
      </c>
      <c r="H201" s="4" t="s">
        <v>45</v>
      </c>
      <c r="I201" s="4" t="s">
        <v>45</v>
      </c>
      <c r="J201" s="5">
        <v>0.0</v>
      </c>
      <c r="K201" s="4" t="s">
        <v>1296</v>
      </c>
      <c r="L201" s="4" t="s">
        <v>1302</v>
      </c>
      <c r="M201" s="10" t="s">
        <v>48</v>
      </c>
      <c r="N201" s="4" t="s">
        <v>49</v>
      </c>
      <c r="O201" s="4" t="s">
        <v>50</v>
      </c>
      <c r="P201" s="4" t="s">
        <v>101</v>
      </c>
      <c r="Q201" s="4" t="s">
        <v>52</v>
      </c>
      <c r="R201" s="4" t="s">
        <v>53</v>
      </c>
      <c r="S201" s="4" t="s">
        <v>54</v>
      </c>
      <c r="T201" s="4" t="s">
        <v>55</v>
      </c>
      <c r="U201" s="4" t="s">
        <v>56</v>
      </c>
      <c r="V201" s="4" t="s">
        <v>57</v>
      </c>
      <c r="W201" s="4">
        <v>3.94352E8</v>
      </c>
      <c r="X201" s="4" t="s">
        <v>422</v>
      </c>
      <c r="Y201" s="4" t="s">
        <v>977</v>
      </c>
      <c r="Z201" s="4" t="s">
        <v>60</v>
      </c>
      <c r="AA201" s="4" t="s">
        <v>61</v>
      </c>
      <c r="AB201" s="4" t="s">
        <v>228</v>
      </c>
      <c r="AC201" s="4" t="s">
        <v>665</v>
      </c>
      <c r="AD201" s="3" t="s">
        <v>1298</v>
      </c>
      <c r="AE201" s="8" t="s">
        <v>139</v>
      </c>
      <c r="AF201" s="12"/>
      <c r="AG201" s="4" t="str">
        <f t="shared" si="1"/>
        <v/>
      </c>
      <c r="AH201" s="8" t="s">
        <v>64</v>
      </c>
      <c r="AI201" s="4" t="s">
        <v>1299</v>
      </c>
      <c r="AJ201" s="7" t="str">
        <f>VLOOKUP(D201,'slb RAW'!$E$2:$AF$293,9)</f>
        <v>#N/A N/A</v>
      </c>
      <c r="AK201" s="4" t="str">
        <f>VLOOKUP(D201,'slb RAW'!$E$2:$AE$293,27)</f>
        <v>#N/A N/A</v>
      </c>
      <c r="AL201" s="4" t="str">
        <f>VLOOKUP(C201,'Refinitiv SLB'!F201:S378,14)</f>
        <v>#N/A</v>
      </c>
      <c r="AM201" s="4" t="str">
        <f t="shared" si="2"/>
        <v>#N/A N/A</v>
      </c>
      <c r="AN201" s="9" t="str">
        <f t="shared" si="3"/>
        <v>BayWa AGAT MATURITYFIXEDEURSr Unsecured</v>
      </c>
      <c r="AO201" s="7" t="b">
        <f>ISNUMBER( IFERROR(VLOOKUP(A201,Pairs!$E$2:$E$57,1,FALSE),FALSE))</f>
        <v>0</v>
      </c>
      <c r="AP201" s="7"/>
      <c r="AQ201" s="7"/>
    </row>
    <row r="202" ht="15.75" customHeight="1">
      <c r="A202" s="3">
        <v>25.0</v>
      </c>
      <c r="B202" s="4" t="s">
        <v>1292</v>
      </c>
      <c r="C202" s="4" t="str">
        <f>VLOOKUP(D202,'slb RAW'!$E:$F,2)</f>
        <v>#N/A Field Not Applicable</v>
      </c>
      <c r="D202" s="4" t="s">
        <v>1303</v>
      </c>
      <c r="E202" s="4" t="s">
        <v>1304</v>
      </c>
      <c r="F202" s="4" t="s">
        <v>1295</v>
      </c>
      <c r="G202" s="4" t="s">
        <v>45</v>
      </c>
      <c r="H202" s="4" t="s">
        <v>45</v>
      </c>
      <c r="I202" s="4" t="s">
        <v>45</v>
      </c>
      <c r="J202" s="5">
        <v>0.0</v>
      </c>
      <c r="K202" s="4" t="s">
        <v>1296</v>
      </c>
      <c r="L202" s="4" t="s">
        <v>1302</v>
      </c>
      <c r="M202" s="10" t="s">
        <v>48</v>
      </c>
      <c r="N202" s="4" t="s">
        <v>49</v>
      </c>
      <c r="O202" s="4" t="s">
        <v>50</v>
      </c>
      <c r="P202" s="4" t="s">
        <v>84</v>
      </c>
      <c r="Q202" s="4" t="s">
        <v>52</v>
      </c>
      <c r="R202" s="4" t="s">
        <v>53</v>
      </c>
      <c r="S202" s="4" t="s">
        <v>54</v>
      </c>
      <c r="T202" s="4" t="s">
        <v>55</v>
      </c>
      <c r="U202" s="4" t="s">
        <v>70</v>
      </c>
      <c r="V202" s="4" t="s">
        <v>71</v>
      </c>
      <c r="W202" s="4">
        <v>3.94352E8</v>
      </c>
      <c r="X202" s="4" t="s">
        <v>422</v>
      </c>
      <c r="Y202" s="4" t="s">
        <v>977</v>
      </c>
      <c r="Z202" s="4" t="s">
        <v>60</v>
      </c>
      <c r="AA202" s="4" t="s">
        <v>61</v>
      </c>
      <c r="AB202" s="4" t="s">
        <v>228</v>
      </c>
      <c r="AC202" s="4" t="s">
        <v>665</v>
      </c>
      <c r="AD202" s="3" t="s">
        <v>1298</v>
      </c>
      <c r="AE202" s="8" t="s">
        <v>139</v>
      </c>
      <c r="AF202" s="12"/>
      <c r="AG202" s="4" t="str">
        <f t="shared" si="1"/>
        <v/>
      </c>
      <c r="AH202" s="8" t="s">
        <v>64</v>
      </c>
      <c r="AI202" s="4" t="s">
        <v>1299</v>
      </c>
      <c r="AJ202" s="7" t="str">
        <f>VLOOKUP(D202,'slb RAW'!$E$2:$AF$293,9)</f>
        <v>#N/A N/A</v>
      </c>
      <c r="AK202" s="4" t="str">
        <f>VLOOKUP(D202,'slb RAW'!$E$2:$AE$293,27)</f>
        <v>#N/A N/A</v>
      </c>
      <c r="AL202" s="4" t="str">
        <f>VLOOKUP(C202,'Refinitiv SLB'!F202:S379,14)</f>
        <v>#N/A</v>
      </c>
      <c r="AM202" s="4" t="str">
        <f t="shared" si="2"/>
        <v>#N/A N/A</v>
      </c>
      <c r="AN202" s="9" t="str">
        <f t="shared" si="3"/>
        <v>BayWa AGAT MATURITYFLOATINGEURSr Unsecured</v>
      </c>
      <c r="AO202" s="7" t="b">
        <f>ISNUMBER( IFERROR(VLOOKUP(A202,Pairs!$E$2:$E$57,1,FALSE),FALSE))</f>
        <v>0</v>
      </c>
      <c r="AP202" s="7"/>
      <c r="AQ202" s="7"/>
    </row>
    <row r="203" ht="15.75" customHeight="1">
      <c r="A203" s="3">
        <v>29.0</v>
      </c>
      <c r="B203" s="4" t="s">
        <v>1292</v>
      </c>
      <c r="C203" s="4" t="str">
        <f>VLOOKUP(D203,'slb RAW'!$E:$F,2)</f>
        <v>#N/A Field Not Applicable</v>
      </c>
      <c r="D203" s="4" t="s">
        <v>1305</v>
      </c>
      <c r="E203" s="4" t="s">
        <v>1306</v>
      </c>
      <c r="F203" s="4" t="s">
        <v>1295</v>
      </c>
      <c r="G203" s="4" t="s">
        <v>45</v>
      </c>
      <c r="H203" s="4" t="s">
        <v>45</v>
      </c>
      <c r="I203" s="4" t="s">
        <v>45</v>
      </c>
      <c r="J203" s="5">
        <v>0.0</v>
      </c>
      <c r="K203" s="4" t="s">
        <v>1296</v>
      </c>
      <c r="L203" s="4" t="s">
        <v>1307</v>
      </c>
      <c r="M203" s="10" t="s">
        <v>48</v>
      </c>
      <c r="N203" s="4" t="s">
        <v>49</v>
      </c>
      <c r="O203" s="4" t="s">
        <v>50</v>
      </c>
      <c r="P203" s="4" t="s">
        <v>104</v>
      </c>
      <c r="Q203" s="4" t="s">
        <v>52</v>
      </c>
      <c r="R203" s="4" t="s">
        <v>53</v>
      </c>
      <c r="S203" s="4" t="s">
        <v>54</v>
      </c>
      <c r="T203" s="4" t="s">
        <v>55</v>
      </c>
      <c r="U203" s="4" t="s">
        <v>56</v>
      </c>
      <c r="V203" s="4" t="s">
        <v>57</v>
      </c>
      <c r="W203" s="4">
        <v>3.94352E8</v>
      </c>
      <c r="X203" s="4" t="s">
        <v>422</v>
      </c>
      <c r="Y203" s="4" t="s">
        <v>977</v>
      </c>
      <c r="Z203" s="4" t="s">
        <v>60</v>
      </c>
      <c r="AA203" s="4" t="s">
        <v>61</v>
      </c>
      <c r="AB203" s="4" t="s">
        <v>228</v>
      </c>
      <c r="AC203" s="4" t="s">
        <v>665</v>
      </c>
      <c r="AD203" s="3" t="s">
        <v>1298</v>
      </c>
      <c r="AE203" s="8" t="s">
        <v>139</v>
      </c>
      <c r="AF203" s="12"/>
      <c r="AG203" s="4" t="str">
        <f t="shared" si="1"/>
        <v/>
      </c>
      <c r="AH203" s="8" t="s">
        <v>64</v>
      </c>
      <c r="AI203" s="4" t="s">
        <v>1299</v>
      </c>
      <c r="AJ203" s="7" t="str">
        <f>VLOOKUP(D203,'slb RAW'!$E$2:$AF$293,9)</f>
        <v>#N/A N/A</v>
      </c>
      <c r="AK203" s="4" t="str">
        <f>VLOOKUP(D203,'slb RAW'!$E$2:$AE$293,27)</f>
        <v>#N/A N/A</v>
      </c>
      <c r="AL203" s="4" t="str">
        <f>VLOOKUP(C203,'Refinitiv SLB'!F203:S380,14)</f>
        <v>#N/A</v>
      </c>
      <c r="AM203" s="4" t="str">
        <f t="shared" si="2"/>
        <v>#N/A N/A</v>
      </c>
      <c r="AN203" s="9" t="str">
        <f t="shared" si="3"/>
        <v>BayWa AGAT MATURITYFIXEDEURSr Unsecured</v>
      </c>
      <c r="AO203" s="7" t="b">
        <f>ISNUMBER( IFERROR(VLOOKUP(A203,Pairs!$E$2:$E$57,1,FALSE),FALSE))</f>
        <v>0</v>
      </c>
      <c r="AP203" s="7"/>
      <c r="AQ203" s="7"/>
    </row>
    <row r="204" ht="15.75" customHeight="1">
      <c r="A204" s="3">
        <v>26.0</v>
      </c>
      <c r="B204" s="4" t="s">
        <v>1292</v>
      </c>
      <c r="C204" s="4" t="str">
        <f>VLOOKUP(D204,'slb RAW'!$E:$F,2)</f>
        <v>#N/A Field Not Applicable</v>
      </c>
      <c r="D204" s="4" t="s">
        <v>1308</v>
      </c>
      <c r="E204" s="4" t="s">
        <v>1309</v>
      </c>
      <c r="F204" s="4" t="s">
        <v>1295</v>
      </c>
      <c r="G204" s="4" t="s">
        <v>45</v>
      </c>
      <c r="H204" s="4" t="s">
        <v>45</v>
      </c>
      <c r="I204" s="4" t="s">
        <v>45</v>
      </c>
      <c r="J204" s="5">
        <v>0.0</v>
      </c>
      <c r="K204" s="4" t="s">
        <v>1296</v>
      </c>
      <c r="L204" s="4" t="s">
        <v>1307</v>
      </c>
      <c r="M204" s="10" t="s">
        <v>48</v>
      </c>
      <c r="N204" s="4" t="s">
        <v>49</v>
      </c>
      <c r="O204" s="4" t="s">
        <v>50</v>
      </c>
      <c r="P204" s="4" t="s">
        <v>94</v>
      </c>
      <c r="Q204" s="4" t="s">
        <v>52</v>
      </c>
      <c r="R204" s="4" t="s">
        <v>53</v>
      </c>
      <c r="S204" s="4" t="s">
        <v>54</v>
      </c>
      <c r="T204" s="4" t="s">
        <v>55</v>
      </c>
      <c r="U204" s="4" t="s">
        <v>56</v>
      </c>
      <c r="V204" s="4" t="s">
        <v>57</v>
      </c>
      <c r="W204" s="4">
        <v>3.94352E8</v>
      </c>
      <c r="X204" s="4" t="s">
        <v>422</v>
      </c>
      <c r="Y204" s="4" t="s">
        <v>977</v>
      </c>
      <c r="Z204" s="4" t="s">
        <v>60</v>
      </c>
      <c r="AA204" s="4" t="s">
        <v>61</v>
      </c>
      <c r="AB204" s="4" t="s">
        <v>228</v>
      </c>
      <c r="AC204" s="4" t="s">
        <v>665</v>
      </c>
      <c r="AD204" s="3" t="s">
        <v>1298</v>
      </c>
      <c r="AE204" s="8" t="s">
        <v>139</v>
      </c>
      <c r="AF204" s="12"/>
      <c r="AG204" s="4" t="str">
        <f t="shared" si="1"/>
        <v/>
      </c>
      <c r="AH204" s="8" t="s">
        <v>64</v>
      </c>
      <c r="AI204" s="4" t="s">
        <v>1299</v>
      </c>
      <c r="AJ204" s="7" t="str">
        <f>VLOOKUP(D204,'slb RAW'!$E$2:$AF$293,9)</f>
        <v>#N/A N/A</v>
      </c>
      <c r="AK204" s="4" t="str">
        <f>VLOOKUP(D204,'slb RAW'!$E$2:$AE$293,27)</f>
        <v>#N/A N/A</v>
      </c>
      <c r="AL204" s="4" t="str">
        <f>VLOOKUP(C204,'Refinitiv SLB'!F204:S381,14)</f>
        <v>#N/A</v>
      </c>
      <c r="AM204" s="4" t="str">
        <f t="shared" si="2"/>
        <v>#N/A N/A</v>
      </c>
      <c r="AN204" s="9" t="str">
        <f t="shared" si="3"/>
        <v>BayWa AGAT MATURITYFIXEDEURSr Unsecured</v>
      </c>
      <c r="AO204" s="7" t="b">
        <f>ISNUMBER( IFERROR(VLOOKUP(A204,Pairs!$E$2:$E$57,1,FALSE),FALSE))</f>
        <v>0</v>
      </c>
      <c r="AP204" s="7"/>
      <c r="AQ204" s="7"/>
    </row>
    <row r="205" ht="15.75" customHeight="1">
      <c r="A205" s="3">
        <v>108.0</v>
      </c>
      <c r="B205" s="4" t="s">
        <v>1076</v>
      </c>
      <c r="C205" s="4" t="str">
        <f>VLOOKUP(D205,'slb RAW'!$E:$F,2)</f>
        <v>#N/A Field Not Applicable</v>
      </c>
      <c r="D205" s="4" t="s">
        <v>1310</v>
      </c>
      <c r="E205" s="4" t="s">
        <v>1311</v>
      </c>
      <c r="F205" s="4" t="s">
        <v>1079</v>
      </c>
      <c r="G205" s="4" t="s">
        <v>185</v>
      </c>
      <c r="H205" s="4" t="s">
        <v>185</v>
      </c>
      <c r="I205" s="4" t="s">
        <v>185</v>
      </c>
      <c r="J205" s="4">
        <v>0.0</v>
      </c>
      <c r="K205" s="4" t="s">
        <v>1080</v>
      </c>
      <c r="L205" s="4" t="s">
        <v>1096</v>
      </c>
      <c r="M205" s="10" t="s">
        <v>48</v>
      </c>
      <c r="N205" s="4" t="s">
        <v>49</v>
      </c>
      <c r="O205" s="4" t="s">
        <v>50</v>
      </c>
      <c r="P205" s="4" t="s">
        <v>1312</v>
      </c>
      <c r="Q205" s="4" t="s">
        <v>52</v>
      </c>
      <c r="R205" s="4" t="s">
        <v>53</v>
      </c>
      <c r="S205" s="4" t="s">
        <v>54</v>
      </c>
      <c r="T205" s="4" t="s">
        <v>885</v>
      </c>
      <c r="U205" s="4" t="s">
        <v>56</v>
      </c>
      <c r="V205" s="4" t="s">
        <v>57</v>
      </c>
      <c r="W205" s="4">
        <v>4.5882855E8</v>
      </c>
      <c r="X205" s="4" t="s">
        <v>134</v>
      </c>
      <c r="Y205" s="4" t="s">
        <v>544</v>
      </c>
      <c r="Z205" s="4" t="s">
        <v>60</v>
      </c>
      <c r="AA205" s="4" t="s">
        <v>61</v>
      </c>
      <c r="AB205" s="4" t="s">
        <v>136</v>
      </c>
      <c r="AC205" s="4" t="s">
        <v>545</v>
      </c>
      <c r="AD205" s="3" t="s">
        <v>1083</v>
      </c>
      <c r="AE205" s="7">
        <v>10.0</v>
      </c>
      <c r="AF205" s="12"/>
      <c r="AG205" s="4" t="str">
        <f t="shared" si="1"/>
        <v/>
      </c>
      <c r="AH205" s="8" t="s">
        <v>125</v>
      </c>
      <c r="AI205" s="4" t="s">
        <v>1313</v>
      </c>
      <c r="AJ205" s="7" t="str">
        <f>VLOOKUP(D205,'slb RAW'!$E$2:$AF$293,9)</f>
        <v>#N/A N/A</v>
      </c>
      <c r="AK205" s="4" t="str">
        <f>VLOOKUP(D205,'slb RAW'!$E$2:$AE$293,27)</f>
        <v>#N/A N/A</v>
      </c>
      <c r="AL205" s="4" t="str">
        <f>VLOOKUP(C205,'Refinitiv SLB'!F205:S382,14)</f>
        <v>#N/A</v>
      </c>
      <c r="AM205" s="4" t="str">
        <f t="shared" si="2"/>
        <v>#N/A N/A</v>
      </c>
      <c r="AN205" s="9" t="str">
        <f t="shared" si="3"/>
        <v>Faurecia SEAT MATURITYFIXEDEURSr Unsecured</v>
      </c>
      <c r="AO205" s="7" t="b">
        <f>ISNUMBER( IFERROR(VLOOKUP(A205,Pairs!$E$2:$E$57,1,FALSE),FALSE))</f>
        <v>0</v>
      </c>
      <c r="AP205" s="7"/>
      <c r="AQ205" s="7"/>
    </row>
    <row r="206" ht="15.75" customHeight="1">
      <c r="A206" s="3">
        <v>109.0</v>
      </c>
      <c r="B206" s="4" t="s">
        <v>1076</v>
      </c>
      <c r="C206" s="4" t="str">
        <f>VLOOKUP(D206,'slb RAW'!$E:$F,2)</f>
        <v>#N/A Field Not Applicable</v>
      </c>
      <c r="D206" s="4" t="s">
        <v>1314</v>
      </c>
      <c r="E206" s="4" t="s">
        <v>1315</v>
      </c>
      <c r="F206" s="4" t="s">
        <v>1079</v>
      </c>
      <c r="G206" s="4" t="s">
        <v>185</v>
      </c>
      <c r="H206" s="4" t="s">
        <v>185</v>
      </c>
      <c r="I206" s="4" t="s">
        <v>185</v>
      </c>
      <c r="J206" s="4">
        <v>0.0</v>
      </c>
      <c r="K206" s="4" t="s">
        <v>1080</v>
      </c>
      <c r="L206" s="4" t="s">
        <v>1087</v>
      </c>
      <c r="M206" s="10" t="s">
        <v>48</v>
      </c>
      <c r="N206" s="4" t="s">
        <v>49</v>
      </c>
      <c r="O206" s="4" t="s">
        <v>50</v>
      </c>
      <c r="P206" s="4" t="s">
        <v>1316</v>
      </c>
      <c r="Q206" s="4" t="s">
        <v>52</v>
      </c>
      <c r="R206" s="4" t="s">
        <v>53</v>
      </c>
      <c r="S206" s="4" t="s">
        <v>54</v>
      </c>
      <c r="T206" s="4" t="s">
        <v>885</v>
      </c>
      <c r="U206" s="4" t="s">
        <v>56</v>
      </c>
      <c r="V206" s="4" t="s">
        <v>57</v>
      </c>
      <c r="W206" s="4">
        <v>7.93037E8</v>
      </c>
      <c r="X206" s="4" t="s">
        <v>134</v>
      </c>
      <c r="Y206" s="4" t="s">
        <v>544</v>
      </c>
      <c r="Z206" s="4" t="s">
        <v>60</v>
      </c>
      <c r="AA206" s="4" t="s">
        <v>61</v>
      </c>
      <c r="AB206" s="4" t="s">
        <v>136</v>
      </c>
      <c r="AC206" s="4" t="s">
        <v>545</v>
      </c>
      <c r="AD206" s="3" t="s">
        <v>1083</v>
      </c>
      <c r="AE206" s="7">
        <v>10.0</v>
      </c>
      <c r="AF206" s="12"/>
      <c r="AG206" s="4" t="str">
        <f t="shared" si="1"/>
        <v/>
      </c>
      <c r="AH206" s="8" t="s">
        <v>125</v>
      </c>
      <c r="AI206" s="4" t="s">
        <v>1313</v>
      </c>
      <c r="AJ206" s="7" t="str">
        <f>VLOOKUP(D206,'slb RAW'!$E$2:$AF$293,9)</f>
        <v>#N/A N/A</v>
      </c>
      <c r="AK206" s="4" t="str">
        <f>VLOOKUP(D206,'slb RAW'!$E$2:$AE$293,27)</f>
        <v>#N/A N/A</v>
      </c>
      <c r="AL206" s="4" t="str">
        <f>VLOOKUP(C206,'Refinitiv SLB'!F206:S383,14)</f>
        <v>#N/A</v>
      </c>
      <c r="AM206" s="4" t="str">
        <f t="shared" si="2"/>
        <v>#N/A N/A</v>
      </c>
      <c r="AN206" s="9" t="str">
        <f t="shared" si="3"/>
        <v>Faurecia SEAT MATURITYFIXEDEURSr Unsecured</v>
      </c>
      <c r="AO206" s="7" t="b">
        <f>ISNUMBER( IFERROR(VLOOKUP(A206,Pairs!$E$2:$E$57,1,FALSE),FALSE))</f>
        <v>0</v>
      </c>
      <c r="AP206" s="7"/>
      <c r="AQ206" s="7"/>
    </row>
    <row r="207" ht="15.75" customHeight="1">
      <c r="A207" s="3">
        <v>261.0</v>
      </c>
      <c r="B207" s="4" t="s">
        <v>1317</v>
      </c>
      <c r="C207" s="4" t="str">
        <f>VLOOKUP(D207,'slb RAW'!$E:$F,2)</f>
        <v>XS2431016034</v>
      </c>
      <c r="D207" s="4" t="s">
        <v>1318</v>
      </c>
      <c r="E207" s="4" t="s">
        <v>1319</v>
      </c>
      <c r="F207" s="4" t="s">
        <v>1320</v>
      </c>
      <c r="G207" s="4" t="s">
        <v>367</v>
      </c>
      <c r="H207" s="4" t="s">
        <v>367</v>
      </c>
      <c r="I207" s="4" t="s">
        <v>367</v>
      </c>
      <c r="J207" s="4">
        <v>3.5</v>
      </c>
      <c r="K207" s="4" t="s">
        <v>1321</v>
      </c>
      <c r="L207" s="4" t="s">
        <v>663</v>
      </c>
      <c r="M207" s="4">
        <v>3.5</v>
      </c>
      <c r="N207" s="4" t="s">
        <v>115</v>
      </c>
      <c r="O207" s="4" t="s">
        <v>116</v>
      </c>
      <c r="P207" s="4" t="s">
        <v>262</v>
      </c>
      <c r="Q207" s="4" t="s">
        <v>459</v>
      </c>
      <c r="R207" s="4" t="s">
        <v>53</v>
      </c>
      <c r="S207" s="4" t="s">
        <v>411</v>
      </c>
      <c r="T207" s="4" t="s">
        <v>55</v>
      </c>
      <c r="U207" s="4" t="s">
        <v>56</v>
      </c>
      <c r="V207" s="4" t="s">
        <v>71</v>
      </c>
      <c r="W207" s="4">
        <v>8.4954E8</v>
      </c>
      <c r="X207" s="4" t="s">
        <v>309</v>
      </c>
      <c r="Y207" s="4" t="s">
        <v>1322</v>
      </c>
      <c r="Z207" s="4" t="s">
        <v>60</v>
      </c>
      <c r="AA207" s="4" t="s">
        <v>61</v>
      </c>
      <c r="AB207" s="4" t="s">
        <v>309</v>
      </c>
      <c r="AC207" s="4" t="s">
        <v>1323</v>
      </c>
      <c r="AD207" s="3" t="s">
        <v>1324</v>
      </c>
      <c r="AE207" s="7">
        <v>12.5</v>
      </c>
      <c r="AF207" s="12"/>
      <c r="AG207" s="4" t="str">
        <f t="shared" si="1"/>
        <v/>
      </c>
      <c r="AH207" s="8" t="s">
        <v>140</v>
      </c>
      <c r="AI207" s="4" t="s">
        <v>1325</v>
      </c>
      <c r="AJ207" s="7">
        <f>VLOOKUP(D207,'slb RAW'!$E$2:$AF$293,9)</f>
        <v>3.5</v>
      </c>
      <c r="AK207" s="4">
        <f>VLOOKUP(D207,'slb RAW'!$E$2:$AE$293,27)</f>
        <v>3.684</v>
      </c>
      <c r="AL207" s="4" t="str">
        <f>VLOOKUP(C207,'Refinitiv SLB'!F207:S384,14)</f>
        <v>#N/A</v>
      </c>
      <c r="AM207" s="4">
        <f t="shared" si="2"/>
        <v>3.684</v>
      </c>
      <c r="AN207" s="9" t="str">
        <f t="shared" si="3"/>
        <v>VZ Secured Financing BVCALLABLEFIXEDEURSecured</v>
      </c>
      <c r="AO207" s="7" t="b">
        <f>ISNUMBER( IFERROR(VLOOKUP(A207,Pairs!$E$2:$E$57,1,FALSE),FALSE))</f>
        <v>0</v>
      </c>
      <c r="AP207" s="7"/>
      <c r="AQ207" s="7"/>
    </row>
    <row r="208" ht="15.75" customHeight="1">
      <c r="A208" s="3">
        <v>259.0</v>
      </c>
      <c r="B208" s="4" t="s">
        <v>1317</v>
      </c>
      <c r="C208" s="4" t="str">
        <f>VLOOKUP(D208,'slb RAW'!$E:$F,2)</f>
        <v>XS2431015655</v>
      </c>
      <c r="D208" s="4" t="s">
        <v>1326</v>
      </c>
      <c r="E208" s="4" t="s">
        <v>1327</v>
      </c>
      <c r="F208" s="4" t="s">
        <v>1320</v>
      </c>
      <c r="G208" s="4" t="s">
        <v>367</v>
      </c>
      <c r="H208" s="4" t="s">
        <v>367</v>
      </c>
      <c r="I208" s="4" t="s">
        <v>367</v>
      </c>
      <c r="J208" s="4">
        <v>3.5</v>
      </c>
      <c r="K208" s="4" t="s">
        <v>1321</v>
      </c>
      <c r="L208" s="4" t="s">
        <v>663</v>
      </c>
      <c r="M208" s="4">
        <v>3.5</v>
      </c>
      <c r="N208" s="4" t="s">
        <v>115</v>
      </c>
      <c r="O208" s="4" t="s">
        <v>116</v>
      </c>
      <c r="P208" s="4" t="s">
        <v>271</v>
      </c>
      <c r="Q208" s="4" t="s">
        <v>459</v>
      </c>
      <c r="R208" s="4" t="s">
        <v>53</v>
      </c>
      <c r="S208" s="4" t="s">
        <v>411</v>
      </c>
      <c r="T208" s="4" t="s">
        <v>55</v>
      </c>
      <c r="U208" s="4" t="s">
        <v>56</v>
      </c>
      <c r="V208" s="4" t="s">
        <v>71</v>
      </c>
      <c r="W208" s="4">
        <v>8.4954E8</v>
      </c>
      <c r="X208" s="4" t="s">
        <v>309</v>
      </c>
      <c r="Y208" s="4" t="s">
        <v>1322</v>
      </c>
      <c r="Z208" s="4" t="s">
        <v>60</v>
      </c>
      <c r="AA208" s="4" t="s">
        <v>61</v>
      </c>
      <c r="AB208" s="4" t="s">
        <v>309</v>
      </c>
      <c r="AC208" s="4" t="s">
        <v>1323</v>
      </c>
      <c r="AD208" s="3" t="s">
        <v>1324</v>
      </c>
      <c r="AE208" s="7">
        <v>12.5</v>
      </c>
      <c r="AF208" s="12"/>
      <c r="AG208" s="4" t="str">
        <f t="shared" si="1"/>
        <v/>
      </c>
      <c r="AH208" s="8" t="s">
        <v>140</v>
      </c>
      <c r="AI208" s="4" t="s">
        <v>1325</v>
      </c>
      <c r="AJ208" s="7">
        <f>VLOOKUP(D208,'slb RAW'!$E$2:$AF$293,9)</f>
        <v>3.5</v>
      </c>
      <c r="AK208" s="4">
        <f>VLOOKUP(D208,'slb RAW'!$E$2:$AE$293,27)</f>
        <v>3.678</v>
      </c>
      <c r="AL208" s="4" t="str">
        <f>VLOOKUP(C208,'Refinitiv SLB'!F208:S385,14)</f>
        <v>#N/A</v>
      </c>
      <c r="AM208" s="4">
        <f t="shared" si="2"/>
        <v>3.678</v>
      </c>
      <c r="AN208" s="9" t="str">
        <f t="shared" si="3"/>
        <v>VZ Secured Financing BVCALLABLEFIXEDEURSecured</v>
      </c>
      <c r="AO208" s="7" t="b">
        <f>ISNUMBER( IFERROR(VLOOKUP(A208,Pairs!$E$2:$E$57,1,FALSE),FALSE))</f>
        <v>0</v>
      </c>
      <c r="AP208" s="7"/>
      <c r="AQ208" s="7"/>
    </row>
    <row r="209" ht="15.75" customHeight="1">
      <c r="A209" s="3">
        <v>260.0</v>
      </c>
      <c r="B209" s="4" t="s">
        <v>1317</v>
      </c>
      <c r="C209" s="4" t="str">
        <f>VLOOKUP(D209,'slb RAW'!$E:$F,2)</f>
        <v>USN9T19KAA74</v>
      </c>
      <c r="D209" s="4" t="s">
        <v>1328</v>
      </c>
      <c r="E209" s="4" t="s">
        <v>1329</v>
      </c>
      <c r="F209" s="4" t="s">
        <v>1320</v>
      </c>
      <c r="G209" s="4" t="s">
        <v>367</v>
      </c>
      <c r="H209" s="4" t="s">
        <v>367</v>
      </c>
      <c r="I209" s="4" t="s">
        <v>367</v>
      </c>
      <c r="J209" s="4">
        <v>5.0</v>
      </c>
      <c r="K209" s="4" t="s">
        <v>1321</v>
      </c>
      <c r="L209" s="4" t="s">
        <v>663</v>
      </c>
      <c r="M209" s="4">
        <v>5.125</v>
      </c>
      <c r="N209" s="4" t="s">
        <v>115</v>
      </c>
      <c r="O209" s="4" t="s">
        <v>116</v>
      </c>
      <c r="P209" s="4" t="s">
        <v>1330</v>
      </c>
      <c r="Q209" s="4" t="s">
        <v>459</v>
      </c>
      <c r="R209" s="4" t="s">
        <v>263</v>
      </c>
      <c r="S209" s="4" t="s">
        <v>411</v>
      </c>
      <c r="T209" s="4" t="s">
        <v>55</v>
      </c>
      <c r="U209" s="4" t="s">
        <v>56</v>
      </c>
      <c r="V209" s="4" t="s">
        <v>71</v>
      </c>
      <c r="W209" s="4">
        <v>1.525E9</v>
      </c>
      <c r="X209" s="4" t="s">
        <v>309</v>
      </c>
      <c r="Y209" s="4" t="s">
        <v>1322</v>
      </c>
      <c r="Z209" s="4" t="s">
        <v>60</v>
      </c>
      <c r="AA209" s="4" t="s">
        <v>61</v>
      </c>
      <c r="AB209" s="4" t="s">
        <v>309</v>
      </c>
      <c r="AC209" s="4" t="s">
        <v>1323</v>
      </c>
      <c r="AD209" s="3" t="s">
        <v>1324</v>
      </c>
      <c r="AE209" s="7">
        <v>12.5</v>
      </c>
      <c r="AF209" s="12"/>
      <c r="AG209" s="4" t="str">
        <f t="shared" si="1"/>
        <v/>
      </c>
      <c r="AH209" s="8" t="s">
        <v>140</v>
      </c>
      <c r="AI209" s="4" t="s">
        <v>1331</v>
      </c>
      <c r="AJ209" s="7">
        <f>VLOOKUP(D209,'slb RAW'!$E$2:$AF$293,9)</f>
        <v>5.125</v>
      </c>
      <c r="AK209" s="4">
        <f>VLOOKUP(D209,'slb RAW'!$E$2:$AE$293,27)</f>
        <v>5.107</v>
      </c>
      <c r="AL209" s="4" t="str">
        <f>VLOOKUP(C209,'Refinitiv SLB'!F209:S386,14)</f>
        <v>#N/A</v>
      </c>
      <c r="AM209" s="4">
        <f t="shared" si="2"/>
        <v>5.107</v>
      </c>
      <c r="AN209" s="9" t="str">
        <f t="shared" si="3"/>
        <v>VZ Secured Financing BVCALLABLEFIXEDUSDSecured</v>
      </c>
      <c r="AO209" s="7" t="b">
        <f>ISNUMBER( IFERROR(VLOOKUP(A209,Pairs!$E$2:$E$57,1,FALSE),FALSE))</f>
        <v>0</v>
      </c>
      <c r="AP209" s="7"/>
      <c r="AQ209" s="7"/>
    </row>
    <row r="210" ht="15.75" customHeight="1">
      <c r="A210" s="3">
        <v>258.0</v>
      </c>
      <c r="B210" s="4" t="s">
        <v>1317</v>
      </c>
      <c r="C210" s="4" t="str">
        <f>VLOOKUP(D210,'slb RAW'!$E:$F,2)</f>
        <v>US91845AAA34</v>
      </c>
      <c r="D210" s="4" t="s">
        <v>1332</v>
      </c>
      <c r="E210" s="4" t="s">
        <v>1333</v>
      </c>
      <c r="F210" s="4" t="s">
        <v>1320</v>
      </c>
      <c r="G210" s="4" t="s">
        <v>367</v>
      </c>
      <c r="H210" s="4" t="s">
        <v>367</v>
      </c>
      <c r="I210" s="4" t="s">
        <v>367</v>
      </c>
      <c r="J210" s="4">
        <v>5.0</v>
      </c>
      <c r="K210" s="4" t="s">
        <v>1321</v>
      </c>
      <c r="L210" s="4" t="s">
        <v>663</v>
      </c>
      <c r="M210" s="4">
        <v>5.125</v>
      </c>
      <c r="N210" s="4" t="s">
        <v>115</v>
      </c>
      <c r="O210" s="4" t="s">
        <v>116</v>
      </c>
      <c r="P210" s="4" t="s">
        <v>1334</v>
      </c>
      <c r="Q210" s="4" t="s">
        <v>459</v>
      </c>
      <c r="R210" s="4" t="s">
        <v>263</v>
      </c>
      <c r="S210" s="4" t="s">
        <v>411</v>
      </c>
      <c r="T210" s="4" t="s">
        <v>55</v>
      </c>
      <c r="U210" s="4" t="s">
        <v>56</v>
      </c>
      <c r="V210" s="4" t="s">
        <v>71</v>
      </c>
      <c r="W210" s="4">
        <v>1.525E9</v>
      </c>
      <c r="X210" s="4" t="s">
        <v>309</v>
      </c>
      <c r="Y210" s="4" t="s">
        <v>1322</v>
      </c>
      <c r="Z210" s="4" t="s">
        <v>60</v>
      </c>
      <c r="AA210" s="4" t="s">
        <v>61</v>
      </c>
      <c r="AB210" s="4" t="s">
        <v>309</v>
      </c>
      <c r="AC210" s="4" t="s">
        <v>1323</v>
      </c>
      <c r="AD210" s="3" t="s">
        <v>1324</v>
      </c>
      <c r="AE210" s="7">
        <v>12.5</v>
      </c>
      <c r="AF210" s="12"/>
      <c r="AG210" s="4" t="str">
        <f t="shared" si="1"/>
        <v/>
      </c>
      <c r="AH210" s="8" t="s">
        <v>140</v>
      </c>
      <c r="AI210" s="4" t="s">
        <v>1335</v>
      </c>
      <c r="AJ210" s="7">
        <f>VLOOKUP(D210,'slb RAW'!$E$2:$AF$293,9)</f>
        <v>5.125</v>
      </c>
      <c r="AK210" s="4">
        <f>VLOOKUP(D210,'slb RAW'!$E$2:$AE$293,27)</f>
        <v>5.138</v>
      </c>
      <c r="AL210" s="4" t="str">
        <f>VLOOKUP(C210,'Refinitiv SLB'!F210:S387,14)</f>
        <v>#N/A</v>
      </c>
      <c r="AM210" s="4">
        <f t="shared" si="2"/>
        <v>5.138</v>
      </c>
      <c r="AN210" s="9" t="str">
        <f t="shared" si="3"/>
        <v>VZ Secured Financing BVCALLABLEFIXEDUSDSecured</v>
      </c>
      <c r="AO210" s="7" t="b">
        <f>ISNUMBER( IFERROR(VLOOKUP(A210,Pairs!$E$2:$E$57,1,FALSE),FALSE))</f>
        <v>0</v>
      </c>
      <c r="AP210" s="7"/>
      <c r="AQ210" s="7"/>
    </row>
    <row r="211" ht="15.75" customHeight="1">
      <c r="A211" s="3">
        <v>35.0</v>
      </c>
      <c r="B211" s="4" t="s">
        <v>1336</v>
      </c>
      <c r="C211" s="4" t="str">
        <f>VLOOKUP(D211,'slb RAW'!$E:$F,2)</f>
        <v>XS2432162654</v>
      </c>
      <c r="D211" s="4" t="s">
        <v>1337</v>
      </c>
      <c r="E211" s="4" t="s">
        <v>1338</v>
      </c>
      <c r="F211" s="4" t="s">
        <v>1339</v>
      </c>
      <c r="G211" s="4" t="s">
        <v>170</v>
      </c>
      <c r="H211" s="4" t="s">
        <v>170</v>
      </c>
      <c r="I211" s="4" t="s">
        <v>1340</v>
      </c>
      <c r="J211" s="4">
        <v>1.75</v>
      </c>
      <c r="K211" s="4" t="s">
        <v>1341</v>
      </c>
      <c r="L211" s="4" t="s">
        <v>1342</v>
      </c>
      <c r="M211" s="4">
        <v>2.017</v>
      </c>
      <c r="N211" s="4" t="s">
        <v>115</v>
      </c>
      <c r="O211" s="4" t="s">
        <v>116</v>
      </c>
      <c r="P211" s="4" t="s">
        <v>226</v>
      </c>
      <c r="Q211" s="4" t="s">
        <v>52</v>
      </c>
      <c r="R211" s="4" t="s">
        <v>53</v>
      </c>
      <c r="S211" s="4" t="s">
        <v>175</v>
      </c>
      <c r="T211" s="4" t="s">
        <v>55</v>
      </c>
      <c r="U211" s="4" t="s">
        <v>56</v>
      </c>
      <c r="V211" s="4" t="s">
        <v>57</v>
      </c>
      <c r="W211" s="4">
        <v>7.98147E8</v>
      </c>
      <c r="X211" s="4" t="s">
        <v>485</v>
      </c>
      <c r="Y211" s="4" t="s">
        <v>599</v>
      </c>
      <c r="Z211" s="4" t="s">
        <v>60</v>
      </c>
      <c r="AA211" s="4" t="s">
        <v>487</v>
      </c>
      <c r="AB211" s="4" t="s">
        <v>1152</v>
      </c>
      <c r="AC211" s="4" t="s">
        <v>1152</v>
      </c>
      <c r="AD211" s="3" t="s">
        <v>1343</v>
      </c>
      <c r="AE211" s="7">
        <v>25.0</v>
      </c>
      <c r="AF211" s="12"/>
      <c r="AG211" s="4" t="str">
        <f t="shared" si="1"/>
        <v/>
      </c>
      <c r="AH211" s="8" t="s">
        <v>125</v>
      </c>
      <c r="AI211" s="4" t="s">
        <v>1344</v>
      </c>
      <c r="AJ211" s="7">
        <f>VLOOKUP(D211,'slb RAW'!$E$2:$AF$293,9)</f>
        <v>2.017</v>
      </c>
      <c r="AK211" s="4">
        <f>VLOOKUP(D211,'slb RAW'!$E$2:$AE$293,27)</f>
        <v>2.021</v>
      </c>
      <c r="AL211" s="4" t="str">
        <f>VLOOKUP(C211,'Refinitiv SLB'!F211:S388,14)</f>
        <v>#N/A</v>
      </c>
      <c r="AM211" s="4">
        <f t="shared" si="2"/>
        <v>2.021</v>
      </c>
      <c r="AN211" s="9" t="str">
        <f t="shared" si="3"/>
        <v>CPI Property Group SACALLABLEFIXEDEURSr Unsecured</v>
      </c>
      <c r="AO211" s="7" t="b">
        <f>ISNUMBER( IFERROR(VLOOKUP(A211,Pairs!$E$2:$E$57,1,FALSE),FALSE))</f>
        <v>1</v>
      </c>
      <c r="AP211" s="7"/>
      <c r="AQ211" s="7"/>
    </row>
    <row r="212" ht="15.75" customHeight="1">
      <c r="A212" s="3">
        <v>79.0</v>
      </c>
      <c r="B212" s="4" t="s">
        <v>642</v>
      </c>
      <c r="C212" s="4" t="str">
        <f>VLOOKUP(D212,'slb RAW'!$E:$F,2)</f>
        <v>XS2432293673</v>
      </c>
      <c r="D212" s="4" t="s">
        <v>1345</v>
      </c>
      <c r="E212" s="4" t="s">
        <v>1346</v>
      </c>
      <c r="F212" s="4" t="s">
        <v>645</v>
      </c>
      <c r="G212" s="4" t="s">
        <v>367</v>
      </c>
      <c r="H212" s="4" t="s">
        <v>367</v>
      </c>
      <c r="I212" s="4" t="s">
        <v>200</v>
      </c>
      <c r="J212" s="4">
        <v>0.25</v>
      </c>
      <c r="K212" s="4" t="s">
        <v>1347</v>
      </c>
      <c r="L212" s="4" t="s">
        <v>1348</v>
      </c>
      <c r="M212" s="11">
        <v>0.2773</v>
      </c>
      <c r="N212" s="4" t="s">
        <v>115</v>
      </c>
      <c r="O212" s="4" t="s">
        <v>116</v>
      </c>
      <c r="P212" s="4" t="s">
        <v>174</v>
      </c>
      <c r="Q212" s="4" t="s">
        <v>52</v>
      </c>
      <c r="R212" s="4" t="s">
        <v>53</v>
      </c>
      <c r="S212" s="4" t="s">
        <v>620</v>
      </c>
      <c r="T212" s="4" t="s">
        <v>55</v>
      </c>
      <c r="U212" s="4" t="s">
        <v>56</v>
      </c>
      <c r="V212" s="4" t="s">
        <v>57</v>
      </c>
      <c r="W212" s="4">
        <v>1.426475E9</v>
      </c>
      <c r="X212" s="4" t="s">
        <v>120</v>
      </c>
      <c r="Y212" s="4" t="s">
        <v>120</v>
      </c>
      <c r="Z212" s="4" t="s">
        <v>60</v>
      </c>
      <c r="AA212" s="4" t="s">
        <v>121</v>
      </c>
      <c r="AB212" s="4" t="s">
        <v>122</v>
      </c>
      <c r="AC212" s="4" t="s">
        <v>122</v>
      </c>
      <c r="AD212" s="3" t="s">
        <v>786</v>
      </c>
      <c r="AE212" s="7">
        <v>25.0</v>
      </c>
      <c r="AF212" s="12"/>
      <c r="AG212" s="4" t="str">
        <f t="shared" si="1"/>
        <v/>
      </c>
      <c r="AH212" s="8" t="s">
        <v>125</v>
      </c>
      <c r="AI212" s="4" t="s">
        <v>1349</v>
      </c>
      <c r="AJ212" s="7" t="str">
        <f>VLOOKUP(D212,'slb RAW'!$E$2:$AF$293,9)</f>
        <v>#N/A N/A</v>
      </c>
      <c r="AK212" s="4">
        <f>VLOOKUP(D212,'slb RAW'!$E$2:$AE$293,27)</f>
        <v>0.302</v>
      </c>
      <c r="AL212" s="4" t="str">
        <f>VLOOKUP(C212,'Refinitiv SLB'!F212:S389,14)</f>
        <v>#N/A</v>
      </c>
      <c r="AM212" s="4">
        <f t="shared" si="2"/>
        <v>0.302</v>
      </c>
      <c r="AN212" s="9" t="str">
        <f t="shared" si="3"/>
        <v>Enel Finance International NVCALLABLEFIXEDEURSr Unsecured</v>
      </c>
      <c r="AO212" s="7" t="b">
        <f>ISNUMBER( IFERROR(VLOOKUP(A212,Pairs!$E$2:$E$57,1,FALSE),FALSE))</f>
        <v>0</v>
      </c>
      <c r="AP212" s="7"/>
      <c r="AQ212" s="7"/>
    </row>
    <row r="213" ht="15.75" customHeight="1">
      <c r="A213" s="3">
        <v>77.0</v>
      </c>
      <c r="B213" s="4" t="s">
        <v>642</v>
      </c>
      <c r="C213" s="4" t="str">
        <f>VLOOKUP(D213,'slb RAW'!$E:$F,2)</f>
        <v>XS2432293756</v>
      </c>
      <c r="D213" s="4" t="s">
        <v>1350</v>
      </c>
      <c r="E213" s="4" t="s">
        <v>1351</v>
      </c>
      <c r="F213" s="4" t="s">
        <v>645</v>
      </c>
      <c r="G213" s="4" t="s">
        <v>367</v>
      </c>
      <c r="H213" s="4" t="s">
        <v>367</v>
      </c>
      <c r="I213" s="4" t="s">
        <v>200</v>
      </c>
      <c r="J213" s="4">
        <v>0.875</v>
      </c>
      <c r="K213" s="4" t="s">
        <v>1347</v>
      </c>
      <c r="L213" s="4" t="s">
        <v>1352</v>
      </c>
      <c r="M213" s="4">
        <v>1.027</v>
      </c>
      <c r="N213" s="4" t="s">
        <v>115</v>
      </c>
      <c r="O213" s="4" t="s">
        <v>116</v>
      </c>
      <c r="P213" s="4" t="s">
        <v>1353</v>
      </c>
      <c r="Q213" s="4" t="s">
        <v>52</v>
      </c>
      <c r="R213" s="4" t="s">
        <v>53</v>
      </c>
      <c r="S213" s="4" t="s">
        <v>620</v>
      </c>
      <c r="T213" s="4" t="s">
        <v>55</v>
      </c>
      <c r="U213" s="4" t="s">
        <v>56</v>
      </c>
      <c r="V213" s="4" t="s">
        <v>57</v>
      </c>
      <c r="W213" s="4">
        <v>8.55885E8</v>
      </c>
      <c r="X213" s="4" t="s">
        <v>120</v>
      </c>
      <c r="Y213" s="4" t="s">
        <v>120</v>
      </c>
      <c r="Z213" s="4" t="s">
        <v>60</v>
      </c>
      <c r="AA213" s="4" t="s">
        <v>121</v>
      </c>
      <c r="AB213" s="4" t="s">
        <v>122</v>
      </c>
      <c r="AC213" s="4" t="s">
        <v>122</v>
      </c>
      <c r="AD213" s="3" t="s">
        <v>1354</v>
      </c>
      <c r="AE213" s="7">
        <v>25.0</v>
      </c>
      <c r="AF213" s="12"/>
      <c r="AG213" s="4" t="str">
        <f t="shared" si="1"/>
        <v/>
      </c>
      <c r="AH213" s="8" t="s">
        <v>125</v>
      </c>
      <c r="AI213" s="4" t="s">
        <v>1355</v>
      </c>
      <c r="AJ213" s="7">
        <f>VLOOKUP(D213,'slb RAW'!$E$2:$AF$293,9)</f>
        <v>1.027</v>
      </c>
      <c r="AK213" s="4">
        <f>VLOOKUP(D213,'slb RAW'!$E$2:$AE$293,27)</f>
        <v>1.032</v>
      </c>
      <c r="AL213" s="4" t="str">
        <f>VLOOKUP(C213,'Refinitiv SLB'!F213:S390,14)</f>
        <v>#N/A</v>
      </c>
      <c r="AM213" s="4">
        <f t="shared" si="2"/>
        <v>1.032</v>
      </c>
      <c r="AN213" s="9" t="str">
        <f t="shared" si="3"/>
        <v>Enel Finance International NVCALLABLEFIXEDEURSr Unsecured</v>
      </c>
      <c r="AO213" s="7" t="b">
        <f>ISNUMBER( IFERROR(VLOOKUP(A213,Pairs!$E$2:$E$57,1,FALSE),FALSE))</f>
        <v>0</v>
      </c>
      <c r="AP213" s="7"/>
      <c r="AQ213" s="7"/>
    </row>
    <row r="214" ht="15.75" customHeight="1">
      <c r="A214" s="3">
        <v>78.0</v>
      </c>
      <c r="B214" s="4" t="s">
        <v>642</v>
      </c>
      <c r="C214" s="4" t="str">
        <f>VLOOKUP(D214,'slb RAW'!$E:$F,2)</f>
        <v>XS2432293913</v>
      </c>
      <c r="D214" s="4" t="s">
        <v>1356</v>
      </c>
      <c r="E214" s="4" t="s">
        <v>1357</v>
      </c>
      <c r="F214" s="4" t="s">
        <v>645</v>
      </c>
      <c r="G214" s="4" t="s">
        <v>367</v>
      </c>
      <c r="H214" s="4" t="s">
        <v>367</v>
      </c>
      <c r="I214" s="4" t="s">
        <v>200</v>
      </c>
      <c r="J214" s="4">
        <v>1.25</v>
      </c>
      <c r="K214" s="4" t="s">
        <v>1347</v>
      </c>
      <c r="L214" s="4" t="s">
        <v>1358</v>
      </c>
      <c r="M214" s="4">
        <v>1.306</v>
      </c>
      <c r="N214" s="4" t="s">
        <v>115</v>
      </c>
      <c r="O214" s="4" t="s">
        <v>116</v>
      </c>
      <c r="P214" s="4" t="s">
        <v>1353</v>
      </c>
      <c r="Q214" s="4" t="s">
        <v>52</v>
      </c>
      <c r="R214" s="4" t="s">
        <v>53</v>
      </c>
      <c r="S214" s="4" t="s">
        <v>620</v>
      </c>
      <c r="T214" s="4" t="s">
        <v>55</v>
      </c>
      <c r="U214" s="4" t="s">
        <v>56</v>
      </c>
      <c r="V214" s="4" t="s">
        <v>57</v>
      </c>
      <c r="W214" s="4">
        <v>8.55885E8</v>
      </c>
      <c r="X214" s="4" t="s">
        <v>120</v>
      </c>
      <c r="Y214" s="4" t="s">
        <v>120</v>
      </c>
      <c r="Z214" s="4" t="s">
        <v>60</v>
      </c>
      <c r="AA214" s="4" t="s">
        <v>121</v>
      </c>
      <c r="AB214" s="4" t="s">
        <v>122</v>
      </c>
      <c r="AC214" s="4" t="s">
        <v>122</v>
      </c>
      <c r="AD214" s="3" t="s">
        <v>915</v>
      </c>
      <c r="AE214" s="7">
        <v>25.0</v>
      </c>
      <c r="AF214" s="12"/>
      <c r="AG214" s="4" t="str">
        <f t="shared" si="1"/>
        <v/>
      </c>
      <c r="AH214" s="8" t="s">
        <v>125</v>
      </c>
      <c r="AI214" s="4" t="s">
        <v>1359</v>
      </c>
      <c r="AJ214" s="7">
        <f>VLOOKUP(D214,'slb RAW'!$E$2:$AF$293,9)</f>
        <v>1.306</v>
      </c>
      <c r="AK214" s="4">
        <f>VLOOKUP(D214,'slb RAW'!$E$2:$AE$293,27)</f>
        <v>1.346</v>
      </c>
      <c r="AL214" s="4" t="str">
        <f>VLOOKUP(C214,'Refinitiv SLB'!F214:S391,14)</f>
        <v>#N/A</v>
      </c>
      <c r="AM214" s="4">
        <f t="shared" si="2"/>
        <v>1.346</v>
      </c>
      <c r="AN214" s="9" t="str">
        <f t="shared" si="3"/>
        <v>Enel Finance International NVCALLABLEFIXEDEURSr Unsecured</v>
      </c>
      <c r="AO214" s="7" t="b">
        <f>ISNUMBER( IFERROR(VLOOKUP(A214,Pairs!$E$2:$E$57,1,FALSE),FALSE))</f>
        <v>0</v>
      </c>
      <c r="AP214" s="7"/>
      <c r="AQ214" s="7"/>
    </row>
    <row r="215" ht="15.75" customHeight="1">
      <c r="A215" s="3">
        <v>240.0</v>
      </c>
      <c r="B215" s="4" t="s">
        <v>1360</v>
      </c>
      <c r="C215" s="4" t="str">
        <f>VLOOKUP(D215,'slb RAW'!$E:$F,2)</f>
        <v>XS2433211310</v>
      </c>
      <c r="D215" s="4" t="s">
        <v>1361</v>
      </c>
      <c r="E215" s="4" t="s">
        <v>1362</v>
      </c>
      <c r="F215" s="4" t="s">
        <v>1363</v>
      </c>
      <c r="G215" s="4" t="s">
        <v>200</v>
      </c>
      <c r="H215" s="4" t="s">
        <v>200</v>
      </c>
      <c r="I215" s="4" t="s">
        <v>200</v>
      </c>
      <c r="J215" s="4">
        <v>0.75</v>
      </c>
      <c r="K215" s="4" t="s">
        <v>1321</v>
      </c>
      <c r="L215" s="4" t="s">
        <v>1364</v>
      </c>
      <c r="M215" s="11">
        <v>1.2725</v>
      </c>
      <c r="N215" s="4" t="s">
        <v>115</v>
      </c>
      <c r="O215" s="4" t="s">
        <v>116</v>
      </c>
      <c r="P215" s="4" t="s">
        <v>226</v>
      </c>
      <c r="Q215" s="4" t="s">
        <v>52</v>
      </c>
      <c r="R215" s="4" t="s">
        <v>53</v>
      </c>
      <c r="S215" s="4" t="s">
        <v>175</v>
      </c>
      <c r="T215" s="4" t="s">
        <v>117</v>
      </c>
      <c r="U215" s="4" t="s">
        <v>56</v>
      </c>
      <c r="V215" s="4" t="s">
        <v>57</v>
      </c>
      <c r="W215" s="4">
        <v>9.62812E8</v>
      </c>
      <c r="X215" s="4" t="s">
        <v>120</v>
      </c>
      <c r="Y215" s="4" t="s">
        <v>120</v>
      </c>
      <c r="Z215" s="4" t="s">
        <v>60</v>
      </c>
      <c r="AA215" s="4" t="s">
        <v>121</v>
      </c>
      <c r="AB215" s="4" t="s">
        <v>1365</v>
      </c>
      <c r="AC215" s="4" t="s">
        <v>1365</v>
      </c>
      <c r="AD215" s="3" t="s">
        <v>1366</v>
      </c>
      <c r="AE215" s="7">
        <v>25.0</v>
      </c>
      <c r="AF215" s="12"/>
      <c r="AG215" s="4" t="str">
        <f t="shared" si="1"/>
        <v/>
      </c>
      <c r="AH215" s="8" t="s">
        <v>125</v>
      </c>
      <c r="AI215" s="4" t="s">
        <v>1367</v>
      </c>
      <c r="AJ215" s="7" t="str">
        <f>VLOOKUP(D215,'slb RAW'!$E$2:$AF$293,9)</f>
        <v>#N/A N/A</v>
      </c>
      <c r="AK215" s="4">
        <f>VLOOKUP(D215,'slb RAW'!$E$2:$AE$293,27)</f>
        <v>0.845</v>
      </c>
      <c r="AL215" s="4" t="str">
        <f>VLOOKUP(C215,'Refinitiv SLB'!F215:S392,14)</f>
        <v>#N/A</v>
      </c>
      <c r="AM215" s="4">
        <f t="shared" si="2"/>
        <v>0.845</v>
      </c>
      <c r="AN215" s="9" t="str">
        <f t="shared" si="3"/>
        <v>Snam SpACALLABLEFIXEDEURSr Unsecured</v>
      </c>
      <c r="AO215" s="7" t="b">
        <f>ISNUMBER( IFERROR(VLOOKUP(A215,Pairs!$E$2:$E$57,1,FALSE),FALSE))</f>
        <v>1</v>
      </c>
      <c r="AP215" s="7"/>
      <c r="AQ215" s="7"/>
    </row>
    <row r="216" ht="15.75" customHeight="1">
      <c r="A216" s="3">
        <v>241.0</v>
      </c>
      <c r="B216" s="4" t="s">
        <v>1360</v>
      </c>
      <c r="C216" s="4" t="str">
        <f>VLOOKUP(D216,'slb RAW'!$E:$F,2)</f>
        <v>XS2433226854</v>
      </c>
      <c r="D216" s="4" t="s">
        <v>1368</v>
      </c>
      <c r="E216" s="4" t="s">
        <v>1369</v>
      </c>
      <c r="F216" s="4" t="s">
        <v>1363</v>
      </c>
      <c r="G216" s="4" t="s">
        <v>200</v>
      </c>
      <c r="H216" s="4" t="s">
        <v>200</v>
      </c>
      <c r="I216" s="4" t="s">
        <v>200</v>
      </c>
      <c r="J216" s="4">
        <v>1.25</v>
      </c>
      <c r="K216" s="4" t="s">
        <v>1321</v>
      </c>
      <c r="L216" s="4" t="s">
        <v>1370</v>
      </c>
      <c r="M216" s="4">
        <v>1.2710000000000001</v>
      </c>
      <c r="N216" s="4" t="s">
        <v>115</v>
      </c>
      <c r="O216" s="4" t="s">
        <v>116</v>
      </c>
      <c r="P216" s="4" t="s">
        <v>226</v>
      </c>
      <c r="Q216" s="4" t="s">
        <v>52</v>
      </c>
      <c r="R216" s="4" t="s">
        <v>53</v>
      </c>
      <c r="S216" s="4" t="s">
        <v>175</v>
      </c>
      <c r="T216" s="4" t="s">
        <v>117</v>
      </c>
      <c r="U216" s="4" t="s">
        <v>56</v>
      </c>
      <c r="V216" s="4" t="s">
        <v>57</v>
      </c>
      <c r="W216" s="4">
        <v>7.36268E8</v>
      </c>
      <c r="X216" s="4" t="s">
        <v>120</v>
      </c>
      <c r="Y216" s="4" t="s">
        <v>120</v>
      </c>
      <c r="Z216" s="4" t="s">
        <v>60</v>
      </c>
      <c r="AA216" s="4" t="s">
        <v>121</v>
      </c>
      <c r="AB216" s="4" t="s">
        <v>1365</v>
      </c>
      <c r="AC216" s="4" t="s">
        <v>1365</v>
      </c>
      <c r="AD216" s="3" t="s">
        <v>1371</v>
      </c>
      <c r="AE216" s="7">
        <v>25.0</v>
      </c>
      <c r="AF216" s="12"/>
      <c r="AG216" s="4" t="str">
        <f t="shared" si="1"/>
        <v/>
      </c>
      <c r="AH216" s="8" t="s">
        <v>125</v>
      </c>
      <c r="AI216" s="4" t="s">
        <v>1372</v>
      </c>
      <c r="AJ216" s="7">
        <f>VLOOKUP(D216,'slb RAW'!$E$2:$AF$293,9)</f>
        <v>1.271</v>
      </c>
      <c r="AK216" s="4">
        <f>VLOOKUP(D216,'slb RAW'!$E$2:$AE$293,27)</f>
        <v>1.277</v>
      </c>
      <c r="AL216" s="4" t="str">
        <f>VLOOKUP(C216,'Refinitiv SLB'!F216:S393,14)</f>
        <v>#N/A</v>
      </c>
      <c r="AM216" s="4">
        <f t="shared" si="2"/>
        <v>1.277</v>
      </c>
      <c r="AN216" s="9" t="str">
        <f t="shared" si="3"/>
        <v>Snam SpACALLABLEFIXEDEURSr Unsecured</v>
      </c>
      <c r="AO216" s="7" t="b">
        <f>ISNUMBER( IFERROR(VLOOKUP(A216,Pairs!$E$2:$E$57,1,FALSE),FALSE))</f>
        <v>1</v>
      </c>
      <c r="AP216" s="7"/>
      <c r="AQ216" s="7"/>
    </row>
    <row r="217" ht="15.75" customHeight="1">
      <c r="A217" s="3">
        <v>289.0</v>
      </c>
      <c r="B217" s="4" t="s">
        <v>1373</v>
      </c>
      <c r="C217" s="4" t="str">
        <f>VLOOKUP(D217,'slb RAW'!$E:$F,2)</f>
        <v>#N/A Field Not Applicable</v>
      </c>
      <c r="D217" s="4" t="s">
        <v>1374</v>
      </c>
      <c r="E217" s="4" t="s">
        <v>1375</v>
      </c>
      <c r="F217" s="4" t="s">
        <v>1376</v>
      </c>
      <c r="G217" s="4" t="s">
        <v>45</v>
      </c>
      <c r="H217" s="4" t="s">
        <v>45</v>
      </c>
      <c r="I217" s="4" t="s">
        <v>45</v>
      </c>
      <c r="J217" s="4">
        <v>0.0</v>
      </c>
      <c r="K217" s="4" t="s">
        <v>1377</v>
      </c>
      <c r="L217" s="4" t="s">
        <v>1378</v>
      </c>
      <c r="M217" s="10" t="s">
        <v>48</v>
      </c>
      <c r="N217" s="4" t="s">
        <v>49</v>
      </c>
      <c r="O217" s="4" t="s">
        <v>50</v>
      </c>
      <c r="P217" s="4" t="s">
        <v>1379</v>
      </c>
      <c r="Q217" s="4" t="s">
        <v>52</v>
      </c>
      <c r="R217" s="4" t="s">
        <v>53</v>
      </c>
      <c r="S217" s="4" t="s">
        <v>54</v>
      </c>
      <c r="T217" s="4" t="s">
        <v>55</v>
      </c>
      <c r="U217" s="4" t="s">
        <v>70</v>
      </c>
      <c r="V217" s="4" t="s">
        <v>71</v>
      </c>
      <c r="W217" s="4">
        <v>5.5833E8</v>
      </c>
      <c r="X217" s="4" t="s">
        <v>485</v>
      </c>
      <c r="Y217" s="4" t="s">
        <v>599</v>
      </c>
      <c r="Z217" s="4" t="s">
        <v>203</v>
      </c>
      <c r="AA217" s="4" t="s">
        <v>204</v>
      </c>
      <c r="AB217" s="4" t="s">
        <v>204</v>
      </c>
      <c r="AC217" s="4" t="s">
        <v>204</v>
      </c>
      <c r="AD217" s="3" t="s">
        <v>1380</v>
      </c>
      <c r="AE217" s="7">
        <v>1.5</v>
      </c>
      <c r="AF217" s="7">
        <v>1.5</v>
      </c>
      <c r="AG217" s="4" t="str">
        <f t="shared" si="1"/>
        <v>yes</v>
      </c>
      <c r="AH217" s="8" t="s">
        <v>612</v>
      </c>
      <c r="AI217" s="4" t="s">
        <v>1381</v>
      </c>
      <c r="AJ217" s="7" t="str">
        <f>VLOOKUP(D217,'slb RAW'!$E$2:$AF$293,9)</f>
        <v>#N/A N/A</v>
      </c>
      <c r="AK217" s="4" t="str">
        <f>VLOOKUP(D217,'slb RAW'!$E$2:$AE$293,27)</f>
        <v>#N/A N/A</v>
      </c>
      <c r="AL217" s="4" t="str">
        <f>VLOOKUP(C217,'Refinitiv SLB'!F217:S394,14)</f>
        <v>#N/A</v>
      </c>
      <c r="AM217" s="4" t="str">
        <f t="shared" si="2"/>
        <v>#N/A N/A</v>
      </c>
      <c r="AN217" s="9" t="str">
        <f t="shared" si="3"/>
        <v>degewo AGAT MATURITYFLOATINGEURSr Unsecured</v>
      </c>
      <c r="AO217" s="7" t="b">
        <f>ISNUMBER( IFERROR(VLOOKUP(A217,Pairs!$E$2:$E$57,1,FALSE),FALSE))</f>
        <v>0</v>
      </c>
      <c r="AP217" s="7"/>
      <c r="AQ217" s="7"/>
    </row>
    <row r="218" ht="15.75" customHeight="1">
      <c r="A218" s="3">
        <v>281.0</v>
      </c>
      <c r="B218" s="4" t="s">
        <v>1373</v>
      </c>
      <c r="C218" s="4" t="str">
        <f>VLOOKUP(D218,'slb RAW'!$E:$F,2)</f>
        <v>#N/A Field Not Applicable</v>
      </c>
      <c r="D218" s="4" t="s">
        <v>1382</v>
      </c>
      <c r="E218" s="4" t="s">
        <v>1383</v>
      </c>
      <c r="F218" s="4" t="s">
        <v>1376</v>
      </c>
      <c r="G218" s="4" t="s">
        <v>45</v>
      </c>
      <c r="H218" s="4" t="s">
        <v>45</v>
      </c>
      <c r="I218" s="4" t="s">
        <v>45</v>
      </c>
      <c r="J218" s="4">
        <v>0.0</v>
      </c>
      <c r="K218" s="4" t="s">
        <v>1377</v>
      </c>
      <c r="L218" s="4" t="s">
        <v>1384</v>
      </c>
      <c r="M218" s="10" t="s">
        <v>48</v>
      </c>
      <c r="N218" s="4" t="s">
        <v>49</v>
      </c>
      <c r="O218" s="4" t="s">
        <v>50</v>
      </c>
      <c r="P218" s="4" t="s">
        <v>1385</v>
      </c>
      <c r="Q218" s="4" t="s">
        <v>52</v>
      </c>
      <c r="R218" s="4" t="s">
        <v>53</v>
      </c>
      <c r="S218" s="4" t="s">
        <v>54</v>
      </c>
      <c r="T218" s="4" t="s">
        <v>55</v>
      </c>
      <c r="U218" s="4" t="s">
        <v>70</v>
      </c>
      <c r="V218" s="4" t="s">
        <v>71</v>
      </c>
      <c r="W218" s="4">
        <v>5.5833E8</v>
      </c>
      <c r="X218" s="4" t="s">
        <v>485</v>
      </c>
      <c r="Y218" s="4" t="s">
        <v>599</v>
      </c>
      <c r="Z218" s="4" t="s">
        <v>203</v>
      </c>
      <c r="AA218" s="4" t="s">
        <v>204</v>
      </c>
      <c r="AB218" s="4" t="s">
        <v>204</v>
      </c>
      <c r="AC218" s="4" t="s">
        <v>204</v>
      </c>
      <c r="AD218" s="3" t="s">
        <v>1380</v>
      </c>
      <c r="AE218" s="7">
        <v>1.5</v>
      </c>
      <c r="AF218" s="7">
        <v>1.5</v>
      </c>
      <c r="AG218" s="4" t="str">
        <f t="shared" si="1"/>
        <v>yes</v>
      </c>
      <c r="AH218" s="8" t="s">
        <v>612</v>
      </c>
      <c r="AI218" s="4" t="s">
        <v>1381</v>
      </c>
      <c r="AJ218" s="7" t="str">
        <f>VLOOKUP(D218,'slb RAW'!$E$2:$AF$293,9)</f>
        <v>#N/A N/A</v>
      </c>
      <c r="AK218" s="4" t="str">
        <f>VLOOKUP(D218,'slb RAW'!$E$2:$AE$293,27)</f>
        <v>#N/A N/A</v>
      </c>
      <c r="AL218" s="4" t="str">
        <f>VLOOKUP(C218,'Refinitiv SLB'!F218:S395,14)</f>
        <v>#N/A</v>
      </c>
      <c r="AM218" s="4" t="str">
        <f t="shared" si="2"/>
        <v>#N/A N/A</v>
      </c>
      <c r="AN218" s="9" t="str">
        <f t="shared" si="3"/>
        <v>degewo AGAT MATURITYFLOATINGEURSr Unsecured</v>
      </c>
      <c r="AO218" s="7" t="b">
        <f>ISNUMBER( IFERROR(VLOOKUP(A218,Pairs!$E$2:$E$57,1,FALSE),FALSE))</f>
        <v>0</v>
      </c>
      <c r="AP218" s="7"/>
      <c r="AQ218" s="7"/>
    </row>
    <row r="219" ht="15.75" customHeight="1">
      <c r="A219" s="3">
        <v>282.0</v>
      </c>
      <c r="B219" s="4" t="s">
        <v>1373</v>
      </c>
      <c r="C219" s="4" t="str">
        <f>VLOOKUP(D219,'slb RAW'!$E:$F,2)</f>
        <v>#N/A Field Not Applicable</v>
      </c>
      <c r="D219" s="4" t="s">
        <v>1386</v>
      </c>
      <c r="E219" s="4" t="s">
        <v>1387</v>
      </c>
      <c r="F219" s="4" t="s">
        <v>1376</v>
      </c>
      <c r="G219" s="4" t="s">
        <v>45</v>
      </c>
      <c r="H219" s="4" t="s">
        <v>45</v>
      </c>
      <c r="I219" s="4" t="s">
        <v>45</v>
      </c>
      <c r="J219" s="4">
        <v>0.0</v>
      </c>
      <c r="K219" s="4" t="s">
        <v>1377</v>
      </c>
      <c r="L219" s="4" t="s">
        <v>1388</v>
      </c>
      <c r="M219" s="10" t="s">
        <v>48</v>
      </c>
      <c r="N219" s="4" t="s">
        <v>49</v>
      </c>
      <c r="O219" s="4" t="s">
        <v>50</v>
      </c>
      <c r="P219" s="4" t="s">
        <v>1389</v>
      </c>
      <c r="Q219" s="4" t="s">
        <v>52</v>
      </c>
      <c r="R219" s="4" t="s">
        <v>53</v>
      </c>
      <c r="S219" s="4" t="s">
        <v>54</v>
      </c>
      <c r="T219" s="4" t="s">
        <v>55</v>
      </c>
      <c r="U219" s="4" t="s">
        <v>70</v>
      </c>
      <c r="V219" s="4" t="s">
        <v>71</v>
      </c>
      <c r="W219" s="4">
        <v>5.5833E8</v>
      </c>
      <c r="X219" s="4" t="s">
        <v>485</v>
      </c>
      <c r="Y219" s="4" t="s">
        <v>599</v>
      </c>
      <c r="Z219" s="4" t="s">
        <v>203</v>
      </c>
      <c r="AA219" s="4" t="s">
        <v>204</v>
      </c>
      <c r="AB219" s="4" t="s">
        <v>204</v>
      </c>
      <c r="AC219" s="4" t="s">
        <v>204</v>
      </c>
      <c r="AD219" s="3" t="s">
        <v>1380</v>
      </c>
      <c r="AE219" s="7">
        <v>1.5</v>
      </c>
      <c r="AF219" s="7">
        <v>1.5</v>
      </c>
      <c r="AG219" s="4" t="str">
        <f t="shared" si="1"/>
        <v>yes</v>
      </c>
      <c r="AH219" s="8" t="s">
        <v>612</v>
      </c>
      <c r="AI219" s="4" t="s">
        <v>1381</v>
      </c>
      <c r="AJ219" s="7" t="str">
        <f>VLOOKUP(D219,'slb RAW'!$E$2:$AF$293,9)</f>
        <v>#N/A N/A</v>
      </c>
      <c r="AK219" s="4" t="str">
        <f>VLOOKUP(D219,'slb RAW'!$E$2:$AE$293,27)</f>
        <v>#N/A N/A</v>
      </c>
      <c r="AL219" s="4" t="str">
        <f>VLOOKUP(C219,'Refinitiv SLB'!F219:S396,14)</f>
        <v>#N/A</v>
      </c>
      <c r="AM219" s="4" t="str">
        <f t="shared" si="2"/>
        <v>#N/A N/A</v>
      </c>
      <c r="AN219" s="9" t="str">
        <f t="shared" si="3"/>
        <v>degewo AGAT MATURITYFLOATINGEURSr Unsecured</v>
      </c>
      <c r="AO219" s="7" t="b">
        <f>ISNUMBER( IFERROR(VLOOKUP(A219,Pairs!$E$2:$E$57,1,FALSE),FALSE))</f>
        <v>0</v>
      </c>
      <c r="AP219" s="7"/>
      <c r="AQ219" s="7"/>
    </row>
    <row r="220" ht="15.75" customHeight="1">
      <c r="A220" s="3">
        <v>283.0</v>
      </c>
      <c r="B220" s="4" t="s">
        <v>1373</v>
      </c>
      <c r="C220" s="4" t="str">
        <f>VLOOKUP(D220,'slb RAW'!$E:$F,2)</f>
        <v>#N/A Field Not Applicable</v>
      </c>
      <c r="D220" s="4" t="s">
        <v>1390</v>
      </c>
      <c r="E220" s="4" t="s">
        <v>1391</v>
      </c>
      <c r="F220" s="4" t="s">
        <v>1376</v>
      </c>
      <c r="G220" s="4" t="s">
        <v>45</v>
      </c>
      <c r="H220" s="4" t="s">
        <v>45</v>
      </c>
      <c r="I220" s="4" t="s">
        <v>45</v>
      </c>
      <c r="J220" s="4">
        <v>0.0</v>
      </c>
      <c r="K220" s="4" t="s">
        <v>1377</v>
      </c>
      <c r="L220" s="4" t="s">
        <v>1392</v>
      </c>
      <c r="M220" s="10" t="s">
        <v>48</v>
      </c>
      <c r="N220" s="4" t="s">
        <v>49</v>
      </c>
      <c r="O220" s="4" t="s">
        <v>50</v>
      </c>
      <c r="P220" s="4" t="s">
        <v>1393</v>
      </c>
      <c r="Q220" s="4" t="s">
        <v>52</v>
      </c>
      <c r="R220" s="4" t="s">
        <v>53</v>
      </c>
      <c r="S220" s="4" t="s">
        <v>54</v>
      </c>
      <c r="T220" s="4" t="s">
        <v>55</v>
      </c>
      <c r="U220" s="4" t="s">
        <v>70</v>
      </c>
      <c r="V220" s="4" t="s">
        <v>71</v>
      </c>
      <c r="W220" s="4">
        <v>5.5833E8</v>
      </c>
      <c r="X220" s="4" t="s">
        <v>485</v>
      </c>
      <c r="Y220" s="4" t="s">
        <v>599</v>
      </c>
      <c r="Z220" s="4" t="s">
        <v>203</v>
      </c>
      <c r="AA220" s="4" t="s">
        <v>204</v>
      </c>
      <c r="AB220" s="4" t="s">
        <v>204</v>
      </c>
      <c r="AC220" s="4" t="s">
        <v>204</v>
      </c>
      <c r="AD220" s="3" t="s">
        <v>1380</v>
      </c>
      <c r="AE220" s="7">
        <v>1.5</v>
      </c>
      <c r="AF220" s="7">
        <v>1.5</v>
      </c>
      <c r="AG220" s="4" t="str">
        <f t="shared" si="1"/>
        <v>yes</v>
      </c>
      <c r="AH220" s="8" t="s">
        <v>612</v>
      </c>
      <c r="AI220" s="4" t="s">
        <v>1381</v>
      </c>
      <c r="AJ220" s="7" t="str">
        <f>VLOOKUP(D220,'slb RAW'!$E$2:$AF$293,9)</f>
        <v>#N/A N/A</v>
      </c>
      <c r="AK220" s="4" t="str">
        <f>VLOOKUP(D220,'slb RAW'!$E$2:$AE$293,27)</f>
        <v>#N/A N/A</v>
      </c>
      <c r="AL220" s="4" t="str">
        <f>VLOOKUP(C220,'Refinitiv SLB'!F220:S397,14)</f>
        <v>#N/A</v>
      </c>
      <c r="AM220" s="4" t="str">
        <f t="shared" si="2"/>
        <v>#N/A N/A</v>
      </c>
      <c r="AN220" s="9" t="str">
        <f t="shared" si="3"/>
        <v>degewo AGAT MATURITYFLOATINGEURSr Unsecured</v>
      </c>
      <c r="AO220" s="7" t="b">
        <f>ISNUMBER( IFERROR(VLOOKUP(A220,Pairs!$E$2:$E$57,1,FALSE),FALSE))</f>
        <v>0</v>
      </c>
      <c r="AP220" s="7"/>
      <c r="AQ220" s="7"/>
    </row>
    <row r="221" ht="15.75" customHeight="1">
      <c r="A221" s="3">
        <v>290.0</v>
      </c>
      <c r="B221" s="4" t="s">
        <v>1373</v>
      </c>
      <c r="C221" s="4" t="str">
        <f>VLOOKUP(D221,'slb RAW'!$E:$F,2)</f>
        <v>#N/A Field Not Applicable</v>
      </c>
      <c r="D221" s="4" t="s">
        <v>1394</v>
      </c>
      <c r="E221" s="4" t="s">
        <v>1395</v>
      </c>
      <c r="F221" s="4" t="s">
        <v>1376</v>
      </c>
      <c r="G221" s="4" t="s">
        <v>45</v>
      </c>
      <c r="H221" s="4" t="s">
        <v>45</v>
      </c>
      <c r="I221" s="4" t="s">
        <v>45</v>
      </c>
      <c r="J221" s="4">
        <v>0.0</v>
      </c>
      <c r="K221" s="4" t="s">
        <v>1377</v>
      </c>
      <c r="L221" s="4" t="s">
        <v>1396</v>
      </c>
      <c r="M221" s="10" t="s">
        <v>48</v>
      </c>
      <c r="N221" s="4" t="s">
        <v>49</v>
      </c>
      <c r="O221" s="4" t="s">
        <v>50</v>
      </c>
      <c r="P221" s="4" t="s">
        <v>1397</v>
      </c>
      <c r="Q221" s="4" t="s">
        <v>52</v>
      </c>
      <c r="R221" s="4" t="s">
        <v>53</v>
      </c>
      <c r="S221" s="4" t="s">
        <v>54</v>
      </c>
      <c r="T221" s="4" t="s">
        <v>55</v>
      </c>
      <c r="U221" s="4" t="s">
        <v>70</v>
      </c>
      <c r="V221" s="4" t="s">
        <v>71</v>
      </c>
      <c r="W221" s="4">
        <v>5.5833E8</v>
      </c>
      <c r="X221" s="4" t="s">
        <v>485</v>
      </c>
      <c r="Y221" s="4" t="s">
        <v>599</v>
      </c>
      <c r="Z221" s="4" t="s">
        <v>203</v>
      </c>
      <c r="AA221" s="4" t="s">
        <v>204</v>
      </c>
      <c r="AB221" s="4" t="s">
        <v>204</v>
      </c>
      <c r="AC221" s="4" t="s">
        <v>204</v>
      </c>
      <c r="AD221" s="3" t="s">
        <v>1380</v>
      </c>
      <c r="AE221" s="7">
        <v>1.5</v>
      </c>
      <c r="AF221" s="7">
        <v>1.5</v>
      </c>
      <c r="AG221" s="4" t="str">
        <f t="shared" si="1"/>
        <v>yes</v>
      </c>
      <c r="AH221" s="8" t="s">
        <v>612</v>
      </c>
      <c r="AI221" s="4" t="s">
        <v>1381</v>
      </c>
      <c r="AJ221" s="7" t="str">
        <f>VLOOKUP(D221,'slb RAW'!$E$2:$AF$293,9)</f>
        <v>#N/A N/A</v>
      </c>
      <c r="AK221" s="4" t="str">
        <f>VLOOKUP(D221,'slb RAW'!$E$2:$AE$293,27)</f>
        <v>#N/A N/A</v>
      </c>
      <c r="AL221" s="4" t="str">
        <f>VLOOKUP(C221,'Refinitiv SLB'!F221:S398,14)</f>
        <v>#N/A</v>
      </c>
      <c r="AM221" s="4" t="str">
        <f t="shared" si="2"/>
        <v>#N/A N/A</v>
      </c>
      <c r="AN221" s="9" t="str">
        <f t="shared" si="3"/>
        <v>degewo AGAT MATURITYFLOATINGEURSr Unsecured</v>
      </c>
      <c r="AO221" s="7" t="b">
        <f>ISNUMBER( IFERROR(VLOOKUP(A221,Pairs!$E$2:$E$57,1,FALSE),FALSE))</f>
        <v>0</v>
      </c>
      <c r="AP221" s="7"/>
      <c r="AQ221" s="7"/>
    </row>
    <row r="222" ht="15.75" customHeight="1">
      <c r="A222" s="3">
        <v>284.0</v>
      </c>
      <c r="B222" s="4" t="s">
        <v>1373</v>
      </c>
      <c r="C222" s="4" t="str">
        <f>VLOOKUP(D222,'slb RAW'!$E:$F,2)</f>
        <v>#N/A Field Not Applicable</v>
      </c>
      <c r="D222" s="4" t="s">
        <v>1398</v>
      </c>
      <c r="E222" s="4" t="s">
        <v>1399</v>
      </c>
      <c r="F222" s="4" t="s">
        <v>1376</v>
      </c>
      <c r="G222" s="4" t="s">
        <v>45</v>
      </c>
      <c r="H222" s="4" t="s">
        <v>45</v>
      </c>
      <c r="I222" s="4" t="s">
        <v>45</v>
      </c>
      <c r="J222" s="4">
        <v>0.0</v>
      </c>
      <c r="K222" s="4" t="s">
        <v>1377</v>
      </c>
      <c r="L222" s="4" t="s">
        <v>1400</v>
      </c>
      <c r="M222" s="10" t="s">
        <v>48</v>
      </c>
      <c r="N222" s="4" t="s">
        <v>49</v>
      </c>
      <c r="O222" s="4" t="s">
        <v>50</v>
      </c>
      <c r="P222" s="4" t="s">
        <v>1401</v>
      </c>
      <c r="Q222" s="4" t="s">
        <v>52</v>
      </c>
      <c r="R222" s="4" t="s">
        <v>53</v>
      </c>
      <c r="S222" s="4" t="s">
        <v>54</v>
      </c>
      <c r="T222" s="4" t="s">
        <v>55</v>
      </c>
      <c r="U222" s="4" t="s">
        <v>70</v>
      </c>
      <c r="V222" s="4" t="s">
        <v>71</v>
      </c>
      <c r="W222" s="4">
        <v>5.5833E8</v>
      </c>
      <c r="X222" s="4" t="s">
        <v>485</v>
      </c>
      <c r="Y222" s="4" t="s">
        <v>599</v>
      </c>
      <c r="Z222" s="4" t="s">
        <v>203</v>
      </c>
      <c r="AA222" s="4" t="s">
        <v>204</v>
      </c>
      <c r="AB222" s="4" t="s">
        <v>204</v>
      </c>
      <c r="AC222" s="4" t="s">
        <v>204</v>
      </c>
      <c r="AD222" s="3" t="s">
        <v>1380</v>
      </c>
      <c r="AE222" s="7">
        <v>1.5</v>
      </c>
      <c r="AF222" s="7">
        <v>1.5</v>
      </c>
      <c r="AG222" s="4" t="str">
        <f t="shared" si="1"/>
        <v>yes</v>
      </c>
      <c r="AH222" s="8" t="s">
        <v>612</v>
      </c>
      <c r="AI222" s="4" t="s">
        <v>1381</v>
      </c>
      <c r="AJ222" s="7" t="str">
        <f>VLOOKUP(D222,'slb RAW'!$E$2:$AF$293,9)</f>
        <v>#N/A N/A</v>
      </c>
      <c r="AK222" s="4" t="str">
        <f>VLOOKUP(D222,'slb RAW'!$E$2:$AE$293,27)</f>
        <v>#N/A N/A</v>
      </c>
      <c r="AL222" s="4" t="str">
        <f>VLOOKUP(C222,'Refinitiv SLB'!F222:S399,14)</f>
        <v>#N/A</v>
      </c>
      <c r="AM222" s="4" t="str">
        <f t="shared" si="2"/>
        <v>#N/A N/A</v>
      </c>
      <c r="AN222" s="9" t="str">
        <f t="shared" si="3"/>
        <v>degewo AGAT MATURITYFLOATINGEURSr Unsecured</v>
      </c>
      <c r="AO222" s="7" t="b">
        <f>ISNUMBER( IFERROR(VLOOKUP(A222,Pairs!$E$2:$E$57,1,FALSE),FALSE))</f>
        <v>0</v>
      </c>
      <c r="AP222" s="7"/>
      <c r="AQ222" s="7"/>
    </row>
    <row r="223" ht="15.75" customHeight="1">
      <c r="A223" s="3">
        <v>285.0</v>
      </c>
      <c r="B223" s="4" t="s">
        <v>1373</v>
      </c>
      <c r="C223" s="4" t="str">
        <f>VLOOKUP(D223,'slb RAW'!$E:$F,2)</f>
        <v>#N/A Field Not Applicable</v>
      </c>
      <c r="D223" s="4" t="s">
        <v>1402</v>
      </c>
      <c r="E223" s="4" t="s">
        <v>1403</v>
      </c>
      <c r="F223" s="4" t="s">
        <v>1376</v>
      </c>
      <c r="G223" s="4" t="s">
        <v>45</v>
      </c>
      <c r="H223" s="4" t="s">
        <v>45</v>
      </c>
      <c r="I223" s="4" t="s">
        <v>45</v>
      </c>
      <c r="J223" s="4">
        <v>0.0</v>
      </c>
      <c r="K223" s="4" t="s">
        <v>1377</v>
      </c>
      <c r="L223" s="4" t="s">
        <v>1404</v>
      </c>
      <c r="M223" s="10" t="s">
        <v>48</v>
      </c>
      <c r="N223" s="4" t="s">
        <v>49</v>
      </c>
      <c r="O223" s="4" t="s">
        <v>50</v>
      </c>
      <c r="P223" s="4" t="s">
        <v>51</v>
      </c>
      <c r="Q223" s="4" t="s">
        <v>52</v>
      </c>
      <c r="R223" s="4" t="s">
        <v>53</v>
      </c>
      <c r="S223" s="4" t="s">
        <v>54</v>
      </c>
      <c r="T223" s="4" t="s">
        <v>55</v>
      </c>
      <c r="U223" s="4" t="s">
        <v>70</v>
      </c>
      <c r="V223" s="4" t="s">
        <v>71</v>
      </c>
      <c r="W223" s="4">
        <v>5.5833E8</v>
      </c>
      <c r="X223" s="4" t="s">
        <v>485</v>
      </c>
      <c r="Y223" s="4" t="s">
        <v>599</v>
      </c>
      <c r="Z223" s="4" t="s">
        <v>203</v>
      </c>
      <c r="AA223" s="4" t="s">
        <v>204</v>
      </c>
      <c r="AB223" s="4" t="s">
        <v>204</v>
      </c>
      <c r="AC223" s="4" t="s">
        <v>204</v>
      </c>
      <c r="AD223" s="3" t="s">
        <v>1380</v>
      </c>
      <c r="AE223" s="7">
        <v>1.5</v>
      </c>
      <c r="AF223" s="7">
        <v>1.5</v>
      </c>
      <c r="AG223" s="4" t="str">
        <f t="shared" si="1"/>
        <v>yes</v>
      </c>
      <c r="AH223" s="8" t="s">
        <v>612</v>
      </c>
      <c r="AI223" s="4" t="s">
        <v>1381</v>
      </c>
      <c r="AJ223" s="7" t="str">
        <f>VLOOKUP(D223,'slb RAW'!$E$2:$AF$293,9)</f>
        <v>#N/A N/A</v>
      </c>
      <c r="AK223" s="4" t="str">
        <f>VLOOKUP(D223,'slb RAW'!$E$2:$AE$293,27)</f>
        <v>#N/A N/A</v>
      </c>
      <c r="AL223" s="4" t="str">
        <f>VLOOKUP(C223,'Refinitiv SLB'!F223:S400,14)</f>
        <v>#N/A</v>
      </c>
      <c r="AM223" s="4" t="str">
        <f t="shared" si="2"/>
        <v>#N/A N/A</v>
      </c>
      <c r="AN223" s="9" t="str">
        <f t="shared" si="3"/>
        <v>degewo AGAT MATURITYFLOATINGEURSr Unsecured</v>
      </c>
      <c r="AO223" s="7" t="b">
        <f>ISNUMBER( IFERROR(VLOOKUP(A223,Pairs!$E$2:$E$57,1,FALSE),FALSE))</f>
        <v>0</v>
      </c>
      <c r="AP223" s="7"/>
      <c r="AQ223" s="7"/>
    </row>
    <row r="224" ht="15.75" customHeight="1">
      <c r="A224" s="3">
        <v>286.0</v>
      </c>
      <c r="B224" s="4" t="s">
        <v>1373</v>
      </c>
      <c r="C224" s="4" t="str">
        <f>VLOOKUP(D224,'slb RAW'!$E:$F,2)</f>
        <v>#N/A Field Not Applicable</v>
      </c>
      <c r="D224" s="4" t="s">
        <v>1405</v>
      </c>
      <c r="E224" s="4" t="s">
        <v>1406</v>
      </c>
      <c r="F224" s="4" t="s">
        <v>1376</v>
      </c>
      <c r="G224" s="4" t="s">
        <v>45</v>
      </c>
      <c r="H224" s="4" t="s">
        <v>45</v>
      </c>
      <c r="I224" s="4" t="s">
        <v>45</v>
      </c>
      <c r="J224" s="4">
        <v>0.0</v>
      </c>
      <c r="K224" s="4" t="s">
        <v>1377</v>
      </c>
      <c r="L224" s="4" t="s">
        <v>1407</v>
      </c>
      <c r="M224" s="10" t="s">
        <v>48</v>
      </c>
      <c r="N224" s="4" t="s">
        <v>49</v>
      </c>
      <c r="O224" s="4" t="s">
        <v>50</v>
      </c>
      <c r="P224" s="4" t="s">
        <v>69</v>
      </c>
      <c r="Q224" s="4" t="s">
        <v>52</v>
      </c>
      <c r="R224" s="4" t="s">
        <v>53</v>
      </c>
      <c r="S224" s="4" t="s">
        <v>54</v>
      </c>
      <c r="T224" s="4" t="s">
        <v>55</v>
      </c>
      <c r="U224" s="4" t="s">
        <v>70</v>
      </c>
      <c r="V224" s="4" t="s">
        <v>71</v>
      </c>
      <c r="W224" s="4">
        <v>5.5833E8</v>
      </c>
      <c r="X224" s="4" t="s">
        <v>485</v>
      </c>
      <c r="Y224" s="4" t="s">
        <v>599</v>
      </c>
      <c r="Z224" s="4" t="s">
        <v>203</v>
      </c>
      <c r="AA224" s="4" t="s">
        <v>204</v>
      </c>
      <c r="AB224" s="4" t="s">
        <v>204</v>
      </c>
      <c r="AC224" s="4" t="s">
        <v>204</v>
      </c>
      <c r="AD224" s="3" t="s">
        <v>1380</v>
      </c>
      <c r="AE224" s="7">
        <v>1.5</v>
      </c>
      <c r="AF224" s="7">
        <v>1.5</v>
      </c>
      <c r="AG224" s="4" t="str">
        <f t="shared" si="1"/>
        <v>yes</v>
      </c>
      <c r="AH224" s="8" t="s">
        <v>612</v>
      </c>
      <c r="AI224" s="4" t="s">
        <v>1381</v>
      </c>
      <c r="AJ224" s="7" t="str">
        <f>VLOOKUP(D224,'slb RAW'!$E$2:$AF$293,9)</f>
        <v>#N/A N/A</v>
      </c>
      <c r="AK224" s="4" t="str">
        <f>VLOOKUP(D224,'slb RAW'!$E$2:$AE$293,27)</f>
        <v>#N/A N/A</v>
      </c>
      <c r="AL224" s="4" t="str">
        <f>VLOOKUP(C224,'Refinitiv SLB'!F224:S401,14)</f>
        <v>#N/A</v>
      </c>
      <c r="AM224" s="4" t="str">
        <f t="shared" si="2"/>
        <v>#N/A N/A</v>
      </c>
      <c r="AN224" s="9" t="str">
        <f t="shared" si="3"/>
        <v>degewo AGAT MATURITYFLOATINGEURSr Unsecured</v>
      </c>
      <c r="AO224" s="7" t="b">
        <f>ISNUMBER( IFERROR(VLOOKUP(A224,Pairs!$E$2:$E$57,1,FALSE),FALSE))</f>
        <v>0</v>
      </c>
      <c r="AP224" s="7"/>
      <c r="AQ224" s="7"/>
    </row>
    <row r="225" ht="15.75" customHeight="1">
      <c r="A225" s="3">
        <v>287.0</v>
      </c>
      <c r="B225" s="4" t="s">
        <v>1373</v>
      </c>
      <c r="C225" s="4" t="str">
        <f>VLOOKUP(D225,'slb RAW'!$E:$F,2)</f>
        <v>#N/A Field Not Applicable</v>
      </c>
      <c r="D225" s="4" t="s">
        <v>1408</v>
      </c>
      <c r="E225" s="4" t="s">
        <v>1409</v>
      </c>
      <c r="F225" s="4" t="s">
        <v>1376</v>
      </c>
      <c r="G225" s="4" t="s">
        <v>45</v>
      </c>
      <c r="H225" s="4" t="s">
        <v>45</v>
      </c>
      <c r="I225" s="4" t="s">
        <v>45</v>
      </c>
      <c r="J225" s="4">
        <v>0.0</v>
      </c>
      <c r="K225" s="4" t="s">
        <v>1377</v>
      </c>
      <c r="L225" s="4" t="s">
        <v>1410</v>
      </c>
      <c r="M225" s="10" t="s">
        <v>48</v>
      </c>
      <c r="N225" s="4" t="s">
        <v>49</v>
      </c>
      <c r="O225" s="4" t="s">
        <v>50</v>
      </c>
      <c r="P225" s="4" t="s">
        <v>76</v>
      </c>
      <c r="Q225" s="4" t="s">
        <v>52</v>
      </c>
      <c r="R225" s="4" t="s">
        <v>53</v>
      </c>
      <c r="S225" s="4" t="s">
        <v>54</v>
      </c>
      <c r="T225" s="4" t="s">
        <v>55</v>
      </c>
      <c r="U225" s="4" t="s">
        <v>70</v>
      </c>
      <c r="V225" s="4" t="s">
        <v>71</v>
      </c>
      <c r="W225" s="4">
        <v>5.5833E8</v>
      </c>
      <c r="X225" s="4" t="s">
        <v>485</v>
      </c>
      <c r="Y225" s="4" t="s">
        <v>599</v>
      </c>
      <c r="Z225" s="4" t="s">
        <v>203</v>
      </c>
      <c r="AA225" s="4" t="s">
        <v>204</v>
      </c>
      <c r="AB225" s="4" t="s">
        <v>204</v>
      </c>
      <c r="AC225" s="4" t="s">
        <v>204</v>
      </c>
      <c r="AD225" s="3" t="s">
        <v>1380</v>
      </c>
      <c r="AE225" s="7">
        <v>1.5</v>
      </c>
      <c r="AF225" s="7">
        <v>1.5</v>
      </c>
      <c r="AG225" s="4" t="str">
        <f t="shared" si="1"/>
        <v>yes</v>
      </c>
      <c r="AH225" s="8" t="s">
        <v>612</v>
      </c>
      <c r="AI225" s="4" t="s">
        <v>1381</v>
      </c>
      <c r="AJ225" s="7" t="str">
        <f>VLOOKUP(D225,'slb RAW'!$E$2:$AF$293,9)</f>
        <v>#N/A N/A</v>
      </c>
      <c r="AK225" s="4" t="str">
        <f>VLOOKUP(D225,'slb RAW'!$E$2:$AE$293,27)</f>
        <v>#N/A N/A</v>
      </c>
      <c r="AL225" s="4" t="str">
        <f>VLOOKUP(C225,'Refinitiv SLB'!F225:S402,14)</f>
        <v>#N/A</v>
      </c>
      <c r="AM225" s="4" t="str">
        <f t="shared" si="2"/>
        <v>#N/A N/A</v>
      </c>
      <c r="AN225" s="9" t="str">
        <f t="shared" si="3"/>
        <v>degewo AGAT MATURITYFLOATINGEURSr Unsecured</v>
      </c>
      <c r="AO225" s="7" t="b">
        <f>ISNUMBER( IFERROR(VLOOKUP(A225,Pairs!$E$2:$E$57,1,FALSE),FALSE))</f>
        <v>0</v>
      </c>
      <c r="AP225" s="7"/>
      <c r="AQ225" s="7"/>
    </row>
    <row r="226" ht="15.75" customHeight="1">
      <c r="A226" s="3">
        <v>288.0</v>
      </c>
      <c r="B226" s="4" t="s">
        <v>1373</v>
      </c>
      <c r="C226" s="4" t="str">
        <f>VLOOKUP(D226,'slb RAW'!$E:$F,2)</f>
        <v>#N/A Field Not Applicable</v>
      </c>
      <c r="D226" s="4" t="s">
        <v>1411</v>
      </c>
      <c r="E226" s="4" t="s">
        <v>1412</v>
      </c>
      <c r="F226" s="4" t="s">
        <v>1376</v>
      </c>
      <c r="G226" s="4" t="s">
        <v>45</v>
      </c>
      <c r="H226" s="4" t="s">
        <v>45</v>
      </c>
      <c r="I226" s="4" t="s">
        <v>45</v>
      </c>
      <c r="J226" s="4">
        <v>0.0</v>
      </c>
      <c r="K226" s="4" t="s">
        <v>1377</v>
      </c>
      <c r="L226" s="4" t="s">
        <v>1413</v>
      </c>
      <c r="M226" s="10" t="s">
        <v>48</v>
      </c>
      <c r="N226" s="4" t="s">
        <v>49</v>
      </c>
      <c r="O226" s="4" t="s">
        <v>50</v>
      </c>
      <c r="P226" s="4" t="s">
        <v>145</v>
      </c>
      <c r="Q226" s="4" t="s">
        <v>52</v>
      </c>
      <c r="R226" s="4" t="s">
        <v>53</v>
      </c>
      <c r="S226" s="4" t="s">
        <v>54</v>
      </c>
      <c r="T226" s="4" t="s">
        <v>55</v>
      </c>
      <c r="U226" s="4" t="s">
        <v>70</v>
      </c>
      <c r="V226" s="4" t="s">
        <v>71</v>
      </c>
      <c r="W226" s="4">
        <v>5.5833E8</v>
      </c>
      <c r="X226" s="4" t="s">
        <v>485</v>
      </c>
      <c r="Y226" s="4" t="s">
        <v>599</v>
      </c>
      <c r="Z226" s="4" t="s">
        <v>203</v>
      </c>
      <c r="AA226" s="4" t="s">
        <v>204</v>
      </c>
      <c r="AB226" s="4" t="s">
        <v>204</v>
      </c>
      <c r="AC226" s="4" t="s">
        <v>204</v>
      </c>
      <c r="AD226" s="3" t="s">
        <v>1380</v>
      </c>
      <c r="AE226" s="7">
        <v>1.5</v>
      </c>
      <c r="AF226" s="7">
        <v>1.5</v>
      </c>
      <c r="AG226" s="4" t="str">
        <f t="shared" si="1"/>
        <v>yes</v>
      </c>
      <c r="AH226" s="8" t="s">
        <v>612</v>
      </c>
      <c r="AI226" s="4" t="s">
        <v>1381</v>
      </c>
      <c r="AJ226" s="7" t="str">
        <f>VLOOKUP(D226,'slb RAW'!$E$2:$AF$293,9)</f>
        <v>#N/A N/A</v>
      </c>
      <c r="AK226" s="4" t="str">
        <f>VLOOKUP(D226,'slb RAW'!$E$2:$AE$293,27)</f>
        <v>#N/A N/A</v>
      </c>
      <c r="AL226" s="4" t="str">
        <f>VLOOKUP(C226,'Refinitiv SLB'!F226:S403,14)</f>
        <v>#N/A</v>
      </c>
      <c r="AM226" s="4" t="str">
        <f t="shared" si="2"/>
        <v>#N/A N/A</v>
      </c>
      <c r="AN226" s="9" t="str">
        <f t="shared" si="3"/>
        <v>degewo AGAT MATURITYFLOATINGEURSr Unsecured</v>
      </c>
      <c r="AO226" s="7" t="b">
        <f>ISNUMBER( IFERROR(VLOOKUP(A226,Pairs!$E$2:$E$57,1,FALSE),FALSE))</f>
        <v>0</v>
      </c>
      <c r="AP226" s="7"/>
      <c r="AQ226" s="7"/>
    </row>
    <row r="227" ht="15.75" customHeight="1">
      <c r="A227" s="3">
        <v>277.0</v>
      </c>
      <c r="B227" s="4" t="s">
        <v>1414</v>
      </c>
      <c r="C227" s="4" t="str">
        <f>VLOOKUP(D227,'slb RAW'!$E:$F,2)</f>
        <v>XS2437324333</v>
      </c>
      <c r="D227" s="4" t="s">
        <v>1415</v>
      </c>
      <c r="E227" s="4" t="s">
        <v>1416</v>
      </c>
      <c r="F227" s="4" t="s">
        <v>1417</v>
      </c>
      <c r="G227" s="4" t="s">
        <v>200</v>
      </c>
      <c r="H227" s="4" t="s">
        <v>200</v>
      </c>
      <c r="I227" s="4" t="s">
        <v>200</v>
      </c>
      <c r="J227" s="4">
        <v>3.875</v>
      </c>
      <c r="K227" s="4" t="s">
        <v>1418</v>
      </c>
      <c r="L227" s="4" t="s">
        <v>1419</v>
      </c>
      <c r="M227" s="29">
        <v>3.879</v>
      </c>
      <c r="N227" s="4" t="s">
        <v>115</v>
      </c>
      <c r="O227" s="4" t="s">
        <v>116</v>
      </c>
      <c r="P227" s="4" t="s">
        <v>174</v>
      </c>
      <c r="Q227" s="4" t="s">
        <v>52</v>
      </c>
      <c r="R227" s="4" t="s">
        <v>53</v>
      </c>
      <c r="S227" s="4" t="s">
        <v>297</v>
      </c>
      <c r="T227" s="4" t="s">
        <v>55</v>
      </c>
      <c r="U227" s="4" t="s">
        <v>56</v>
      </c>
      <c r="V227" s="4" t="s">
        <v>57</v>
      </c>
      <c r="W227" s="4">
        <v>4.46048E8</v>
      </c>
      <c r="X227" s="4" t="s">
        <v>58</v>
      </c>
      <c r="Y227" s="4" t="s">
        <v>506</v>
      </c>
      <c r="Z227" s="4" t="s">
        <v>60</v>
      </c>
      <c r="AA227" s="4" t="s">
        <v>61</v>
      </c>
      <c r="AB227" s="4" t="s">
        <v>62</v>
      </c>
      <c r="AC227" s="4" t="s">
        <v>62</v>
      </c>
      <c r="AD227" s="3" t="s">
        <v>1420</v>
      </c>
      <c r="AE227" s="7">
        <v>75.0</v>
      </c>
      <c r="AF227" s="12"/>
      <c r="AG227" s="4" t="str">
        <f t="shared" si="1"/>
        <v/>
      </c>
      <c r="AH227" s="8" t="s">
        <v>125</v>
      </c>
      <c r="AI227" s="4" t="s">
        <v>1421</v>
      </c>
      <c r="AJ227" s="7">
        <f>VLOOKUP(D227,'slb RAW'!$E$2:$AF$293,9)</f>
        <v>3.879</v>
      </c>
      <c r="AK227" s="4">
        <f>VLOOKUP(D227,'slb RAW'!$E$2:$AE$293,27)</f>
        <v>4.006</v>
      </c>
      <c r="AL227" s="4" t="str">
        <f>VLOOKUP(C227,'Refinitiv SLB'!F227:S404,14)</f>
        <v>#N/A</v>
      </c>
      <c r="AM227" s="4">
        <f t="shared" si="2"/>
        <v>4.006</v>
      </c>
      <c r="AN227" s="9" t="str">
        <f t="shared" si="3"/>
        <v>Webuild SpACALLABLEFIXEDEURSr Unsecured</v>
      </c>
      <c r="AO227" s="7" t="b">
        <f>ISNUMBER( IFERROR(VLOOKUP(A227,Pairs!$E$2:$E$57,1,FALSE),FALSE))</f>
        <v>1</v>
      </c>
      <c r="AP227" s="7"/>
      <c r="AQ227" s="7"/>
    </row>
    <row r="228" ht="15.75" customHeight="1">
      <c r="A228" s="3">
        <v>101.0</v>
      </c>
      <c r="B228" s="4" t="s">
        <v>1422</v>
      </c>
      <c r="C228" s="4" t="str">
        <f>VLOOKUP(D228,'slb RAW'!$E:$F,2)</f>
        <v>XS2436585355</v>
      </c>
      <c r="D228" s="4" t="s">
        <v>1423</v>
      </c>
      <c r="E228" s="4" t="s">
        <v>1424</v>
      </c>
      <c r="F228" s="4" t="s">
        <v>1425</v>
      </c>
      <c r="G228" s="4" t="s">
        <v>200</v>
      </c>
      <c r="H228" s="4" t="s">
        <v>200</v>
      </c>
      <c r="I228" s="4" t="s">
        <v>200</v>
      </c>
      <c r="J228" s="4">
        <v>5.625</v>
      </c>
      <c r="K228" s="4" t="s">
        <v>1426</v>
      </c>
      <c r="L228" s="4" t="s">
        <v>1427</v>
      </c>
      <c r="M228" s="17">
        <v>5.8301</v>
      </c>
      <c r="N228" s="4" t="s">
        <v>115</v>
      </c>
      <c r="O228" s="4" t="s">
        <v>116</v>
      </c>
      <c r="P228" s="4" t="s">
        <v>271</v>
      </c>
      <c r="Q228" s="4" t="s">
        <v>459</v>
      </c>
      <c r="R228" s="4" t="s">
        <v>53</v>
      </c>
      <c r="S228" s="4" t="s">
        <v>351</v>
      </c>
      <c r="T228" s="4" t="s">
        <v>55</v>
      </c>
      <c r="U228" s="4" t="s">
        <v>56</v>
      </c>
      <c r="V228" s="4" t="s">
        <v>71</v>
      </c>
      <c r="W228" s="4">
        <v>4.012785E8</v>
      </c>
      <c r="X228" s="4" t="s">
        <v>85</v>
      </c>
      <c r="Y228" s="4" t="s">
        <v>515</v>
      </c>
      <c r="Z228" s="4" t="s">
        <v>60</v>
      </c>
      <c r="AA228" s="4" t="s">
        <v>61</v>
      </c>
      <c r="AB228" s="4" t="s">
        <v>87</v>
      </c>
      <c r="AC228" s="4" t="s">
        <v>515</v>
      </c>
      <c r="AD228" s="3" t="s">
        <v>1428</v>
      </c>
      <c r="AE228" s="8" t="s">
        <v>194</v>
      </c>
      <c r="AF228" s="12"/>
      <c r="AG228" s="4" t="str">
        <f t="shared" si="1"/>
        <v/>
      </c>
      <c r="AH228" s="8" t="s">
        <v>140</v>
      </c>
      <c r="AI228" s="4" t="s">
        <v>1429</v>
      </c>
      <c r="AJ228" s="7" t="str">
        <f>VLOOKUP(D228,'slb RAW'!$E$2:$AF$293,9)</f>
        <v>#N/A N/A</v>
      </c>
      <c r="AK228" s="4">
        <f>VLOOKUP(D228,'slb RAW'!$E$2:$AE$293,27)</f>
        <v>5.737</v>
      </c>
      <c r="AL228" s="4" t="str">
        <f>VLOOKUP(C228,'Refinitiv SLB'!F228:S405,14)</f>
        <v>#N/A</v>
      </c>
      <c r="AM228" s="4">
        <f t="shared" si="2"/>
        <v>5.737</v>
      </c>
      <c r="AN228" s="9" t="str">
        <f t="shared" si="3"/>
        <v>FIS Fabbrica Italiana Sintetici SpACALLABLEFIXEDEURSecured</v>
      </c>
      <c r="AO228" s="7" t="b">
        <f>ISNUMBER( IFERROR(VLOOKUP(A228,Pairs!$E$2:$E$57,1,FALSE),FALSE))</f>
        <v>0</v>
      </c>
      <c r="AP228" s="7"/>
      <c r="AQ228" s="7"/>
    </row>
    <row r="229" ht="15.75" customHeight="1">
      <c r="A229" s="3">
        <v>100.0</v>
      </c>
      <c r="B229" s="4" t="s">
        <v>1422</v>
      </c>
      <c r="C229" s="4" t="str">
        <f>VLOOKUP(D229,'slb RAW'!$E:$F,2)</f>
        <v>XS2436586247</v>
      </c>
      <c r="D229" s="4" t="s">
        <v>1430</v>
      </c>
      <c r="E229" s="4" t="s">
        <v>1431</v>
      </c>
      <c r="F229" s="4" t="s">
        <v>1425</v>
      </c>
      <c r="G229" s="4" t="s">
        <v>200</v>
      </c>
      <c r="H229" s="4" t="s">
        <v>200</v>
      </c>
      <c r="I229" s="4" t="s">
        <v>200</v>
      </c>
      <c r="J229" s="4">
        <v>5.625</v>
      </c>
      <c r="K229" s="4" t="s">
        <v>1426</v>
      </c>
      <c r="L229" s="4" t="s">
        <v>1427</v>
      </c>
      <c r="M229" s="17">
        <v>5.8429</v>
      </c>
      <c r="N229" s="4" t="s">
        <v>115</v>
      </c>
      <c r="O229" s="4" t="s">
        <v>116</v>
      </c>
      <c r="P229" s="4" t="s">
        <v>262</v>
      </c>
      <c r="Q229" s="4" t="s">
        <v>459</v>
      </c>
      <c r="R229" s="4" t="s">
        <v>53</v>
      </c>
      <c r="S229" s="4" t="s">
        <v>351</v>
      </c>
      <c r="T229" s="4" t="s">
        <v>55</v>
      </c>
      <c r="U229" s="4" t="s">
        <v>56</v>
      </c>
      <c r="V229" s="4" t="s">
        <v>71</v>
      </c>
      <c r="W229" s="4">
        <v>4.012785E8</v>
      </c>
      <c r="X229" s="4" t="s">
        <v>85</v>
      </c>
      <c r="Y229" s="4" t="s">
        <v>515</v>
      </c>
      <c r="Z229" s="4" t="s">
        <v>60</v>
      </c>
      <c r="AA229" s="4" t="s">
        <v>61</v>
      </c>
      <c r="AB229" s="4" t="s">
        <v>87</v>
      </c>
      <c r="AC229" s="4" t="s">
        <v>515</v>
      </c>
      <c r="AD229" s="3" t="s">
        <v>1428</v>
      </c>
      <c r="AE229" s="8" t="s">
        <v>194</v>
      </c>
      <c r="AF229" s="12"/>
      <c r="AG229" s="4" t="str">
        <f t="shared" si="1"/>
        <v/>
      </c>
      <c r="AH229" s="8" t="s">
        <v>140</v>
      </c>
      <c r="AI229" s="4" t="s">
        <v>1429</v>
      </c>
      <c r="AJ229" s="7" t="str">
        <f>VLOOKUP(D229,'slb RAW'!$E$2:$AF$293,9)</f>
        <v>#N/A N/A</v>
      </c>
      <c r="AK229" s="4">
        <f>VLOOKUP(D229,'slb RAW'!$E$2:$AE$293,27)</f>
        <v>5.79</v>
      </c>
      <c r="AL229" s="4" t="str">
        <f>VLOOKUP(C229,'Refinitiv SLB'!F229:S406,14)</f>
        <v>#N/A</v>
      </c>
      <c r="AM229" s="4">
        <f t="shared" si="2"/>
        <v>5.79</v>
      </c>
      <c r="AN229" s="9" t="str">
        <f t="shared" si="3"/>
        <v>FIS Fabbrica Italiana Sintetici SpACALLABLEFIXEDEURSecured</v>
      </c>
      <c r="AO229" s="7" t="b">
        <f>ISNUMBER( IFERROR(VLOOKUP(A229,Pairs!$E$2:$E$57,1,FALSE),FALSE))</f>
        <v>0</v>
      </c>
      <c r="AP229" s="7"/>
      <c r="AQ229" s="7"/>
    </row>
    <row r="230" ht="15.75" customHeight="1">
      <c r="A230" s="3">
        <v>18.0</v>
      </c>
      <c r="B230" s="4" t="s">
        <v>1432</v>
      </c>
      <c r="C230" s="4" t="str">
        <f>VLOOKUP(D230,'slb RAW'!$E:$F,2)</f>
        <v>SE0013883428</v>
      </c>
      <c r="D230" s="4" t="s">
        <v>1433</v>
      </c>
      <c r="E230" s="4" t="s">
        <v>1434</v>
      </c>
      <c r="F230" s="4" t="s">
        <v>1435</v>
      </c>
      <c r="G230" s="4" t="s">
        <v>368</v>
      </c>
      <c r="H230" s="4" t="s">
        <v>368</v>
      </c>
      <c r="I230" s="4" t="s">
        <v>368</v>
      </c>
      <c r="J230" s="4">
        <v>1.332</v>
      </c>
      <c r="K230" s="4" t="s">
        <v>1436</v>
      </c>
      <c r="L230" s="4" t="s">
        <v>1437</v>
      </c>
      <c r="M230" s="18">
        <v>1.4698</v>
      </c>
      <c r="N230" s="4" t="s">
        <v>49</v>
      </c>
      <c r="O230" s="4" t="s">
        <v>50</v>
      </c>
      <c r="P230" s="4" t="s">
        <v>174</v>
      </c>
      <c r="Q230" s="4" t="s">
        <v>52</v>
      </c>
      <c r="R230" s="4" t="s">
        <v>687</v>
      </c>
      <c r="S230" s="4" t="s">
        <v>54</v>
      </c>
      <c r="T230" s="4" t="s">
        <v>55</v>
      </c>
      <c r="U230" s="4" t="s">
        <v>70</v>
      </c>
      <c r="V230" s="4" t="s">
        <v>392</v>
      </c>
      <c r="W230" s="4">
        <v>1.07087E8</v>
      </c>
      <c r="X230" s="4" t="s">
        <v>485</v>
      </c>
      <c r="Y230" s="4" t="s">
        <v>599</v>
      </c>
      <c r="Z230" s="4" t="s">
        <v>60</v>
      </c>
      <c r="AA230" s="4" t="s">
        <v>61</v>
      </c>
      <c r="AB230" s="4" t="s">
        <v>136</v>
      </c>
      <c r="AC230" s="4" t="s">
        <v>311</v>
      </c>
      <c r="AD230" s="3" t="s">
        <v>1438</v>
      </c>
      <c r="AE230" s="8" t="s">
        <v>194</v>
      </c>
      <c r="AF230" s="12"/>
      <c r="AG230" s="4" t="str">
        <f t="shared" si="1"/>
        <v/>
      </c>
      <c r="AH230" s="8" t="s">
        <v>140</v>
      </c>
      <c r="AI230" s="4" t="s">
        <v>1439</v>
      </c>
      <c r="AJ230" s="7" t="str">
        <f>VLOOKUP(D230,'slb RAW'!$E$2:$AF$293,9)</f>
        <v>#N/A N/A</v>
      </c>
      <c r="AK230" s="4">
        <f>VLOOKUP(D230,'slb RAW'!$E$2:$AE$293,27)</f>
        <v>1.417</v>
      </c>
      <c r="AL230" s="4" t="str">
        <f>VLOOKUP(C230,'Refinitiv SLB'!F230:S407,14)</f>
        <v>#N/A</v>
      </c>
      <c r="AM230" s="4">
        <f t="shared" si="2"/>
        <v>1.417</v>
      </c>
      <c r="AN230" s="9" t="str">
        <f t="shared" si="3"/>
        <v>Atrium Ljungberg ABAT MATURITYFLOATINGSEKSr Unsecured</v>
      </c>
      <c r="AO230" s="7" t="b">
        <f>ISNUMBER( IFERROR(VLOOKUP(A230,Pairs!$E$2:$E$57,1,FALSE),FALSE))</f>
        <v>0</v>
      </c>
      <c r="AP230" s="7"/>
      <c r="AQ230" s="7"/>
    </row>
    <row r="231" ht="15.75" customHeight="1">
      <c r="A231" s="3">
        <v>271.0</v>
      </c>
      <c r="B231" s="4" t="s">
        <v>1440</v>
      </c>
      <c r="C231" s="4" t="str">
        <f>VLOOKUP(D231,'slb RAW'!$E:$F,2)</f>
        <v>XS2449928543</v>
      </c>
      <c r="D231" s="4" t="s">
        <v>1441</v>
      </c>
      <c r="E231" s="4" t="s">
        <v>1442</v>
      </c>
      <c r="F231" s="4" t="s">
        <v>1443</v>
      </c>
      <c r="G231" s="4" t="s">
        <v>367</v>
      </c>
      <c r="H231" s="4" t="s">
        <v>367</v>
      </c>
      <c r="I231" s="4" t="s">
        <v>367</v>
      </c>
      <c r="J231" s="4">
        <v>1.5</v>
      </c>
      <c r="K231" s="4" t="s">
        <v>1444</v>
      </c>
      <c r="L231" s="4" t="s">
        <v>1445</v>
      </c>
      <c r="M231" s="4">
        <v>1.524</v>
      </c>
      <c r="N231" s="4" t="s">
        <v>115</v>
      </c>
      <c r="O231" s="4" t="s">
        <v>116</v>
      </c>
      <c r="P231" s="4" t="s">
        <v>226</v>
      </c>
      <c r="Q231" s="4" t="s">
        <v>52</v>
      </c>
      <c r="R231" s="4" t="s">
        <v>53</v>
      </c>
      <c r="S231" s="4" t="s">
        <v>190</v>
      </c>
      <c r="T231" s="4" t="s">
        <v>55</v>
      </c>
      <c r="U231" s="4" t="s">
        <v>56</v>
      </c>
      <c r="V231" s="4" t="s">
        <v>57</v>
      </c>
      <c r="W231" s="4">
        <v>5.4692E8</v>
      </c>
      <c r="X231" s="4" t="s">
        <v>214</v>
      </c>
      <c r="Y231" s="4" t="s">
        <v>961</v>
      </c>
      <c r="Z231" s="4" t="s">
        <v>60</v>
      </c>
      <c r="AA231" s="4" t="s">
        <v>61</v>
      </c>
      <c r="AB231" s="4" t="s">
        <v>177</v>
      </c>
      <c r="AC231" s="4" t="s">
        <v>192</v>
      </c>
      <c r="AD231" s="3" t="s">
        <v>1446</v>
      </c>
      <c r="AE231" s="7">
        <v>25.0</v>
      </c>
      <c r="AF231" s="12"/>
      <c r="AG231" s="4" t="str">
        <f t="shared" si="1"/>
        <v/>
      </c>
      <c r="AH231" s="8" t="s">
        <v>125</v>
      </c>
      <c r="AI231" s="4" t="s">
        <v>1447</v>
      </c>
      <c r="AJ231" s="7">
        <f>VLOOKUP(D231,'slb RAW'!$E$2:$AF$293,9)</f>
        <v>1.524</v>
      </c>
      <c r="AK231" s="4">
        <f>VLOOKUP(D231,'slb RAW'!$E$2:$AE$293,27)</f>
        <v>1.516</v>
      </c>
      <c r="AL231" s="4" t="str">
        <f>VLOOKUP(C231,'Refinitiv SLB'!F231:S408,14)</f>
        <v>#N/A</v>
      </c>
      <c r="AM231" s="4">
        <f t="shared" si="2"/>
        <v>1.516</v>
      </c>
      <c r="AN231" s="9" t="str">
        <f t="shared" si="3"/>
        <v>Vestas Wind Systems Finance BVCALLABLEFIXEDEURSr Unsecured</v>
      </c>
      <c r="AO231" s="7" t="b">
        <f>ISNUMBER( IFERROR(VLOOKUP(A231,Pairs!$E$2:$E$57,1,FALSE),FALSE))</f>
        <v>0</v>
      </c>
      <c r="AP231" s="7"/>
      <c r="AQ231" s="7"/>
    </row>
    <row r="232" ht="15.75" customHeight="1">
      <c r="A232" s="3">
        <v>272.0</v>
      </c>
      <c r="B232" s="4" t="s">
        <v>1440</v>
      </c>
      <c r="C232" s="4" t="str">
        <f>VLOOKUP(D232,'slb RAW'!$E:$F,2)</f>
        <v>XS2449929517</v>
      </c>
      <c r="D232" s="4" t="s">
        <v>1448</v>
      </c>
      <c r="E232" s="4" t="s">
        <v>1449</v>
      </c>
      <c r="F232" s="4" t="s">
        <v>1443</v>
      </c>
      <c r="G232" s="4" t="s">
        <v>367</v>
      </c>
      <c r="H232" s="4" t="s">
        <v>367</v>
      </c>
      <c r="I232" s="4" t="s">
        <v>367</v>
      </c>
      <c r="J232" s="4">
        <v>2.0</v>
      </c>
      <c r="K232" s="4" t="s">
        <v>1444</v>
      </c>
      <c r="L232" s="4" t="s">
        <v>1450</v>
      </c>
      <c r="M232" s="4">
        <v>2.119</v>
      </c>
      <c r="N232" s="4" t="s">
        <v>115</v>
      </c>
      <c r="O232" s="4" t="s">
        <v>116</v>
      </c>
      <c r="P232" s="4" t="s">
        <v>226</v>
      </c>
      <c r="Q232" s="4" t="s">
        <v>52</v>
      </c>
      <c r="R232" s="4" t="s">
        <v>53</v>
      </c>
      <c r="S232" s="4" t="s">
        <v>190</v>
      </c>
      <c r="T232" s="4" t="s">
        <v>55</v>
      </c>
      <c r="U232" s="4" t="s">
        <v>56</v>
      </c>
      <c r="V232" s="4" t="s">
        <v>57</v>
      </c>
      <c r="W232" s="4">
        <v>5.4692E8</v>
      </c>
      <c r="X232" s="4" t="s">
        <v>214</v>
      </c>
      <c r="Y232" s="4" t="s">
        <v>961</v>
      </c>
      <c r="Z232" s="4" t="s">
        <v>60</v>
      </c>
      <c r="AA232" s="4" t="s">
        <v>61</v>
      </c>
      <c r="AB232" s="4" t="s">
        <v>177</v>
      </c>
      <c r="AC232" s="4" t="s">
        <v>192</v>
      </c>
      <c r="AD232" s="3" t="s">
        <v>1446</v>
      </c>
      <c r="AE232" s="7">
        <v>25.0</v>
      </c>
      <c r="AF232" s="12"/>
      <c r="AG232" s="4" t="str">
        <f t="shared" si="1"/>
        <v/>
      </c>
      <c r="AH232" s="8" t="s">
        <v>125</v>
      </c>
      <c r="AI232" s="4" t="s">
        <v>1447</v>
      </c>
      <c r="AJ232" s="7">
        <f>VLOOKUP(D232,'slb RAW'!$E$2:$AF$293,9)</f>
        <v>2.119</v>
      </c>
      <c r="AK232" s="4">
        <f>VLOOKUP(D232,'slb RAW'!$E$2:$AE$293,27)</f>
        <v>2.126</v>
      </c>
      <c r="AL232" s="4" t="str">
        <f>VLOOKUP(C232,'Refinitiv SLB'!F232:S409,14)</f>
        <v>#N/A</v>
      </c>
      <c r="AM232" s="4">
        <f t="shared" si="2"/>
        <v>2.126</v>
      </c>
      <c r="AN232" s="9" t="str">
        <f t="shared" si="3"/>
        <v>Vestas Wind Systems Finance BVCALLABLEFIXEDEURSr Unsecured</v>
      </c>
      <c r="AO232" s="7" t="b">
        <f>ISNUMBER( IFERROR(VLOOKUP(A232,Pairs!$E$2:$E$57,1,FALSE),FALSE))</f>
        <v>0</v>
      </c>
      <c r="AP232" s="7"/>
      <c r="AQ232" s="7"/>
    </row>
    <row r="233" ht="15.75" customHeight="1">
      <c r="A233" s="3">
        <v>264.0</v>
      </c>
      <c r="B233" s="4" t="s">
        <v>1451</v>
      </c>
      <c r="C233" s="4" t="str">
        <f>VLOOKUP(D233,'slb RAW'!$E:$F,2)</f>
        <v>#N/A Field Not Applicable</v>
      </c>
      <c r="D233" s="4" t="s">
        <v>1452</v>
      </c>
      <c r="E233" s="4" t="s">
        <v>1453</v>
      </c>
      <c r="F233" s="4" t="s">
        <v>1454</v>
      </c>
      <c r="G233" s="4" t="s">
        <v>45</v>
      </c>
      <c r="H233" s="4" t="s">
        <v>45</v>
      </c>
      <c r="I233" s="4" t="s">
        <v>45</v>
      </c>
      <c r="J233" s="4">
        <v>0.0</v>
      </c>
      <c r="K233" s="4" t="s">
        <v>1455</v>
      </c>
      <c r="L233" s="4" t="s">
        <v>1456</v>
      </c>
      <c r="M233" s="10" t="s">
        <v>48</v>
      </c>
      <c r="N233" s="4" t="s">
        <v>49</v>
      </c>
      <c r="O233" s="4" t="s">
        <v>50</v>
      </c>
      <c r="P233" s="4" t="s">
        <v>69</v>
      </c>
      <c r="Q233" s="4" t="s">
        <v>52</v>
      </c>
      <c r="R233" s="4" t="s">
        <v>53</v>
      </c>
      <c r="S233" s="4" t="s">
        <v>54</v>
      </c>
      <c r="T233" s="4" t="s">
        <v>55</v>
      </c>
      <c r="U233" s="4" t="s">
        <v>70</v>
      </c>
      <c r="V233" s="4" t="s">
        <v>71</v>
      </c>
      <c r="W233" s="4">
        <v>2.789325E8</v>
      </c>
      <c r="X233" s="4" t="s">
        <v>422</v>
      </c>
      <c r="Y233" s="4" t="s">
        <v>229</v>
      </c>
      <c r="Z233" s="4" t="s">
        <v>60</v>
      </c>
      <c r="AA233" s="4" t="s">
        <v>61</v>
      </c>
      <c r="AB233" s="4" t="s">
        <v>177</v>
      </c>
      <c r="AC233" s="4" t="s">
        <v>192</v>
      </c>
      <c r="AD233" s="3" t="s">
        <v>1457</v>
      </c>
      <c r="AE233" s="7">
        <v>2.5</v>
      </c>
      <c r="AF233" s="7">
        <v>2.5</v>
      </c>
      <c r="AG233" s="4" t="str">
        <f t="shared" si="1"/>
        <v>yes</v>
      </c>
      <c r="AH233" s="8" t="s">
        <v>64</v>
      </c>
      <c r="AI233" s="4" t="s">
        <v>1458</v>
      </c>
      <c r="AJ233" s="7" t="str">
        <f>VLOOKUP(D233,'slb RAW'!$E$2:$AF$293,9)</f>
        <v>#N/A N/A</v>
      </c>
      <c r="AK233" s="4" t="str">
        <f>VLOOKUP(D233,'slb RAW'!$E$2:$AE$293,27)</f>
        <v>#N/A N/A</v>
      </c>
      <c r="AL233" s="4" t="str">
        <f>VLOOKUP(C233,'Refinitiv SLB'!F233:S410,14)</f>
        <v>#N/A</v>
      </c>
      <c r="AM233" s="4" t="str">
        <f t="shared" si="2"/>
        <v>#N/A N/A</v>
      </c>
      <c r="AN233" s="9" t="str">
        <f t="shared" si="3"/>
        <v>Varta AGAT MATURITYFLOATINGEURSr Unsecured</v>
      </c>
      <c r="AO233" s="7" t="b">
        <f>ISNUMBER( IFERROR(VLOOKUP(A233,Pairs!$E$2:$E$57,1,FALSE),FALSE))</f>
        <v>0</v>
      </c>
      <c r="AP233" s="7"/>
      <c r="AQ233" s="7"/>
    </row>
    <row r="234" ht="15.75" customHeight="1">
      <c r="A234" s="3">
        <v>263.0</v>
      </c>
      <c r="B234" s="4" t="s">
        <v>1451</v>
      </c>
      <c r="C234" s="4" t="str">
        <f>VLOOKUP(D234,'slb RAW'!$E:$F,2)</f>
        <v>#N/A Field Not Applicable</v>
      </c>
      <c r="D234" s="4" t="s">
        <v>1459</v>
      </c>
      <c r="E234" s="4" t="s">
        <v>1460</v>
      </c>
      <c r="F234" s="4" t="s">
        <v>1454</v>
      </c>
      <c r="G234" s="4" t="s">
        <v>45</v>
      </c>
      <c r="H234" s="4" t="s">
        <v>45</v>
      </c>
      <c r="I234" s="4" t="s">
        <v>45</v>
      </c>
      <c r="J234" s="4">
        <v>0.0</v>
      </c>
      <c r="K234" s="4" t="s">
        <v>1455</v>
      </c>
      <c r="L234" s="4" t="s">
        <v>1461</v>
      </c>
      <c r="M234" s="10" t="s">
        <v>48</v>
      </c>
      <c r="N234" s="4" t="s">
        <v>49</v>
      </c>
      <c r="O234" s="4" t="s">
        <v>50</v>
      </c>
      <c r="P234" s="4" t="s">
        <v>76</v>
      </c>
      <c r="Q234" s="4" t="s">
        <v>52</v>
      </c>
      <c r="R234" s="4" t="s">
        <v>53</v>
      </c>
      <c r="S234" s="4" t="s">
        <v>54</v>
      </c>
      <c r="T234" s="4" t="s">
        <v>55</v>
      </c>
      <c r="U234" s="4" t="s">
        <v>70</v>
      </c>
      <c r="V234" s="4" t="s">
        <v>71</v>
      </c>
      <c r="W234" s="4">
        <v>2.789325E8</v>
      </c>
      <c r="X234" s="4" t="s">
        <v>422</v>
      </c>
      <c r="Y234" s="4" t="s">
        <v>229</v>
      </c>
      <c r="Z234" s="4" t="s">
        <v>60</v>
      </c>
      <c r="AA234" s="4" t="s">
        <v>61</v>
      </c>
      <c r="AB234" s="4" t="s">
        <v>177</v>
      </c>
      <c r="AC234" s="4" t="s">
        <v>192</v>
      </c>
      <c r="AD234" s="3" t="s">
        <v>1457</v>
      </c>
      <c r="AE234" s="7">
        <v>2.5</v>
      </c>
      <c r="AF234" s="7">
        <v>2.5</v>
      </c>
      <c r="AG234" s="4" t="str">
        <f t="shared" si="1"/>
        <v>yes</v>
      </c>
      <c r="AH234" s="8" t="s">
        <v>64</v>
      </c>
      <c r="AI234" s="4" t="s">
        <v>1458</v>
      </c>
      <c r="AJ234" s="7" t="str">
        <f>VLOOKUP(D234,'slb RAW'!$E$2:$AF$293,9)</f>
        <v>#N/A N/A</v>
      </c>
      <c r="AK234" s="4" t="str">
        <f>VLOOKUP(D234,'slb RAW'!$E$2:$AE$293,27)</f>
        <v>#N/A N/A</v>
      </c>
      <c r="AL234" s="4" t="str">
        <f>VLOOKUP(C234,'Refinitiv SLB'!F234:S411,14)</f>
        <v>#N/A</v>
      </c>
      <c r="AM234" s="4" t="str">
        <f t="shared" si="2"/>
        <v>#N/A N/A</v>
      </c>
      <c r="AN234" s="9" t="str">
        <f t="shared" si="3"/>
        <v>Varta AGAT MATURITYFLOATINGEURSr Unsecured</v>
      </c>
      <c r="AO234" s="7" t="b">
        <f>ISNUMBER( IFERROR(VLOOKUP(A234,Pairs!$E$2:$E$57,1,FALSE),FALSE))</f>
        <v>0</v>
      </c>
      <c r="AP234" s="7"/>
      <c r="AQ234" s="7"/>
    </row>
    <row r="235" ht="15.75" customHeight="1">
      <c r="A235" s="3">
        <v>2.0</v>
      </c>
      <c r="B235" s="4" t="s">
        <v>775</v>
      </c>
      <c r="C235" s="4" t="str">
        <f>VLOOKUP(D235,'slb RAW'!$E:$F,2)</f>
        <v>XS2457496359</v>
      </c>
      <c r="D235" s="4" t="s">
        <v>1462</v>
      </c>
      <c r="E235" s="4" t="s">
        <v>1463</v>
      </c>
      <c r="F235" s="4" t="s">
        <v>778</v>
      </c>
      <c r="G235" s="4" t="s">
        <v>200</v>
      </c>
      <c r="H235" s="4" t="s">
        <v>200</v>
      </c>
      <c r="I235" s="4" t="s">
        <v>200</v>
      </c>
      <c r="J235" s="4">
        <v>1.5</v>
      </c>
      <c r="K235" s="4" t="s">
        <v>1464</v>
      </c>
      <c r="L235" s="4" t="s">
        <v>1465</v>
      </c>
      <c r="M235" s="4">
        <v>1.622</v>
      </c>
      <c r="N235" s="4" t="s">
        <v>115</v>
      </c>
      <c r="O235" s="4" t="s">
        <v>116</v>
      </c>
      <c r="P235" s="4" t="s">
        <v>226</v>
      </c>
      <c r="Q235" s="4" t="s">
        <v>52</v>
      </c>
      <c r="R235" s="4" t="s">
        <v>53</v>
      </c>
      <c r="S235" s="4" t="s">
        <v>175</v>
      </c>
      <c r="T235" s="4" t="s">
        <v>55</v>
      </c>
      <c r="U235" s="4" t="s">
        <v>56</v>
      </c>
      <c r="V235" s="4" t="s">
        <v>57</v>
      </c>
      <c r="W235" s="4">
        <v>5.49215E8</v>
      </c>
      <c r="X235" s="4" t="s">
        <v>120</v>
      </c>
      <c r="Y235" s="4" t="s">
        <v>238</v>
      </c>
      <c r="Z235" s="4" t="s">
        <v>203</v>
      </c>
      <c r="AA235" s="4" t="s">
        <v>204</v>
      </c>
      <c r="AB235" s="4" t="s">
        <v>204</v>
      </c>
      <c r="AC235" s="4" t="s">
        <v>204</v>
      </c>
      <c r="AD235" s="4" t="s">
        <v>1466</v>
      </c>
      <c r="AE235" s="7">
        <v>25.0</v>
      </c>
      <c r="AF235" s="12"/>
      <c r="AG235" s="4" t="str">
        <f t="shared" si="1"/>
        <v/>
      </c>
      <c r="AH235" s="8" t="s">
        <v>125</v>
      </c>
      <c r="AI235" s="4" t="s">
        <v>1467</v>
      </c>
      <c r="AJ235" s="7">
        <f>VLOOKUP(D235,'slb RAW'!$E$2:$AF$293,9)</f>
        <v>1.622</v>
      </c>
      <c r="AK235" s="4">
        <f>VLOOKUP(D235,'slb RAW'!$E$2:$AE$293,27)</f>
        <v>1.707</v>
      </c>
      <c r="AL235" s="4" t="str">
        <f>VLOOKUP(C235,'Refinitiv SLB'!F235:S412,14)</f>
        <v>#N/A</v>
      </c>
      <c r="AM235" s="4">
        <f t="shared" si="2"/>
        <v>1.707</v>
      </c>
      <c r="AN235" s="9" t="str">
        <f t="shared" si="3"/>
        <v>A2A SpACALLABLEFIXEDEURSr Unsecured</v>
      </c>
      <c r="AO235" s="7" t="b">
        <f>ISNUMBER( IFERROR(VLOOKUP(A235,Pairs!$E$2:$E$57,1,FALSE),FALSE))</f>
        <v>1</v>
      </c>
      <c r="AP235" s="7"/>
      <c r="AQ235" s="7"/>
    </row>
    <row r="236" ht="15.75" customHeight="1">
      <c r="A236" s="3">
        <v>162.0</v>
      </c>
      <c r="B236" s="4" t="s">
        <v>1217</v>
      </c>
      <c r="C236" s="4" t="str">
        <f>VLOOKUP(D236,'slb RAW'!$E:$F,2)</f>
        <v>XS2459163619</v>
      </c>
      <c r="D236" s="4" t="s">
        <v>1468</v>
      </c>
      <c r="E236" s="4" t="s">
        <v>1469</v>
      </c>
      <c r="F236" s="4" t="s">
        <v>1220</v>
      </c>
      <c r="G236" s="4" t="s">
        <v>45</v>
      </c>
      <c r="H236" s="4" t="s">
        <v>45</v>
      </c>
      <c r="I236" s="4" t="s">
        <v>45</v>
      </c>
      <c r="J236" s="4">
        <v>1.75</v>
      </c>
      <c r="K236" s="4" t="s">
        <v>1470</v>
      </c>
      <c r="L236" s="4" t="s">
        <v>1471</v>
      </c>
      <c r="M236" s="4">
        <v>1.813</v>
      </c>
      <c r="N236" s="4" t="s">
        <v>115</v>
      </c>
      <c r="O236" s="4" t="s">
        <v>116</v>
      </c>
      <c r="P236" s="4" t="s">
        <v>226</v>
      </c>
      <c r="Q236" s="4" t="s">
        <v>52</v>
      </c>
      <c r="R236" s="4" t="s">
        <v>53</v>
      </c>
      <c r="S236" s="4" t="s">
        <v>175</v>
      </c>
      <c r="T236" s="4" t="s">
        <v>421</v>
      </c>
      <c r="U236" s="4" t="s">
        <v>56</v>
      </c>
      <c r="V236" s="4" t="s">
        <v>57</v>
      </c>
      <c r="W236" s="4">
        <v>6.61404E8</v>
      </c>
      <c r="X236" s="4" t="s">
        <v>85</v>
      </c>
      <c r="Y236" s="4" t="s">
        <v>515</v>
      </c>
      <c r="Z236" s="4" t="s">
        <v>60</v>
      </c>
      <c r="AA236" s="4" t="s">
        <v>61</v>
      </c>
      <c r="AB236" s="4" t="s">
        <v>87</v>
      </c>
      <c r="AC236" s="4" t="s">
        <v>515</v>
      </c>
      <c r="AD236" s="3" t="s">
        <v>1472</v>
      </c>
      <c r="AE236" s="7">
        <v>25.0</v>
      </c>
      <c r="AF236" s="12"/>
      <c r="AG236" s="4" t="str">
        <f t="shared" si="1"/>
        <v/>
      </c>
      <c r="AH236" s="8" t="s">
        <v>125</v>
      </c>
      <c r="AI236" s="4" t="s">
        <v>1473</v>
      </c>
      <c r="AJ236" s="7">
        <f>VLOOKUP(D236,'slb RAW'!$E$2:$AF$293,9)</f>
        <v>1.813</v>
      </c>
      <c r="AK236" s="4">
        <f>VLOOKUP(D236,'slb RAW'!$E$2:$AE$293,27)</f>
        <v>1.852</v>
      </c>
      <c r="AL236" s="4" t="str">
        <f>VLOOKUP(C236,'Refinitiv SLB'!F236:S413,14)</f>
        <v>#N/A</v>
      </c>
      <c r="AM236" s="4">
        <f t="shared" si="2"/>
        <v>1.852</v>
      </c>
      <c r="AN236" s="9" t="str">
        <f t="shared" si="3"/>
        <v>LANXESS AGCALLABLEFIXEDEURSr Unsecured</v>
      </c>
      <c r="AO236" s="7" t="b">
        <f>ISNUMBER( IFERROR(VLOOKUP(A236,Pairs!$E$2:$E$57,1,FALSE),FALSE))</f>
        <v>1</v>
      </c>
      <c r="AP236" s="7"/>
      <c r="AQ236" s="7"/>
    </row>
    <row r="237" ht="15.75" customHeight="1">
      <c r="A237" s="3">
        <v>161.0</v>
      </c>
      <c r="B237" s="4" t="s">
        <v>1474</v>
      </c>
      <c r="C237" s="4" t="str">
        <f>VLOOKUP(D237,'slb RAW'!$E:$F,2)</f>
        <v>FR0014009EJ8</v>
      </c>
      <c r="D237" s="4" t="s">
        <v>1475</v>
      </c>
      <c r="E237" s="4" t="s">
        <v>1476</v>
      </c>
      <c r="F237" s="4" t="s">
        <v>1477</v>
      </c>
      <c r="G237" s="4" t="s">
        <v>185</v>
      </c>
      <c r="H237" s="4" t="s">
        <v>185</v>
      </c>
      <c r="I237" s="4" t="s">
        <v>185</v>
      </c>
      <c r="J237" s="4">
        <v>0.875</v>
      </c>
      <c r="K237" s="4" t="s">
        <v>1478</v>
      </c>
      <c r="L237" s="4" t="s">
        <v>1479</v>
      </c>
      <c r="M237" s="4">
        <v>0.901</v>
      </c>
      <c r="N237" s="4" t="s">
        <v>115</v>
      </c>
      <c r="O237" s="4" t="s">
        <v>116</v>
      </c>
      <c r="P237" s="4" t="s">
        <v>174</v>
      </c>
      <c r="Q237" s="4" t="s">
        <v>52</v>
      </c>
      <c r="R237" s="4" t="s">
        <v>53</v>
      </c>
      <c r="S237" s="4" t="s">
        <v>421</v>
      </c>
      <c r="T237" s="4" t="s">
        <v>133</v>
      </c>
      <c r="U237" s="4" t="s">
        <v>56</v>
      </c>
      <c r="V237" s="4" t="s">
        <v>57</v>
      </c>
      <c r="W237" s="4">
        <v>1.3850375E9</v>
      </c>
      <c r="X237" s="4" t="s">
        <v>422</v>
      </c>
      <c r="Y237" s="4" t="s">
        <v>229</v>
      </c>
      <c r="Z237" s="4" t="s">
        <v>60</v>
      </c>
      <c r="AA237" s="4" t="s">
        <v>61</v>
      </c>
      <c r="AB237" s="4" t="s">
        <v>228</v>
      </c>
      <c r="AC237" s="4" t="s">
        <v>229</v>
      </c>
      <c r="AD237" s="3" t="s">
        <v>1480</v>
      </c>
      <c r="AE237" s="7">
        <v>12.5</v>
      </c>
      <c r="AF237" s="12"/>
      <c r="AG237" s="4" t="str">
        <f t="shared" si="1"/>
        <v/>
      </c>
      <c r="AH237" s="8" t="s">
        <v>125</v>
      </c>
      <c r="AI237" s="4" t="s">
        <v>1481</v>
      </c>
      <c r="AJ237" s="7">
        <f>VLOOKUP(D237,'slb RAW'!$E$2:$AF$293,9)</f>
        <v>0.901</v>
      </c>
      <c r="AK237" s="4">
        <f>VLOOKUP(D237,'slb RAW'!$E$2:$AE$293,27)</f>
        <v>0.857</v>
      </c>
      <c r="AL237" s="4" t="str">
        <f>VLOOKUP(C237,'Refinitiv SLB'!F237:S414,14)</f>
        <v>#N/A</v>
      </c>
      <c r="AM237" s="4">
        <f t="shared" si="2"/>
        <v>0.857</v>
      </c>
      <c r="AN237" s="9" t="str">
        <f t="shared" si="3"/>
        <v>L'Oreal SACALLABLEFIXEDEURSr Unsecured</v>
      </c>
      <c r="AO237" s="7" t="b">
        <f>ISNUMBER( IFERROR(VLOOKUP(A237,Pairs!$E$2:$E$57,1,FALSE),FALSE))</f>
        <v>1</v>
      </c>
      <c r="AP237" s="7"/>
      <c r="AQ237" s="7"/>
    </row>
    <row r="238" ht="15.75" customHeight="1">
      <c r="A238" s="3">
        <v>111.0</v>
      </c>
      <c r="B238" s="4" t="s">
        <v>1076</v>
      </c>
      <c r="C238" s="4" t="str">
        <f>VLOOKUP(D238,'slb RAW'!$E:$F,2)</f>
        <v>#N/A Field Not Applicable</v>
      </c>
      <c r="D238" s="4" t="s">
        <v>1482</v>
      </c>
      <c r="E238" s="4" t="s">
        <v>1483</v>
      </c>
      <c r="F238" s="4" t="s">
        <v>1079</v>
      </c>
      <c r="G238" s="4" t="s">
        <v>185</v>
      </c>
      <c r="H238" s="4" t="s">
        <v>185</v>
      </c>
      <c r="I238" s="4" t="s">
        <v>185</v>
      </c>
      <c r="J238" s="4">
        <v>0.0</v>
      </c>
      <c r="K238" s="4" t="s">
        <v>1484</v>
      </c>
      <c r="L238" s="4" t="s">
        <v>1485</v>
      </c>
      <c r="M238" s="10" t="s">
        <v>48</v>
      </c>
      <c r="N238" s="4" t="s">
        <v>49</v>
      </c>
      <c r="O238" s="4" t="s">
        <v>50</v>
      </c>
      <c r="P238" s="4" t="s">
        <v>1036</v>
      </c>
      <c r="Q238" s="4" t="s">
        <v>52</v>
      </c>
      <c r="R238" s="4" t="s">
        <v>53</v>
      </c>
      <c r="S238" s="4" t="s">
        <v>54</v>
      </c>
      <c r="T238" s="4" t="s">
        <v>885</v>
      </c>
      <c r="U238" s="4" t="s">
        <v>70</v>
      </c>
      <c r="V238" s="4" t="s">
        <v>71</v>
      </c>
      <c r="W238" s="4">
        <v>5.62035E7</v>
      </c>
      <c r="X238" s="4" t="s">
        <v>134</v>
      </c>
      <c r="Y238" s="4" t="s">
        <v>544</v>
      </c>
      <c r="Z238" s="4" t="s">
        <v>60</v>
      </c>
      <c r="AA238" s="4" t="s">
        <v>61</v>
      </c>
      <c r="AB238" s="4" t="s">
        <v>136</v>
      </c>
      <c r="AC238" s="4" t="s">
        <v>545</v>
      </c>
      <c r="AD238" s="10" t="s">
        <v>48</v>
      </c>
      <c r="AE238" s="8" t="s">
        <v>139</v>
      </c>
      <c r="AF238" s="12"/>
      <c r="AG238" s="4" t="str">
        <f t="shared" si="1"/>
        <v/>
      </c>
      <c r="AH238" s="12"/>
      <c r="AI238" s="4" t="s">
        <v>1486</v>
      </c>
      <c r="AJ238" s="7" t="str">
        <f>VLOOKUP(D238,'slb RAW'!$E$2:$AF$293,9)</f>
        <v>#N/A N/A</v>
      </c>
      <c r="AK238" s="4" t="str">
        <f>VLOOKUP(D238,'slb RAW'!$E$2:$AE$293,27)</f>
        <v>#N/A N/A</v>
      </c>
      <c r="AL238" s="4" t="str">
        <f>VLOOKUP(C238,'Refinitiv SLB'!F238:S415,14)</f>
        <v>#N/A</v>
      </c>
      <c r="AM238" s="4" t="str">
        <f t="shared" si="2"/>
        <v>#N/A N/A</v>
      </c>
      <c r="AN238" s="9" t="str">
        <f t="shared" si="3"/>
        <v>Faurecia SEAT MATURITYFLOATINGEURSr Unsecured</v>
      </c>
      <c r="AO238" s="7" t="b">
        <f>ISNUMBER( IFERROR(VLOOKUP(A238,Pairs!$E$2:$E$57,1,FALSE),FALSE))</f>
        <v>0</v>
      </c>
      <c r="AP238" s="7"/>
      <c r="AQ238" s="7"/>
    </row>
    <row r="239" ht="15.75" customHeight="1">
      <c r="A239" s="3">
        <v>38.0</v>
      </c>
      <c r="B239" s="4" t="s">
        <v>1487</v>
      </c>
      <c r="C239" s="4" t="str">
        <f>VLOOKUP(D239,'slb RAW'!$E:$F,2)</f>
        <v>FR0014009DZ6</v>
      </c>
      <c r="D239" s="4" t="s">
        <v>1488</v>
      </c>
      <c r="E239" s="4" t="s">
        <v>1489</v>
      </c>
      <c r="F239" s="4" t="s">
        <v>1490</v>
      </c>
      <c r="G239" s="4" t="s">
        <v>185</v>
      </c>
      <c r="H239" s="4" t="s">
        <v>185</v>
      </c>
      <c r="I239" s="4" t="s">
        <v>185</v>
      </c>
      <c r="J239" s="4">
        <v>1.875</v>
      </c>
      <c r="K239" s="4" t="s">
        <v>1455</v>
      </c>
      <c r="L239" s="4" t="s">
        <v>1491</v>
      </c>
      <c r="M239" s="18">
        <v>1.8644</v>
      </c>
      <c r="N239" s="4" t="s">
        <v>115</v>
      </c>
      <c r="O239" s="4" t="s">
        <v>116</v>
      </c>
      <c r="P239" s="4" t="s">
        <v>226</v>
      </c>
      <c r="Q239" s="4" t="s">
        <v>52</v>
      </c>
      <c r="R239" s="4" t="s">
        <v>53</v>
      </c>
      <c r="S239" s="4" t="s">
        <v>190</v>
      </c>
      <c r="T239" s="4" t="s">
        <v>117</v>
      </c>
      <c r="U239" s="4" t="s">
        <v>56</v>
      </c>
      <c r="V239" s="4" t="s">
        <v>57</v>
      </c>
      <c r="W239" s="4">
        <v>8.367975E8</v>
      </c>
      <c r="X239" s="4" t="s">
        <v>422</v>
      </c>
      <c r="Y239" s="4" t="s">
        <v>423</v>
      </c>
      <c r="Z239" s="4" t="s">
        <v>60</v>
      </c>
      <c r="AA239" s="4" t="s">
        <v>61</v>
      </c>
      <c r="AB239" s="4" t="s">
        <v>228</v>
      </c>
      <c r="AC239" s="4" t="s">
        <v>424</v>
      </c>
      <c r="AD239" s="3" t="s">
        <v>1492</v>
      </c>
      <c r="AE239" s="7">
        <v>25.0</v>
      </c>
      <c r="AF239" s="12"/>
      <c r="AG239" s="4" t="str">
        <f t="shared" si="1"/>
        <v/>
      </c>
      <c r="AH239" s="8" t="s">
        <v>125</v>
      </c>
      <c r="AI239" s="4" t="s">
        <v>1493</v>
      </c>
      <c r="AJ239" s="7" t="str">
        <f>VLOOKUP(D239,'slb RAW'!$E$2:$AF$293,9)</f>
        <v>#N/A N/A</v>
      </c>
      <c r="AK239" s="4">
        <f>VLOOKUP(D239,'slb RAW'!$E$2:$AE$293,27)</f>
        <v>1.844</v>
      </c>
      <c r="AL239" s="4" t="str">
        <f>VLOOKUP(C239,'Refinitiv SLB'!F239:S416,14)</f>
        <v>#N/A</v>
      </c>
      <c r="AM239" s="4">
        <f t="shared" si="2"/>
        <v>1.844</v>
      </c>
      <c r="AN239" s="9" t="str">
        <f t="shared" si="3"/>
        <v>Carrefour SACALLABLEFIXEDEURSr Unsecured</v>
      </c>
      <c r="AO239" s="7" t="b">
        <f>ISNUMBER( IFERROR(VLOOKUP(A239,Pairs!$E$2:$E$57,1,FALSE),FALSE))</f>
        <v>1</v>
      </c>
      <c r="AP239" s="7"/>
      <c r="AQ239" s="7"/>
    </row>
    <row r="240" ht="15.75" customHeight="1">
      <c r="A240" s="3">
        <v>39.0</v>
      </c>
      <c r="B240" s="4" t="s">
        <v>1487</v>
      </c>
      <c r="C240" s="4" t="str">
        <f>VLOOKUP(D240,'slb RAW'!$E:$F,2)</f>
        <v>FR0014009E07</v>
      </c>
      <c r="D240" s="4" t="s">
        <v>1494</v>
      </c>
      <c r="E240" s="4" t="s">
        <v>1495</v>
      </c>
      <c r="F240" s="4" t="s">
        <v>1490</v>
      </c>
      <c r="G240" s="4" t="s">
        <v>185</v>
      </c>
      <c r="H240" s="4" t="s">
        <v>185</v>
      </c>
      <c r="I240" s="4" t="s">
        <v>185</v>
      </c>
      <c r="J240" s="4">
        <v>2.375</v>
      </c>
      <c r="K240" s="4" t="s">
        <v>1455</v>
      </c>
      <c r="L240" s="4" t="s">
        <v>1496</v>
      </c>
      <c r="M240" s="4">
        <v>2.471</v>
      </c>
      <c r="N240" s="4" t="s">
        <v>115</v>
      </c>
      <c r="O240" s="4" t="s">
        <v>116</v>
      </c>
      <c r="P240" s="4" t="s">
        <v>226</v>
      </c>
      <c r="Q240" s="4" t="s">
        <v>52</v>
      </c>
      <c r="R240" s="4" t="s">
        <v>53</v>
      </c>
      <c r="S240" s="4" t="s">
        <v>190</v>
      </c>
      <c r="T240" s="4" t="s">
        <v>117</v>
      </c>
      <c r="U240" s="4" t="s">
        <v>56</v>
      </c>
      <c r="V240" s="4" t="s">
        <v>57</v>
      </c>
      <c r="W240" s="4">
        <v>8.367975E8</v>
      </c>
      <c r="X240" s="4" t="s">
        <v>422</v>
      </c>
      <c r="Y240" s="4" t="s">
        <v>423</v>
      </c>
      <c r="Z240" s="4" t="s">
        <v>60</v>
      </c>
      <c r="AA240" s="4" t="s">
        <v>61</v>
      </c>
      <c r="AB240" s="4" t="s">
        <v>228</v>
      </c>
      <c r="AC240" s="4" t="s">
        <v>424</v>
      </c>
      <c r="AD240" s="3" t="s">
        <v>1497</v>
      </c>
      <c r="AE240" s="7">
        <v>25.0</v>
      </c>
      <c r="AF240" s="12"/>
      <c r="AG240" s="4" t="str">
        <f t="shared" si="1"/>
        <v/>
      </c>
      <c r="AH240" s="8" t="s">
        <v>125</v>
      </c>
      <c r="AI240" s="4" t="s">
        <v>1498</v>
      </c>
      <c r="AJ240" s="7">
        <f>VLOOKUP(D240,'slb RAW'!$E$2:$AF$293,9)</f>
        <v>2.471</v>
      </c>
      <c r="AK240" s="4">
        <f>VLOOKUP(D240,'slb RAW'!$E$2:$AE$293,27)</f>
        <v>2.227</v>
      </c>
      <c r="AL240" s="4" t="str">
        <f>VLOOKUP(C240,'Refinitiv SLB'!F240:S417,14)</f>
        <v>#N/A</v>
      </c>
      <c r="AM240" s="4">
        <f t="shared" si="2"/>
        <v>2.227</v>
      </c>
      <c r="AN240" s="9" t="str">
        <f t="shared" si="3"/>
        <v>Carrefour SACALLABLEFIXEDEURSr Unsecured</v>
      </c>
      <c r="AO240" s="7" t="b">
        <f>ISNUMBER( IFERROR(VLOOKUP(A240,Pairs!$E$2:$E$57,1,FALSE),FALSE))</f>
        <v>1</v>
      </c>
      <c r="AP240" s="7"/>
      <c r="AQ240" s="7"/>
    </row>
    <row r="241" ht="15.75" customHeight="1">
      <c r="A241" s="3">
        <v>36.0</v>
      </c>
      <c r="B241" s="4" t="s">
        <v>1499</v>
      </c>
      <c r="C241" s="4" t="str">
        <f>VLOOKUP(D241,'slb RAW'!$E:$F,2)</f>
        <v>SE0017767346</v>
      </c>
      <c r="D241" s="4" t="s">
        <v>1500</v>
      </c>
      <c r="E241" s="4" t="s">
        <v>1501</v>
      </c>
      <c r="F241" s="4" t="s">
        <v>1502</v>
      </c>
      <c r="G241" s="4" t="s">
        <v>368</v>
      </c>
      <c r="H241" s="4" t="s">
        <v>368</v>
      </c>
      <c r="I241" s="4" t="s">
        <v>368</v>
      </c>
      <c r="J241" s="4">
        <v>9.572000000000001</v>
      </c>
      <c r="K241" s="4" t="s">
        <v>1503</v>
      </c>
      <c r="L241" s="4" t="s">
        <v>1504</v>
      </c>
      <c r="M241" s="18">
        <v>9.148</v>
      </c>
      <c r="N241" s="4" t="s">
        <v>115</v>
      </c>
      <c r="O241" s="4" t="s">
        <v>116</v>
      </c>
      <c r="P241" s="4" t="s">
        <v>174</v>
      </c>
      <c r="Q241" s="4" t="s">
        <v>459</v>
      </c>
      <c r="R241" s="4" t="s">
        <v>687</v>
      </c>
      <c r="S241" s="4" t="s">
        <v>54</v>
      </c>
      <c r="T241" s="4" t="s">
        <v>55</v>
      </c>
      <c r="U241" s="4" t="s">
        <v>70</v>
      </c>
      <c r="V241" s="4" t="s">
        <v>392</v>
      </c>
      <c r="W241" s="4">
        <v>1.726659E8</v>
      </c>
      <c r="X241" s="4" t="s">
        <v>378</v>
      </c>
      <c r="Y241" s="4" t="s">
        <v>1073</v>
      </c>
      <c r="Z241" s="4" t="s">
        <v>60</v>
      </c>
      <c r="AA241" s="4" t="s">
        <v>61</v>
      </c>
      <c r="AB241" s="4" t="s">
        <v>378</v>
      </c>
      <c r="AC241" s="4" t="s">
        <v>378</v>
      </c>
      <c r="AD241" s="3" t="s">
        <v>1505</v>
      </c>
      <c r="AE241" s="7">
        <v>75.0</v>
      </c>
      <c r="AF241" s="12"/>
      <c r="AG241" s="4" t="str">
        <f t="shared" si="1"/>
        <v/>
      </c>
      <c r="AH241" s="8" t="s">
        <v>125</v>
      </c>
      <c r="AI241" s="4" t="s">
        <v>1506</v>
      </c>
      <c r="AJ241" s="7" t="str">
        <f>VLOOKUP(D241,'slb RAW'!$E$2:$AF$293,9)</f>
        <v>#N/A N/A</v>
      </c>
      <c r="AK241" s="4">
        <f>VLOOKUP(D241,'slb RAW'!$E$2:$AE$293,27)</f>
        <v>9.001</v>
      </c>
      <c r="AL241" s="4" t="str">
        <f>VLOOKUP(C241,'Refinitiv SLB'!F241:S418,14)</f>
        <v>#N/A</v>
      </c>
      <c r="AM241" s="4">
        <f t="shared" si="2"/>
        <v>9.001</v>
      </c>
      <c r="AN241" s="9" t="str">
        <f t="shared" si="3"/>
        <v>Cabonline Group Holding ABCALLABLEFLOATINGSEKSecured</v>
      </c>
      <c r="AO241" s="7" t="b">
        <f>ISNUMBER( IFERROR(VLOOKUP(A241,Pairs!$E$2:$E$57,1,FALSE),FALSE))</f>
        <v>0</v>
      </c>
      <c r="AP241" s="7"/>
      <c r="AQ241" s="7"/>
    </row>
    <row r="242" ht="15.75" customHeight="1">
      <c r="A242" s="3">
        <v>68.0</v>
      </c>
      <c r="B242" s="4" t="s">
        <v>558</v>
      </c>
      <c r="C242" s="4" t="str">
        <f>VLOOKUP(D242,'slb RAW'!$E:$F,2)</f>
        <v>XS2463988795</v>
      </c>
      <c r="D242" s="4" t="s">
        <v>1507</v>
      </c>
      <c r="E242" s="4" t="s">
        <v>1508</v>
      </c>
      <c r="F242" s="4" t="s">
        <v>561</v>
      </c>
      <c r="G242" s="4" t="s">
        <v>368</v>
      </c>
      <c r="H242" s="4" t="s">
        <v>368</v>
      </c>
      <c r="I242" s="4" t="s">
        <v>368</v>
      </c>
      <c r="J242" s="4">
        <v>2.375</v>
      </c>
      <c r="K242" s="4" t="s">
        <v>1509</v>
      </c>
      <c r="L242" s="4" t="s">
        <v>1510</v>
      </c>
      <c r="M242" s="4">
        <v>2.46</v>
      </c>
      <c r="N242" s="4" t="s">
        <v>115</v>
      </c>
      <c r="O242" s="4" t="s">
        <v>116</v>
      </c>
      <c r="P242" s="4" t="s">
        <v>174</v>
      </c>
      <c r="Q242" s="4" t="s">
        <v>52</v>
      </c>
      <c r="R242" s="4" t="s">
        <v>53</v>
      </c>
      <c r="S242" s="4" t="s">
        <v>190</v>
      </c>
      <c r="T242" s="4" t="s">
        <v>421</v>
      </c>
      <c r="U242" s="4" t="s">
        <v>56</v>
      </c>
      <c r="V242" s="4" t="s">
        <v>57</v>
      </c>
      <c r="W242" s="4">
        <v>8.18115E8</v>
      </c>
      <c r="X242" s="4" t="s">
        <v>485</v>
      </c>
      <c r="Y242" s="4" t="s">
        <v>563</v>
      </c>
      <c r="Z242" s="4" t="s">
        <v>60</v>
      </c>
      <c r="AA242" s="4" t="s">
        <v>487</v>
      </c>
      <c r="AB242" s="4" t="s">
        <v>564</v>
      </c>
      <c r="AC242" s="4" t="s">
        <v>564</v>
      </c>
      <c r="AD242" s="3" t="s">
        <v>1511</v>
      </c>
      <c r="AE242" s="7">
        <v>25.0</v>
      </c>
      <c r="AF242" s="12"/>
      <c r="AG242" s="4" t="str">
        <f t="shared" si="1"/>
        <v/>
      </c>
      <c r="AH242" s="8" t="s">
        <v>140</v>
      </c>
      <c r="AI242" s="4" t="s">
        <v>1512</v>
      </c>
      <c r="AJ242" s="7">
        <f>VLOOKUP(D242,'slb RAW'!$E$2:$AF$293,9)</f>
        <v>2.46</v>
      </c>
      <c r="AK242" s="4">
        <f>VLOOKUP(D242,'slb RAW'!$E$2:$AE$293,27)</f>
        <v>2.393</v>
      </c>
      <c r="AL242" s="4" t="str">
        <f>VLOOKUP(C242,'Refinitiv SLB'!F242:S419,14)</f>
        <v>#N/A</v>
      </c>
      <c r="AM242" s="4">
        <f t="shared" si="2"/>
        <v>2.393</v>
      </c>
      <c r="AN242" s="9" t="str">
        <f t="shared" si="3"/>
        <v>EQT ABCALLABLEFIXEDEURSr Unsecured</v>
      </c>
      <c r="AO242" s="7" t="b">
        <f>ISNUMBER( IFERROR(VLOOKUP(A242,Pairs!$E$2:$E$57,1,FALSE),FALSE))</f>
        <v>0</v>
      </c>
      <c r="AP242" s="7"/>
      <c r="AQ242" s="7"/>
    </row>
    <row r="243" ht="15.75" customHeight="1">
      <c r="A243" s="3">
        <v>34.0</v>
      </c>
      <c r="B243" s="4" t="s">
        <v>1513</v>
      </c>
      <c r="C243" s="4" t="str">
        <f>VLOOKUP(D243,'slb RAW'!$E:$F,2)</f>
        <v>XS2461786829</v>
      </c>
      <c r="D243" s="4" t="s">
        <v>1514</v>
      </c>
      <c r="E243" s="4" t="s">
        <v>1515</v>
      </c>
      <c r="F243" s="4" t="s">
        <v>1516</v>
      </c>
      <c r="G243" s="4" t="s">
        <v>1340</v>
      </c>
      <c r="H243" s="4" t="s">
        <v>1340</v>
      </c>
      <c r="I243" s="4" t="s">
        <v>1340</v>
      </c>
      <c r="J243" s="4">
        <v>2.375</v>
      </c>
      <c r="K243" s="4" t="s">
        <v>1509</v>
      </c>
      <c r="L243" s="4" t="s">
        <v>68</v>
      </c>
      <c r="M243" s="4">
        <v>2.462</v>
      </c>
      <c r="N243" s="4" t="s">
        <v>115</v>
      </c>
      <c r="O243" s="4" t="s">
        <v>116</v>
      </c>
      <c r="P243" s="4" t="s">
        <v>226</v>
      </c>
      <c r="Q243" s="4" t="s">
        <v>52</v>
      </c>
      <c r="R243" s="4" t="s">
        <v>53</v>
      </c>
      <c r="S243" s="4" t="s">
        <v>620</v>
      </c>
      <c r="T243" s="4" t="s">
        <v>421</v>
      </c>
      <c r="U243" s="4" t="s">
        <v>56</v>
      </c>
      <c r="V243" s="4" t="s">
        <v>57</v>
      </c>
      <c r="W243" s="4">
        <v>6.54492E8</v>
      </c>
      <c r="X243" s="4" t="s">
        <v>120</v>
      </c>
      <c r="Y243" s="4" t="s">
        <v>238</v>
      </c>
      <c r="Z243" s="4" t="s">
        <v>203</v>
      </c>
      <c r="AA243" s="4" t="s">
        <v>412</v>
      </c>
      <c r="AB243" s="4" t="s">
        <v>413</v>
      </c>
      <c r="AC243" s="4" t="s">
        <v>413</v>
      </c>
      <c r="AD243" s="3" t="s">
        <v>1517</v>
      </c>
      <c r="AE243" s="7">
        <v>75.0</v>
      </c>
      <c r="AF243" s="12"/>
      <c r="AG243" s="4" t="str">
        <f t="shared" si="1"/>
        <v/>
      </c>
      <c r="AH243" s="8" t="s">
        <v>125</v>
      </c>
      <c r="AI243" s="4" t="s">
        <v>1518</v>
      </c>
      <c r="AJ243" s="7">
        <f>VLOOKUP(D243,'slb RAW'!$E$2:$AF$293,9)</f>
        <v>2.462</v>
      </c>
      <c r="AK243" s="4">
        <f>VLOOKUP(D243,'slb RAW'!$E$2:$AE$293,27)</f>
        <v>2.285</v>
      </c>
      <c r="AL243" s="4" t="str">
        <f>VLOOKUP(C243,'Refinitiv SLB'!F243:S420,14)</f>
        <v>#N/A</v>
      </c>
      <c r="AM243" s="4">
        <f t="shared" si="2"/>
        <v>2.285</v>
      </c>
      <c r="AN243" s="9" t="str">
        <f t="shared" si="3"/>
        <v>CEZ ASCALLABLEFIXEDEURSr Unsecured</v>
      </c>
      <c r="AO243" s="7" t="b">
        <f>ISNUMBER( IFERROR(VLOOKUP(A243,Pairs!$E$2:$E$57,1,FALSE),FALSE))</f>
        <v>0</v>
      </c>
      <c r="AP243" s="7"/>
      <c r="AQ243" s="7"/>
    </row>
    <row r="244" ht="15.75" customHeight="1">
      <c r="A244" s="3">
        <v>231.0</v>
      </c>
      <c r="B244" s="4" t="s">
        <v>1519</v>
      </c>
      <c r="C244" s="4" t="str">
        <f>VLOOKUP(D244,'slb RAW'!$E:$F,2)</f>
        <v>FR0014009KQ0</v>
      </c>
      <c r="D244" s="4" t="s">
        <v>1520</v>
      </c>
      <c r="E244" s="4" t="s">
        <v>1521</v>
      </c>
      <c r="F244" s="4" t="s">
        <v>1522</v>
      </c>
      <c r="G244" s="4" t="s">
        <v>185</v>
      </c>
      <c r="H244" s="4" t="s">
        <v>185</v>
      </c>
      <c r="I244" s="4" t="s">
        <v>185</v>
      </c>
      <c r="J244" s="4">
        <v>1.25</v>
      </c>
      <c r="K244" s="4" t="s">
        <v>1509</v>
      </c>
      <c r="L244" s="4" t="s">
        <v>1523</v>
      </c>
      <c r="M244" s="4">
        <v>1.302</v>
      </c>
      <c r="N244" s="4" t="s">
        <v>115</v>
      </c>
      <c r="O244" s="4" t="s">
        <v>116</v>
      </c>
      <c r="P244" s="4" t="s">
        <v>174</v>
      </c>
      <c r="Q244" s="4" t="s">
        <v>52</v>
      </c>
      <c r="R244" s="4" t="s">
        <v>53</v>
      </c>
      <c r="S244" s="4" t="s">
        <v>484</v>
      </c>
      <c r="T244" s="4" t="s">
        <v>117</v>
      </c>
      <c r="U244" s="4" t="s">
        <v>56</v>
      </c>
      <c r="V244" s="4" t="s">
        <v>57</v>
      </c>
      <c r="W244" s="4">
        <v>7.09033E8</v>
      </c>
      <c r="X244" s="4" t="s">
        <v>1050</v>
      </c>
      <c r="Y244" s="4" t="s">
        <v>1051</v>
      </c>
      <c r="Z244" s="4" t="s">
        <v>60</v>
      </c>
      <c r="AA244" s="4" t="s">
        <v>61</v>
      </c>
      <c r="AB244" s="4" t="s">
        <v>228</v>
      </c>
      <c r="AC244" s="4" t="s">
        <v>1051</v>
      </c>
      <c r="AD244" s="3" t="s">
        <v>1524</v>
      </c>
      <c r="AE244" s="7">
        <v>25.0</v>
      </c>
      <c r="AF244" s="12"/>
      <c r="AG244" s="4" t="str">
        <f t="shared" si="1"/>
        <v/>
      </c>
      <c r="AH244" s="8" t="s">
        <v>252</v>
      </c>
      <c r="AI244" s="4" t="s">
        <v>1525</v>
      </c>
      <c r="AJ244" s="7">
        <f>VLOOKUP(D244,'slb RAW'!$E$2:$AF$293,9)</f>
        <v>1.302</v>
      </c>
      <c r="AK244" s="4">
        <f>VLOOKUP(D244,'slb RAW'!$E$2:$AE$293,27)</f>
        <v>1.328</v>
      </c>
      <c r="AL244" s="4" t="str">
        <f>VLOOKUP(C244,'Refinitiv SLB'!F244:S421,14)</f>
        <v>#N/A</v>
      </c>
      <c r="AM244" s="4">
        <f t="shared" si="2"/>
        <v>1.328</v>
      </c>
      <c r="AN244" s="9" t="str">
        <f t="shared" si="3"/>
        <v>SanofiCALLABLEFIXEDEURSr Unsecured</v>
      </c>
      <c r="AO244" s="7" t="b">
        <f>ISNUMBER( IFERROR(VLOOKUP(A244,Pairs!$E$2:$E$57,1,FALSE),FALSE))</f>
        <v>1</v>
      </c>
      <c r="AP244" s="7"/>
      <c r="AQ244" s="7"/>
    </row>
    <row r="245" ht="15.75" customHeight="1">
      <c r="A245" s="3">
        <v>194.0</v>
      </c>
      <c r="B245" s="4" t="s">
        <v>1526</v>
      </c>
      <c r="C245" s="4" t="str">
        <f>VLOOKUP(D245,'slb RAW'!$E:$F,2)</f>
        <v>FR0014009L57</v>
      </c>
      <c r="D245" s="4" t="s">
        <v>1527</v>
      </c>
      <c r="E245" s="4" t="s">
        <v>1528</v>
      </c>
      <c r="F245" s="4" t="s">
        <v>1529</v>
      </c>
      <c r="G245" s="4" t="s">
        <v>185</v>
      </c>
      <c r="H245" s="4" t="s">
        <v>185</v>
      </c>
      <c r="I245" s="4" t="s">
        <v>185</v>
      </c>
      <c r="J245" s="4">
        <v>1.375</v>
      </c>
      <c r="K245" s="4" t="s">
        <v>1530</v>
      </c>
      <c r="L245" s="4" t="s">
        <v>1531</v>
      </c>
      <c r="M245" s="4">
        <v>1.563</v>
      </c>
      <c r="N245" s="4" t="s">
        <v>115</v>
      </c>
      <c r="O245" s="4" t="s">
        <v>116</v>
      </c>
      <c r="P245" s="4" t="s">
        <v>174</v>
      </c>
      <c r="Q245" s="4" t="s">
        <v>52</v>
      </c>
      <c r="R245" s="4" t="s">
        <v>53</v>
      </c>
      <c r="S245" s="4" t="s">
        <v>620</v>
      </c>
      <c r="T245" s="4" t="s">
        <v>421</v>
      </c>
      <c r="U245" s="4" t="s">
        <v>56</v>
      </c>
      <c r="V245" s="4" t="s">
        <v>57</v>
      </c>
      <c r="W245" s="4">
        <v>8.157825E8</v>
      </c>
      <c r="X245" s="4" t="s">
        <v>422</v>
      </c>
      <c r="Y245" s="4" t="s">
        <v>664</v>
      </c>
      <c r="Z245" s="4" t="s">
        <v>60</v>
      </c>
      <c r="AA245" s="4" t="s">
        <v>61</v>
      </c>
      <c r="AB245" s="4" t="s">
        <v>228</v>
      </c>
      <c r="AC245" s="4" t="s">
        <v>665</v>
      </c>
      <c r="AD245" s="3" t="s">
        <v>1532</v>
      </c>
      <c r="AE245" s="7">
        <v>25.0</v>
      </c>
      <c r="AF245" s="12"/>
      <c r="AG245" s="4" t="str">
        <f t="shared" si="1"/>
        <v/>
      </c>
      <c r="AH245" s="8" t="s">
        <v>125</v>
      </c>
      <c r="AI245" s="4" t="s">
        <v>1533</v>
      </c>
      <c r="AJ245" s="7">
        <f>VLOOKUP(D245,'slb RAW'!$E$2:$AF$293,9)</f>
        <v>1.563</v>
      </c>
      <c r="AK245" s="4">
        <f>VLOOKUP(D245,'slb RAW'!$E$2:$AE$293,27)</f>
        <v>1.612</v>
      </c>
      <c r="AL245" s="4" t="str">
        <f>VLOOKUP(C245,'Refinitiv SLB'!F245:S422,14)</f>
        <v>#N/A</v>
      </c>
      <c r="AM245" s="4">
        <f t="shared" si="2"/>
        <v>1.612</v>
      </c>
      <c r="AN245" s="9" t="str">
        <f t="shared" si="3"/>
        <v>Pernod Ricard SACALLABLEFIXEDEURSr Unsecured</v>
      </c>
      <c r="AO245" s="7" t="b">
        <f>ISNUMBER( IFERROR(VLOOKUP(A245,Pairs!$E$2:$E$57,1,FALSE),FALSE))</f>
        <v>1</v>
      </c>
      <c r="AP245" s="7"/>
      <c r="AQ245" s="7"/>
    </row>
    <row r="246" ht="15.75" customHeight="1">
      <c r="A246" s="3">
        <v>70.0</v>
      </c>
      <c r="B246" s="4" t="s">
        <v>558</v>
      </c>
      <c r="C246" s="4" t="str">
        <f>VLOOKUP(D246,'slb RAW'!$E:$F,2)</f>
        <v>XS2463990775</v>
      </c>
      <c r="D246" s="4" t="s">
        <v>1534</v>
      </c>
      <c r="E246" s="4" t="s">
        <v>1535</v>
      </c>
      <c r="F246" s="4" t="s">
        <v>561</v>
      </c>
      <c r="G246" s="4" t="s">
        <v>368</v>
      </c>
      <c r="H246" s="4" t="s">
        <v>368</v>
      </c>
      <c r="I246" s="4" t="s">
        <v>368</v>
      </c>
      <c r="J246" s="4">
        <v>2.875</v>
      </c>
      <c r="K246" s="4" t="s">
        <v>1509</v>
      </c>
      <c r="L246" s="4" t="s">
        <v>1536</v>
      </c>
      <c r="M246" s="4">
        <v>2.944</v>
      </c>
      <c r="N246" s="4" t="s">
        <v>115</v>
      </c>
      <c r="O246" s="4" t="s">
        <v>116</v>
      </c>
      <c r="P246" s="4" t="s">
        <v>174</v>
      </c>
      <c r="Q246" s="4" t="s">
        <v>52</v>
      </c>
      <c r="R246" s="4" t="s">
        <v>53</v>
      </c>
      <c r="S246" s="4" t="s">
        <v>190</v>
      </c>
      <c r="T246" s="4" t="s">
        <v>421</v>
      </c>
      <c r="U246" s="4" t="s">
        <v>56</v>
      </c>
      <c r="V246" s="4" t="s">
        <v>57</v>
      </c>
      <c r="W246" s="4">
        <v>8.18115E8</v>
      </c>
      <c r="X246" s="4" t="s">
        <v>485</v>
      </c>
      <c r="Y246" s="4" t="s">
        <v>563</v>
      </c>
      <c r="Z246" s="4" t="s">
        <v>60</v>
      </c>
      <c r="AA246" s="4" t="s">
        <v>487</v>
      </c>
      <c r="AB246" s="4" t="s">
        <v>564</v>
      </c>
      <c r="AC246" s="4" t="s">
        <v>564</v>
      </c>
      <c r="AD246" s="3" t="s">
        <v>1537</v>
      </c>
      <c r="AE246" s="7">
        <v>20.0</v>
      </c>
      <c r="AF246" s="12"/>
      <c r="AG246" s="4" t="str">
        <f t="shared" si="1"/>
        <v/>
      </c>
      <c r="AH246" s="8" t="s">
        <v>140</v>
      </c>
      <c r="AI246" s="4" t="s">
        <v>1512</v>
      </c>
      <c r="AJ246" s="7">
        <f>VLOOKUP(D246,'slb RAW'!$E$2:$AF$293,9)</f>
        <v>2.944</v>
      </c>
      <c r="AK246" s="4">
        <f>VLOOKUP(D246,'slb RAW'!$E$2:$AE$293,27)</f>
        <v>2.994</v>
      </c>
      <c r="AL246" s="4" t="str">
        <f>VLOOKUP(C246,'Refinitiv SLB'!F246:S423,14)</f>
        <v>#N/A</v>
      </c>
      <c r="AM246" s="4">
        <f t="shared" si="2"/>
        <v>2.994</v>
      </c>
      <c r="AN246" s="9" t="str">
        <f t="shared" si="3"/>
        <v>EQT ABCALLABLEFIXEDEURSr Unsecured</v>
      </c>
      <c r="AO246" s="7" t="b">
        <f>ISNUMBER( IFERROR(VLOOKUP(A246,Pairs!$E$2:$E$57,1,FALSE),FALSE))</f>
        <v>0</v>
      </c>
      <c r="AP246" s="7"/>
      <c r="AQ246" s="7"/>
    </row>
    <row r="247" ht="15.75" customHeight="1">
      <c r="A247" s="3">
        <v>132.0</v>
      </c>
      <c r="B247" s="4" t="s">
        <v>166</v>
      </c>
      <c r="C247" s="4" t="str">
        <f>VLOOKUP(D247,'slb RAW'!$E:$F,2)</f>
        <v>XS2463497201</v>
      </c>
      <c r="D247" s="4" t="s">
        <v>1538</v>
      </c>
      <c r="E247" s="4" t="s">
        <v>1539</v>
      </c>
      <c r="F247" s="4" t="s">
        <v>169</v>
      </c>
      <c r="G247" s="4" t="s">
        <v>170</v>
      </c>
      <c r="H247" s="4" t="s">
        <v>170</v>
      </c>
      <c r="I247" s="4" t="s">
        <v>171</v>
      </c>
      <c r="J247" s="4">
        <v>1.625</v>
      </c>
      <c r="K247" s="4" t="s">
        <v>1540</v>
      </c>
      <c r="L247" s="4" t="s">
        <v>1541</v>
      </c>
      <c r="M247" s="11">
        <v>1.4582</v>
      </c>
      <c r="N247" s="4" t="s">
        <v>49</v>
      </c>
      <c r="O247" s="4" t="s">
        <v>50</v>
      </c>
      <c r="P247" s="4" t="s">
        <v>226</v>
      </c>
      <c r="Q247" s="4" t="s">
        <v>52</v>
      </c>
      <c r="R247" s="4" t="s">
        <v>53</v>
      </c>
      <c r="S247" s="4" t="s">
        <v>190</v>
      </c>
      <c r="T247" s="4" t="s">
        <v>55</v>
      </c>
      <c r="U247" s="4" t="s">
        <v>56</v>
      </c>
      <c r="V247" s="4" t="s">
        <v>57</v>
      </c>
      <c r="W247" s="4">
        <v>1.656045E8</v>
      </c>
      <c r="X247" s="4" t="s">
        <v>85</v>
      </c>
      <c r="Y247" s="4" t="s">
        <v>176</v>
      </c>
      <c r="Z247" s="4" t="s">
        <v>60</v>
      </c>
      <c r="AA247" s="4" t="s">
        <v>61</v>
      </c>
      <c r="AB247" s="4" t="s">
        <v>177</v>
      </c>
      <c r="AC247" s="4" t="s">
        <v>178</v>
      </c>
      <c r="AD247" s="3" t="s">
        <v>1542</v>
      </c>
      <c r="AE247" s="8" t="s">
        <v>124</v>
      </c>
      <c r="AF247" s="12"/>
      <c r="AG247" s="4" t="str">
        <f t="shared" si="1"/>
        <v/>
      </c>
      <c r="AH247" s="8" t="s">
        <v>125</v>
      </c>
      <c r="AI247" s="4" t="s">
        <v>1543</v>
      </c>
      <c r="AJ247" s="7" t="str">
        <f>VLOOKUP(D247,'slb RAW'!$E$2:$AF$293,9)</f>
        <v>#N/A N/A</v>
      </c>
      <c r="AK247" s="4">
        <f>VLOOKUP(D247,'slb RAW'!$E$2:$AE$293,27)</f>
        <v>1.417</v>
      </c>
      <c r="AL247" s="4" t="str">
        <f>VLOOKUP(C247,'Refinitiv SLB'!F247:S424,14)</f>
        <v>#N/A</v>
      </c>
      <c r="AM247" s="4">
        <f t="shared" si="2"/>
        <v>1.417</v>
      </c>
      <c r="AN247" s="9" t="str">
        <f t="shared" si="3"/>
        <v>Holcim Finance Luxembourg SAAT MATURITYFIXEDEURSr Unsecured</v>
      </c>
      <c r="AO247" s="7" t="b">
        <f>ISNUMBER( IFERROR(VLOOKUP(A247,Pairs!$E$2:$E$57,1,FALSE),FALSE))</f>
        <v>1</v>
      </c>
      <c r="AP247" s="7"/>
      <c r="AQ247" s="7"/>
    </row>
    <row r="248" ht="15.75" customHeight="1">
      <c r="A248" s="3">
        <v>96.0</v>
      </c>
      <c r="B248" s="4" t="s">
        <v>642</v>
      </c>
      <c r="C248" s="4" t="str">
        <f>VLOOKUP(D248,'slb RAW'!$E:$F,2)</f>
        <v>XS2466363202</v>
      </c>
      <c r="D248" s="4" t="s">
        <v>1544</v>
      </c>
      <c r="E248" s="4" t="s">
        <v>1545</v>
      </c>
      <c r="F248" s="4" t="s">
        <v>645</v>
      </c>
      <c r="G248" s="4" t="s">
        <v>367</v>
      </c>
      <c r="H248" s="4" t="s">
        <v>367</v>
      </c>
      <c r="I248" s="4" t="s">
        <v>200</v>
      </c>
      <c r="J248" s="4">
        <v>2.875</v>
      </c>
      <c r="K248" s="4" t="s">
        <v>1546</v>
      </c>
      <c r="L248" s="4" t="s">
        <v>1547</v>
      </c>
      <c r="M248" s="11">
        <v>3.0616</v>
      </c>
      <c r="N248" s="4" t="s">
        <v>115</v>
      </c>
      <c r="O248" s="4" t="s">
        <v>116</v>
      </c>
      <c r="P248" s="4" t="s">
        <v>226</v>
      </c>
      <c r="Q248" s="4" t="s">
        <v>52</v>
      </c>
      <c r="R248" s="4" t="s">
        <v>1548</v>
      </c>
      <c r="S248" s="4" t="s">
        <v>620</v>
      </c>
      <c r="T248" s="4" t="s">
        <v>55</v>
      </c>
      <c r="U248" s="4" t="s">
        <v>56</v>
      </c>
      <c r="V248" s="4" t="s">
        <v>57</v>
      </c>
      <c r="W248" s="4">
        <v>9.768675E8</v>
      </c>
      <c r="X248" s="4" t="s">
        <v>120</v>
      </c>
      <c r="Y248" s="4" t="s">
        <v>120</v>
      </c>
      <c r="Z248" s="4" t="s">
        <v>60</v>
      </c>
      <c r="AA248" s="4" t="s">
        <v>121</v>
      </c>
      <c r="AB248" s="4" t="s">
        <v>122</v>
      </c>
      <c r="AC248" s="4" t="s">
        <v>122</v>
      </c>
      <c r="AD248" s="3" t="s">
        <v>1549</v>
      </c>
      <c r="AE248" s="7">
        <v>25.0</v>
      </c>
      <c r="AF248" s="12"/>
      <c r="AG248" s="4" t="str">
        <f t="shared" si="1"/>
        <v/>
      </c>
      <c r="AH248" s="8" t="s">
        <v>125</v>
      </c>
      <c r="AI248" s="4" t="s">
        <v>1550</v>
      </c>
      <c r="AJ248" s="7" t="str">
        <f>VLOOKUP(D248,'slb RAW'!$E$2:$AF$293,9)</f>
        <v>#N/A N/A</v>
      </c>
      <c r="AK248" s="4">
        <f>VLOOKUP(D248,'slb RAW'!$E$2:$AE$293,27)</f>
        <v>3.166</v>
      </c>
      <c r="AL248" s="4" t="str">
        <f>VLOOKUP(C248,'Refinitiv SLB'!F248:S425,14)</f>
        <v>#N/A</v>
      </c>
      <c r="AM248" s="4">
        <f t="shared" si="2"/>
        <v>3.166</v>
      </c>
      <c r="AN248" s="9" t="str">
        <f t="shared" si="3"/>
        <v>Enel Finance International NVCALLABLEFIXEDGBPSr Unsecured</v>
      </c>
      <c r="AO248" s="7" t="b">
        <f>ISNUMBER( IFERROR(VLOOKUP(A248,Pairs!$E$2:$E$57,1,FALSE),FALSE))</f>
        <v>0</v>
      </c>
      <c r="AP248" s="7"/>
      <c r="AQ248" s="7"/>
    </row>
    <row r="249" ht="15.75" customHeight="1">
      <c r="A249" s="3">
        <v>37.0</v>
      </c>
      <c r="B249" s="4" t="s">
        <v>1551</v>
      </c>
      <c r="C249" s="4" t="str">
        <f>VLOOKUP(D249,'slb RAW'!$E:$F,2)</f>
        <v>FI4000519178</v>
      </c>
      <c r="D249" s="4" t="s">
        <v>1552</v>
      </c>
      <c r="E249" s="4" t="s">
        <v>1553</v>
      </c>
      <c r="F249" s="4" t="s">
        <v>1554</v>
      </c>
      <c r="G249" s="4" t="s">
        <v>1555</v>
      </c>
      <c r="H249" s="4" t="s">
        <v>1555</v>
      </c>
      <c r="I249" s="4" t="s">
        <v>1555</v>
      </c>
      <c r="J249" s="4">
        <v>4.5</v>
      </c>
      <c r="K249" s="4" t="s">
        <v>1556</v>
      </c>
      <c r="L249" s="4" t="s">
        <v>1557</v>
      </c>
      <c r="M249" s="4">
        <v>4.5</v>
      </c>
      <c r="N249" s="4" t="s">
        <v>115</v>
      </c>
      <c r="O249" s="4" t="s">
        <v>116</v>
      </c>
      <c r="P249" s="4" t="s">
        <v>174</v>
      </c>
      <c r="Q249" s="4" t="s">
        <v>52</v>
      </c>
      <c r="R249" s="4" t="s">
        <v>53</v>
      </c>
      <c r="S249" s="4" t="s">
        <v>54</v>
      </c>
      <c r="T249" s="4" t="s">
        <v>55</v>
      </c>
      <c r="U249" s="4" t="s">
        <v>56</v>
      </c>
      <c r="V249" s="4" t="s">
        <v>57</v>
      </c>
      <c r="W249" s="4">
        <v>4.35284E7</v>
      </c>
      <c r="X249" s="4" t="s">
        <v>485</v>
      </c>
      <c r="Y249" s="4" t="s">
        <v>563</v>
      </c>
      <c r="Z249" s="4" t="s">
        <v>60</v>
      </c>
      <c r="AA249" s="4" t="s">
        <v>487</v>
      </c>
      <c r="AB249" s="4" t="s">
        <v>564</v>
      </c>
      <c r="AC249" s="4" t="s">
        <v>564</v>
      </c>
      <c r="AD249" s="3" t="s">
        <v>1558</v>
      </c>
      <c r="AE249" s="8" t="s">
        <v>124</v>
      </c>
      <c r="AF249" s="12"/>
      <c r="AG249" s="4" t="str">
        <f t="shared" si="1"/>
        <v/>
      </c>
      <c r="AH249" s="8" t="s">
        <v>125</v>
      </c>
      <c r="AI249" s="4" t="s">
        <v>1559</v>
      </c>
      <c r="AJ249" s="7">
        <f>VLOOKUP(D249,'slb RAW'!$E$2:$AF$293,9)</f>
        <v>4.5</v>
      </c>
      <c r="AK249" s="4">
        <f>VLOOKUP(D249,'slb RAW'!$E$2:$AE$293,27)</f>
        <v>4.5</v>
      </c>
      <c r="AL249" s="4" t="str">
        <f>VLOOKUP(C249,'Refinitiv SLB'!F249:S426,14)</f>
        <v>#N/A</v>
      </c>
      <c r="AM249" s="4">
        <f t="shared" si="2"/>
        <v>4.5</v>
      </c>
      <c r="AN249" s="9" t="str">
        <f t="shared" si="3"/>
        <v>CapMan OyjCALLABLEFIXEDEURSr Unsecured</v>
      </c>
      <c r="AO249" s="7" t="b">
        <f>ISNUMBER( IFERROR(VLOOKUP(A249,Pairs!$E$2:$E$57,1,FALSE),FALSE))</f>
        <v>1</v>
      </c>
      <c r="AP249" s="7"/>
      <c r="AQ249" s="7"/>
    </row>
    <row r="250" ht="15.75" customHeight="1">
      <c r="A250" s="3">
        <v>143.0</v>
      </c>
      <c r="B250" s="4" t="s">
        <v>1560</v>
      </c>
      <c r="C250" s="4" t="str">
        <f>VLOOKUP(D250,'slb RAW'!$E:$F,2)</f>
        <v>US46653KAC27</v>
      </c>
      <c r="D250" s="4" t="s">
        <v>1561</v>
      </c>
      <c r="E250" s="4" t="s">
        <v>1562</v>
      </c>
      <c r="F250" s="4" t="s">
        <v>1563</v>
      </c>
      <c r="G250" s="4" t="s">
        <v>367</v>
      </c>
      <c r="H250" s="4" t="s">
        <v>367</v>
      </c>
      <c r="I250" s="4" t="s">
        <v>258</v>
      </c>
      <c r="J250" s="4">
        <v>4.5</v>
      </c>
      <c r="K250" s="4" t="s">
        <v>1564</v>
      </c>
      <c r="L250" s="4" t="s">
        <v>1565</v>
      </c>
      <c r="M250" s="4">
        <v>4.6080000000000005</v>
      </c>
      <c r="N250" s="4" t="s">
        <v>115</v>
      </c>
      <c r="O250" s="4" t="s">
        <v>116</v>
      </c>
      <c r="P250" s="4" t="s">
        <v>262</v>
      </c>
      <c r="Q250" s="4" t="s">
        <v>52</v>
      </c>
      <c r="R250" s="4" t="s">
        <v>263</v>
      </c>
      <c r="S250" s="4" t="s">
        <v>175</v>
      </c>
      <c r="T250" s="4" t="s">
        <v>55</v>
      </c>
      <c r="U250" s="4" t="s">
        <v>56</v>
      </c>
      <c r="V250" s="4" t="s">
        <v>71</v>
      </c>
      <c r="W250" s="4">
        <v>5.0E8</v>
      </c>
      <c r="X250" s="4" t="s">
        <v>485</v>
      </c>
      <c r="Y250" s="4" t="s">
        <v>563</v>
      </c>
      <c r="Z250" s="4" t="s">
        <v>60</v>
      </c>
      <c r="AA250" s="4" t="s">
        <v>61</v>
      </c>
      <c r="AB250" s="4" t="s">
        <v>228</v>
      </c>
      <c r="AC250" s="4" t="s">
        <v>229</v>
      </c>
      <c r="AD250" s="3" t="s">
        <v>1566</v>
      </c>
      <c r="AE250" s="7">
        <v>25.0</v>
      </c>
      <c r="AF250" s="12"/>
      <c r="AG250" s="4" t="str">
        <f t="shared" si="1"/>
        <v/>
      </c>
      <c r="AH250" s="8" t="s">
        <v>612</v>
      </c>
      <c r="AI250" s="4" t="s">
        <v>1567</v>
      </c>
      <c r="AJ250" s="7">
        <f>VLOOKUP(D250,'slb RAW'!$E$2:$AF$293,9)</f>
        <v>4.608</v>
      </c>
      <c r="AK250" s="4" t="str">
        <f>VLOOKUP(D250,'slb RAW'!$E$2:$AE$293,27)</f>
        <v>#N/A N/A</v>
      </c>
      <c r="AL250" s="4" t="str">
        <f>VLOOKUP(C250,'Refinitiv SLB'!F250:S427,14)</f>
        <v>#N/A</v>
      </c>
      <c r="AM250" s="4">
        <f t="shared" si="2"/>
        <v>4.608</v>
      </c>
      <c r="AN250" s="9" t="str">
        <f t="shared" si="3"/>
        <v>JAB Holdings BVCALLABLEFIXEDUSDSr Unsecured</v>
      </c>
      <c r="AO250" s="7" t="b">
        <f>ISNUMBER( IFERROR(VLOOKUP(A250,Pairs!$E$2:$E$57,1,FALSE),FALSE))</f>
        <v>1</v>
      </c>
      <c r="AP250" s="7"/>
      <c r="AQ250" s="7"/>
    </row>
    <row r="251" ht="15.75" customHeight="1">
      <c r="A251" s="3">
        <v>142.0</v>
      </c>
      <c r="B251" s="4" t="s">
        <v>1560</v>
      </c>
      <c r="C251" s="4" t="str">
        <f>VLOOKUP(D251,'slb RAW'!$E:$F,2)</f>
        <v>USN4717KBG06</v>
      </c>
      <c r="D251" s="4" t="s">
        <v>1568</v>
      </c>
      <c r="E251" s="4" t="s">
        <v>1569</v>
      </c>
      <c r="F251" s="4" t="s">
        <v>1563</v>
      </c>
      <c r="G251" s="4" t="s">
        <v>367</v>
      </c>
      <c r="H251" s="4" t="s">
        <v>367</v>
      </c>
      <c r="I251" s="4" t="s">
        <v>258</v>
      </c>
      <c r="J251" s="4">
        <v>4.5</v>
      </c>
      <c r="K251" s="4" t="s">
        <v>1564</v>
      </c>
      <c r="L251" s="4" t="s">
        <v>1565</v>
      </c>
      <c r="M251" s="4">
        <v>4.6080000000000005</v>
      </c>
      <c r="N251" s="4" t="s">
        <v>115</v>
      </c>
      <c r="O251" s="4" t="s">
        <v>116</v>
      </c>
      <c r="P251" s="4" t="s">
        <v>271</v>
      </c>
      <c r="Q251" s="4" t="s">
        <v>52</v>
      </c>
      <c r="R251" s="4" t="s">
        <v>263</v>
      </c>
      <c r="S251" s="4" t="s">
        <v>175</v>
      </c>
      <c r="T251" s="4" t="s">
        <v>55</v>
      </c>
      <c r="U251" s="4" t="s">
        <v>56</v>
      </c>
      <c r="V251" s="4" t="s">
        <v>71</v>
      </c>
      <c r="W251" s="4">
        <v>5.0E8</v>
      </c>
      <c r="X251" s="4" t="s">
        <v>485</v>
      </c>
      <c r="Y251" s="4" t="s">
        <v>563</v>
      </c>
      <c r="Z251" s="4" t="s">
        <v>60</v>
      </c>
      <c r="AA251" s="4" t="s">
        <v>61</v>
      </c>
      <c r="AB251" s="4" t="s">
        <v>228</v>
      </c>
      <c r="AC251" s="4" t="s">
        <v>229</v>
      </c>
      <c r="AD251" s="3" t="s">
        <v>1566</v>
      </c>
      <c r="AE251" s="7">
        <v>25.0</v>
      </c>
      <c r="AF251" s="12"/>
      <c r="AG251" s="4" t="str">
        <f t="shared" si="1"/>
        <v/>
      </c>
      <c r="AH251" s="8" t="s">
        <v>612</v>
      </c>
      <c r="AI251" s="4" t="s">
        <v>1567</v>
      </c>
      <c r="AJ251" s="7">
        <f>VLOOKUP(D251,'slb RAW'!$E$2:$AF$293,9)</f>
        <v>4.608</v>
      </c>
      <c r="AK251" s="4">
        <f>VLOOKUP(D251,'slb RAW'!$E$2:$AE$293,27)</f>
        <v>4.919</v>
      </c>
      <c r="AL251" s="4" t="str">
        <f>VLOOKUP(C251,'Refinitiv SLB'!F251:S428,14)</f>
        <v>#N/A</v>
      </c>
      <c r="AM251" s="4">
        <f t="shared" si="2"/>
        <v>4.919</v>
      </c>
      <c r="AN251" s="9" t="str">
        <f t="shared" si="3"/>
        <v>JAB Holdings BVCALLABLEFIXEDUSDSr Unsecured</v>
      </c>
      <c r="AO251" s="7" t="b">
        <f>ISNUMBER( IFERROR(VLOOKUP(A251,Pairs!$E$2:$E$57,1,FALSE),FALSE))</f>
        <v>1</v>
      </c>
      <c r="AP251" s="7"/>
      <c r="AQ251" s="7"/>
    </row>
    <row r="252" ht="15.75" customHeight="1">
      <c r="A252" s="3">
        <v>15.0</v>
      </c>
      <c r="B252" s="4" t="s">
        <v>1570</v>
      </c>
      <c r="C252" s="4" t="str">
        <f>VLOOKUP(D252,'slb RAW'!$E:$F,2)</f>
        <v>US03965TAB98</v>
      </c>
      <c r="D252" s="4" t="s">
        <v>1571</v>
      </c>
      <c r="E252" s="4" t="s">
        <v>1572</v>
      </c>
      <c r="F252" s="4" t="s">
        <v>1573</v>
      </c>
      <c r="G252" s="4" t="s">
        <v>367</v>
      </c>
      <c r="H252" s="4" t="s">
        <v>367</v>
      </c>
      <c r="I252" s="4" t="s">
        <v>259</v>
      </c>
      <c r="J252" s="4">
        <v>6.125</v>
      </c>
      <c r="K252" s="4" t="s">
        <v>1574</v>
      </c>
      <c r="L252" s="4" t="s">
        <v>1575</v>
      </c>
      <c r="M252" s="4">
        <v>6.125</v>
      </c>
      <c r="N252" s="4" t="s">
        <v>115</v>
      </c>
      <c r="O252" s="4" t="s">
        <v>116</v>
      </c>
      <c r="P252" s="4" t="s">
        <v>262</v>
      </c>
      <c r="Q252" s="4" t="s">
        <v>52</v>
      </c>
      <c r="R252" s="4" t="s">
        <v>263</v>
      </c>
      <c r="S252" s="4" t="s">
        <v>190</v>
      </c>
      <c r="T252" s="4" t="s">
        <v>55</v>
      </c>
      <c r="U252" s="4" t="s">
        <v>56</v>
      </c>
      <c r="V252" s="4" t="s">
        <v>71</v>
      </c>
      <c r="W252" s="4">
        <v>3.5E8</v>
      </c>
      <c r="X252" s="4" t="s">
        <v>134</v>
      </c>
      <c r="Y252" s="4" t="s">
        <v>738</v>
      </c>
      <c r="Z252" s="4" t="s">
        <v>60</v>
      </c>
      <c r="AA252" s="4" t="s">
        <v>61</v>
      </c>
      <c r="AB252" s="4" t="s">
        <v>136</v>
      </c>
      <c r="AC252" s="4" t="s">
        <v>738</v>
      </c>
      <c r="AD252" s="3" t="s">
        <v>1576</v>
      </c>
      <c r="AE252" s="8" t="s">
        <v>124</v>
      </c>
      <c r="AF252" s="12"/>
      <c r="AG252" s="4" t="str">
        <f t="shared" si="1"/>
        <v/>
      </c>
      <c r="AH252" s="8" t="s">
        <v>140</v>
      </c>
      <c r="AI252" s="4" t="s">
        <v>1577</v>
      </c>
      <c r="AJ252" s="7">
        <f>VLOOKUP(D252,'slb RAW'!$E$2:$AF$293,9)</f>
        <v>6.125</v>
      </c>
      <c r="AK252" s="4">
        <f>VLOOKUP(D252,'slb RAW'!$E$2:$AE$293,27)</f>
        <v>6.271</v>
      </c>
      <c r="AL252" s="4" t="str">
        <f>VLOOKUP(C252,'Refinitiv SLB'!F252:S429,14)</f>
        <v>#N/A</v>
      </c>
      <c r="AM252" s="4">
        <f t="shared" si="2"/>
        <v>6.271</v>
      </c>
      <c r="AN252" s="9" t="str">
        <f t="shared" si="3"/>
        <v>Arcos Dorados BVCALLABLEFIXEDUSDSr Unsecured</v>
      </c>
      <c r="AO252" s="7" t="b">
        <f>ISNUMBER( IFERROR(VLOOKUP(A252,Pairs!$E$2:$E$57,1,FALSE),FALSE))</f>
        <v>0</v>
      </c>
      <c r="AP252" s="7"/>
      <c r="AQ252" s="7"/>
    </row>
    <row r="253" ht="15.75" customHeight="1">
      <c r="A253" s="3">
        <v>16.0</v>
      </c>
      <c r="B253" s="4" t="s">
        <v>1570</v>
      </c>
      <c r="C253" s="4" t="str">
        <f>VLOOKUP(D253,'slb RAW'!$E:$F,2)</f>
        <v>USP04568AB06</v>
      </c>
      <c r="D253" s="4" t="s">
        <v>1578</v>
      </c>
      <c r="E253" s="4" t="s">
        <v>1579</v>
      </c>
      <c r="F253" s="4" t="s">
        <v>1573</v>
      </c>
      <c r="G253" s="4" t="s">
        <v>367</v>
      </c>
      <c r="H253" s="4" t="s">
        <v>367</v>
      </c>
      <c r="I253" s="4" t="s">
        <v>259</v>
      </c>
      <c r="J253" s="4">
        <v>6.125</v>
      </c>
      <c r="K253" s="4" t="s">
        <v>1574</v>
      </c>
      <c r="L253" s="4" t="s">
        <v>1575</v>
      </c>
      <c r="M253" s="4">
        <v>6.125</v>
      </c>
      <c r="N253" s="4" t="s">
        <v>115</v>
      </c>
      <c r="O253" s="4" t="s">
        <v>116</v>
      </c>
      <c r="P253" s="4" t="s">
        <v>271</v>
      </c>
      <c r="Q253" s="4" t="s">
        <v>52</v>
      </c>
      <c r="R253" s="4" t="s">
        <v>263</v>
      </c>
      <c r="S253" s="4" t="s">
        <v>190</v>
      </c>
      <c r="T253" s="4" t="s">
        <v>55</v>
      </c>
      <c r="U253" s="4" t="s">
        <v>56</v>
      </c>
      <c r="V253" s="4" t="s">
        <v>71</v>
      </c>
      <c r="W253" s="4">
        <v>3.5E8</v>
      </c>
      <c r="X253" s="4" t="s">
        <v>134</v>
      </c>
      <c r="Y253" s="4" t="s">
        <v>738</v>
      </c>
      <c r="Z253" s="4" t="s">
        <v>60</v>
      </c>
      <c r="AA253" s="4" t="s">
        <v>61</v>
      </c>
      <c r="AB253" s="4" t="s">
        <v>136</v>
      </c>
      <c r="AC253" s="4" t="s">
        <v>738</v>
      </c>
      <c r="AD253" s="3" t="s">
        <v>1576</v>
      </c>
      <c r="AE253" s="8" t="s">
        <v>124</v>
      </c>
      <c r="AF253" s="12"/>
      <c r="AG253" s="4" t="str">
        <f t="shared" si="1"/>
        <v/>
      </c>
      <c r="AH253" s="8" t="s">
        <v>140</v>
      </c>
      <c r="AI253" s="4" t="s">
        <v>1577</v>
      </c>
      <c r="AJ253" s="7">
        <f>VLOOKUP(D253,'slb RAW'!$E$2:$AF$293,9)</f>
        <v>6.125</v>
      </c>
      <c r="AK253" s="4">
        <f>VLOOKUP(D253,'slb RAW'!$E$2:$AE$293,27)</f>
        <v>6.268</v>
      </c>
      <c r="AL253" s="4" t="str">
        <f>VLOOKUP(C253,'Refinitiv SLB'!F253:S430,14)</f>
        <v>#N/A</v>
      </c>
      <c r="AM253" s="4">
        <f t="shared" si="2"/>
        <v>6.268</v>
      </c>
      <c r="AN253" s="9" t="str">
        <f t="shared" si="3"/>
        <v>Arcos Dorados BVCALLABLEFIXEDUSDSr Unsecured</v>
      </c>
      <c r="AO253" s="7" t="b">
        <f>ISNUMBER( IFERROR(VLOOKUP(A253,Pairs!$E$2:$E$57,1,FALSE),FALSE))</f>
        <v>0</v>
      </c>
      <c r="AP253" s="7"/>
      <c r="AQ253" s="7"/>
    </row>
    <row r="254" ht="15.75" customHeight="1">
      <c r="A254" s="3">
        <v>7.0</v>
      </c>
      <c r="B254" s="4" t="s">
        <v>1580</v>
      </c>
      <c r="C254" s="4" t="str">
        <f>VLOOKUP(D254,'slb RAW'!$E:$F,2)</f>
        <v>US00775CAB28</v>
      </c>
      <c r="D254" s="4" t="s">
        <v>1581</v>
      </c>
      <c r="E254" s="4" t="s">
        <v>1582</v>
      </c>
      <c r="F254" s="4" t="s">
        <v>1583</v>
      </c>
      <c r="G254" s="4" t="s">
        <v>170</v>
      </c>
      <c r="H254" s="4" t="s">
        <v>170</v>
      </c>
      <c r="I254" s="4" t="s">
        <v>259</v>
      </c>
      <c r="J254" s="4">
        <v>6.75</v>
      </c>
      <c r="K254" s="4" t="s">
        <v>1584</v>
      </c>
      <c r="L254" s="4" t="s">
        <v>1585</v>
      </c>
      <c r="M254" s="4">
        <v>7.0</v>
      </c>
      <c r="N254" s="4" t="s">
        <v>115</v>
      </c>
      <c r="O254" s="4" t="s">
        <v>116</v>
      </c>
      <c r="P254" s="4" t="s">
        <v>262</v>
      </c>
      <c r="Q254" s="4" t="s">
        <v>52</v>
      </c>
      <c r="R254" s="4" t="s">
        <v>263</v>
      </c>
      <c r="S254" s="4" t="s">
        <v>885</v>
      </c>
      <c r="T254" s="4" t="s">
        <v>55</v>
      </c>
      <c r="U254" s="4" t="s">
        <v>56</v>
      </c>
      <c r="V254" s="4" t="s">
        <v>71</v>
      </c>
      <c r="W254" s="4">
        <v>5.0E8</v>
      </c>
      <c r="X254" s="4" t="s">
        <v>120</v>
      </c>
      <c r="Y254" s="4" t="s">
        <v>120</v>
      </c>
      <c r="Z254" s="4" t="s">
        <v>60</v>
      </c>
      <c r="AA254" s="4" t="s">
        <v>121</v>
      </c>
      <c r="AB254" s="4" t="s">
        <v>846</v>
      </c>
      <c r="AC254" s="4" t="s">
        <v>846</v>
      </c>
      <c r="AD254" s="10" t="s">
        <v>48</v>
      </c>
      <c r="AE254" s="8" t="s">
        <v>139</v>
      </c>
      <c r="AF254" s="12"/>
      <c r="AG254" s="4" t="str">
        <f t="shared" si="1"/>
        <v/>
      </c>
      <c r="AH254" s="12"/>
      <c r="AI254" s="4" t="s">
        <v>1586</v>
      </c>
      <c r="AJ254" s="7">
        <f>VLOOKUP(D254,'slb RAW'!$E$2:$AF$293,9)</f>
        <v>7</v>
      </c>
      <c r="AK254" s="4" t="str">
        <f>VLOOKUP(D254,'slb RAW'!$E$2:$AE$293,27)</f>
        <v>#N/A N/A</v>
      </c>
      <c r="AL254" s="4" t="str">
        <f>VLOOKUP(C254,'Refinitiv SLB'!F254:S431,14)</f>
        <v>#N/A</v>
      </c>
      <c r="AM254" s="4">
        <f t="shared" si="2"/>
        <v>7</v>
      </c>
      <c r="AN254" s="9" t="str">
        <f t="shared" si="3"/>
        <v>Aegea Finance SarlCALLABLEFIXEDUSDSr Unsecured</v>
      </c>
      <c r="AO254" s="7" t="b">
        <f>ISNUMBER( IFERROR(VLOOKUP(A254,Pairs!$E$2:$E$57,1,FALSE),FALSE))</f>
        <v>0</v>
      </c>
      <c r="AP254" s="7"/>
      <c r="AQ254" s="7"/>
    </row>
    <row r="255" ht="15.75" customHeight="1">
      <c r="A255" s="3">
        <v>8.0</v>
      </c>
      <c r="B255" s="4" t="s">
        <v>1580</v>
      </c>
      <c r="C255" s="4" t="str">
        <f>VLOOKUP(D255,'slb RAW'!$E:$F,2)</f>
        <v>USL01343AA79</v>
      </c>
      <c r="D255" s="4" t="s">
        <v>1587</v>
      </c>
      <c r="E255" s="4" t="s">
        <v>1588</v>
      </c>
      <c r="F255" s="4" t="s">
        <v>1583</v>
      </c>
      <c r="G255" s="4" t="s">
        <v>170</v>
      </c>
      <c r="H255" s="4" t="s">
        <v>170</v>
      </c>
      <c r="I255" s="4" t="s">
        <v>259</v>
      </c>
      <c r="J255" s="4">
        <v>6.75</v>
      </c>
      <c r="K255" s="4" t="s">
        <v>1584</v>
      </c>
      <c r="L255" s="4" t="s">
        <v>1585</v>
      </c>
      <c r="M255" s="4">
        <v>7.0</v>
      </c>
      <c r="N255" s="4" t="s">
        <v>115</v>
      </c>
      <c r="O255" s="4" t="s">
        <v>116</v>
      </c>
      <c r="P255" s="4" t="s">
        <v>271</v>
      </c>
      <c r="Q255" s="4" t="s">
        <v>52</v>
      </c>
      <c r="R255" s="4" t="s">
        <v>263</v>
      </c>
      <c r="S255" s="4" t="s">
        <v>885</v>
      </c>
      <c r="T255" s="4" t="s">
        <v>55</v>
      </c>
      <c r="U255" s="4" t="s">
        <v>56</v>
      </c>
      <c r="V255" s="4" t="s">
        <v>71</v>
      </c>
      <c r="W255" s="4">
        <v>5.0E8</v>
      </c>
      <c r="X255" s="4" t="s">
        <v>120</v>
      </c>
      <c r="Y255" s="4" t="s">
        <v>120</v>
      </c>
      <c r="Z255" s="4" t="s">
        <v>60</v>
      </c>
      <c r="AA255" s="4" t="s">
        <v>121</v>
      </c>
      <c r="AB255" s="4" t="s">
        <v>846</v>
      </c>
      <c r="AC255" s="4" t="s">
        <v>846</v>
      </c>
      <c r="AD255" s="10" t="s">
        <v>48</v>
      </c>
      <c r="AE255" s="8" t="s">
        <v>139</v>
      </c>
      <c r="AF255" s="12"/>
      <c r="AG255" s="4" t="str">
        <f t="shared" si="1"/>
        <v/>
      </c>
      <c r="AH255" s="12"/>
      <c r="AI255" s="4" t="s">
        <v>1589</v>
      </c>
      <c r="AJ255" s="7">
        <f>VLOOKUP(D255,'slb RAW'!$E$2:$AF$293,9)</f>
        <v>7</v>
      </c>
      <c r="AK255" s="4" t="str">
        <f>VLOOKUP(D255,'slb RAW'!$E$2:$AE$293,27)</f>
        <v>#N/A N/A</v>
      </c>
      <c r="AL255" s="4" t="str">
        <f>VLOOKUP(C255,'Refinitiv SLB'!F255:S432,14)</f>
        <v>#N/A</v>
      </c>
      <c r="AM255" s="4">
        <f t="shared" si="2"/>
        <v>7</v>
      </c>
      <c r="AN255" s="9" t="str">
        <f t="shared" si="3"/>
        <v>Aegea Finance SarlCALLABLEFIXEDUSDSr Unsecured</v>
      </c>
      <c r="AO255" s="7" t="b">
        <f>ISNUMBER( IFERROR(VLOOKUP(A255,Pairs!$E$2:$E$57,1,FALSE),FALSE))</f>
        <v>0</v>
      </c>
      <c r="AP255" s="7"/>
      <c r="AQ255" s="7"/>
    </row>
    <row r="256" ht="15.75" customHeight="1">
      <c r="A256" s="3">
        <v>13.0</v>
      </c>
      <c r="B256" s="4" t="s">
        <v>1590</v>
      </c>
      <c r="C256" s="4" t="str">
        <f>VLOOKUP(D256,'slb RAW'!$E:$F,2)</f>
        <v>#N/A Field Not Applicable</v>
      </c>
      <c r="D256" s="4" t="s">
        <v>1591</v>
      </c>
      <c r="E256" s="4" t="s">
        <v>1592</v>
      </c>
      <c r="F256" s="4" t="s">
        <v>1593</v>
      </c>
      <c r="G256" s="4" t="s">
        <v>367</v>
      </c>
      <c r="H256" s="4" t="s">
        <v>367</v>
      </c>
      <c r="I256" s="4" t="s">
        <v>367</v>
      </c>
      <c r="J256" s="22">
        <v>0.0</v>
      </c>
      <c r="K256" s="4" t="s">
        <v>1594</v>
      </c>
      <c r="L256" s="4" t="s">
        <v>1595</v>
      </c>
      <c r="M256" s="10" t="s">
        <v>48</v>
      </c>
      <c r="N256" s="4" t="s">
        <v>49</v>
      </c>
      <c r="O256" s="4" t="s">
        <v>50</v>
      </c>
      <c r="P256" s="4" t="s">
        <v>69</v>
      </c>
      <c r="Q256" s="4" t="s">
        <v>52</v>
      </c>
      <c r="R256" s="4" t="s">
        <v>53</v>
      </c>
      <c r="S256" s="4" t="s">
        <v>54</v>
      </c>
      <c r="T256" s="4" t="s">
        <v>55</v>
      </c>
      <c r="U256" s="4" t="s">
        <v>70</v>
      </c>
      <c r="V256" s="4" t="s">
        <v>71</v>
      </c>
      <c r="W256" s="4">
        <v>1.76271E8</v>
      </c>
      <c r="X256" s="4" t="s">
        <v>58</v>
      </c>
      <c r="Y256" s="4" t="s">
        <v>506</v>
      </c>
      <c r="Z256" s="4" t="s">
        <v>60</v>
      </c>
      <c r="AA256" s="4" t="s">
        <v>61</v>
      </c>
      <c r="AB256" s="4" t="s">
        <v>62</v>
      </c>
      <c r="AC256" s="4" t="s">
        <v>62</v>
      </c>
      <c r="AD256" s="3" t="s">
        <v>1596</v>
      </c>
      <c r="AE256" s="7">
        <v>5.0</v>
      </c>
      <c r="AF256" s="7">
        <v>5.0</v>
      </c>
      <c r="AG256" s="4" t="str">
        <f t="shared" si="1"/>
        <v>yes</v>
      </c>
      <c r="AH256" s="8" t="s">
        <v>252</v>
      </c>
      <c r="AI256" s="4" t="s">
        <v>1597</v>
      </c>
      <c r="AJ256" s="7" t="str">
        <f>VLOOKUP(D256,'slb RAW'!$E$2:$AF$293,9)</f>
        <v>#N/A N/A</v>
      </c>
      <c r="AK256" s="4" t="str">
        <f>VLOOKUP(D256,'slb RAW'!$E$2:$AE$293,27)</f>
        <v>#N/A N/A</v>
      </c>
      <c r="AL256" s="4" t="str">
        <f>VLOOKUP(C256,'Refinitiv SLB'!F256:S433,14)</f>
        <v>#N/A</v>
      </c>
      <c r="AM256" s="4" t="str">
        <f t="shared" si="2"/>
        <v>#N/A N/A</v>
      </c>
      <c r="AN256" s="9" t="str">
        <f t="shared" si="3"/>
        <v>Arcadis NVAT MATURITYFLOATINGEURSr Unsecured</v>
      </c>
      <c r="AO256" s="7" t="b">
        <f>ISNUMBER( IFERROR(VLOOKUP(A256,Pairs!$E$2:$E$57,1,FALSE),FALSE))</f>
        <v>0</v>
      </c>
      <c r="AP256" s="7"/>
      <c r="AQ256" s="7"/>
    </row>
    <row r="257" ht="15.75" customHeight="1">
      <c r="A257" s="3">
        <v>14.0</v>
      </c>
      <c r="B257" s="4" t="s">
        <v>1590</v>
      </c>
      <c r="C257" s="4" t="str">
        <f>VLOOKUP(D257,'slb RAW'!$E:$F,2)</f>
        <v>#N/A Field Not Applicable</v>
      </c>
      <c r="D257" s="4" t="s">
        <v>1598</v>
      </c>
      <c r="E257" s="4" t="s">
        <v>1599</v>
      </c>
      <c r="F257" s="4" t="s">
        <v>1593</v>
      </c>
      <c r="G257" s="4" t="s">
        <v>367</v>
      </c>
      <c r="H257" s="4" t="s">
        <v>367</v>
      </c>
      <c r="I257" s="4" t="s">
        <v>367</v>
      </c>
      <c r="J257" s="22">
        <v>0.0</v>
      </c>
      <c r="K257" s="4" t="s">
        <v>1594</v>
      </c>
      <c r="L257" s="4" t="s">
        <v>1600</v>
      </c>
      <c r="M257" s="10" t="s">
        <v>48</v>
      </c>
      <c r="N257" s="4" t="s">
        <v>49</v>
      </c>
      <c r="O257" s="4" t="s">
        <v>50</v>
      </c>
      <c r="P257" s="4" t="s">
        <v>76</v>
      </c>
      <c r="Q257" s="4" t="s">
        <v>52</v>
      </c>
      <c r="R257" s="4" t="s">
        <v>53</v>
      </c>
      <c r="S257" s="4" t="s">
        <v>54</v>
      </c>
      <c r="T257" s="4" t="s">
        <v>55</v>
      </c>
      <c r="U257" s="4" t="s">
        <v>70</v>
      </c>
      <c r="V257" s="4" t="s">
        <v>71</v>
      </c>
      <c r="W257" s="4">
        <v>1.76271E8</v>
      </c>
      <c r="X257" s="4" t="s">
        <v>58</v>
      </c>
      <c r="Y257" s="4" t="s">
        <v>506</v>
      </c>
      <c r="Z257" s="4" t="s">
        <v>60</v>
      </c>
      <c r="AA257" s="4" t="s">
        <v>61</v>
      </c>
      <c r="AB257" s="4" t="s">
        <v>62</v>
      </c>
      <c r="AC257" s="4" t="s">
        <v>62</v>
      </c>
      <c r="AD257" s="3" t="s">
        <v>1596</v>
      </c>
      <c r="AE257" s="7">
        <v>5.0</v>
      </c>
      <c r="AF257" s="7">
        <v>5.0</v>
      </c>
      <c r="AG257" s="4" t="str">
        <f t="shared" si="1"/>
        <v>yes</v>
      </c>
      <c r="AH257" s="8" t="s">
        <v>252</v>
      </c>
      <c r="AI257" s="4" t="s">
        <v>1597</v>
      </c>
      <c r="AJ257" s="7" t="str">
        <f>VLOOKUP(D257,'slb RAW'!$E$2:$AF$293,9)</f>
        <v>#N/A N/A</v>
      </c>
      <c r="AK257" s="4" t="str">
        <f>VLOOKUP(D257,'slb RAW'!$E$2:$AE$293,27)</f>
        <v>#N/A N/A</v>
      </c>
      <c r="AL257" s="4" t="str">
        <f>VLOOKUP(C257,'Refinitiv SLB'!F257:S434,14)</f>
        <v>#N/A</v>
      </c>
      <c r="AM257" s="4" t="str">
        <f t="shared" si="2"/>
        <v>#N/A N/A</v>
      </c>
      <c r="AN257" s="9" t="str">
        <f t="shared" si="3"/>
        <v>Arcadis NVAT MATURITYFLOATINGEURSr Unsecured</v>
      </c>
      <c r="AO257" s="7" t="b">
        <f>ISNUMBER( IFERROR(VLOOKUP(A257,Pairs!$E$2:$E$57,1,FALSE),FALSE))</f>
        <v>0</v>
      </c>
      <c r="AP257" s="7"/>
      <c r="AQ257" s="7"/>
    </row>
    <row r="258" ht="15.75" customHeight="1">
      <c r="A258" s="3">
        <v>12.0</v>
      </c>
      <c r="B258" s="4" t="s">
        <v>1590</v>
      </c>
      <c r="C258" s="4" t="str">
        <f>VLOOKUP(D258,'slb RAW'!$E:$F,2)</f>
        <v>#N/A Field Not Applicable</v>
      </c>
      <c r="D258" s="4" t="s">
        <v>1601</v>
      </c>
      <c r="E258" s="4" t="s">
        <v>1602</v>
      </c>
      <c r="F258" s="4" t="s">
        <v>1593</v>
      </c>
      <c r="G258" s="4" t="s">
        <v>367</v>
      </c>
      <c r="H258" s="4" t="s">
        <v>367</v>
      </c>
      <c r="I258" s="4" t="s">
        <v>367</v>
      </c>
      <c r="J258" s="22">
        <v>0.0</v>
      </c>
      <c r="K258" s="4" t="s">
        <v>1594</v>
      </c>
      <c r="L258" s="4" t="s">
        <v>1603</v>
      </c>
      <c r="M258" s="10" t="s">
        <v>48</v>
      </c>
      <c r="N258" s="4" t="s">
        <v>49</v>
      </c>
      <c r="O258" s="4" t="s">
        <v>50</v>
      </c>
      <c r="P258" s="4" t="s">
        <v>145</v>
      </c>
      <c r="Q258" s="4" t="s">
        <v>52</v>
      </c>
      <c r="R258" s="4" t="s">
        <v>53</v>
      </c>
      <c r="S258" s="4" t="s">
        <v>54</v>
      </c>
      <c r="T258" s="4" t="s">
        <v>55</v>
      </c>
      <c r="U258" s="4" t="s">
        <v>70</v>
      </c>
      <c r="V258" s="4" t="s">
        <v>71</v>
      </c>
      <c r="W258" s="4">
        <v>1.76271E8</v>
      </c>
      <c r="X258" s="4" t="s">
        <v>58</v>
      </c>
      <c r="Y258" s="4" t="s">
        <v>506</v>
      </c>
      <c r="Z258" s="4" t="s">
        <v>60</v>
      </c>
      <c r="AA258" s="4" t="s">
        <v>61</v>
      </c>
      <c r="AB258" s="4" t="s">
        <v>62</v>
      </c>
      <c r="AC258" s="4" t="s">
        <v>62</v>
      </c>
      <c r="AD258" s="3" t="s">
        <v>1596</v>
      </c>
      <c r="AE258" s="7">
        <v>5.0</v>
      </c>
      <c r="AF258" s="7">
        <v>5.0</v>
      </c>
      <c r="AG258" s="4" t="str">
        <f t="shared" si="1"/>
        <v>yes</v>
      </c>
      <c r="AH258" s="8" t="s">
        <v>252</v>
      </c>
      <c r="AI258" s="4" t="s">
        <v>1597</v>
      </c>
      <c r="AJ258" s="7" t="str">
        <f>VLOOKUP(D258,'slb RAW'!$E$2:$AF$293,9)</f>
        <v>#N/A N/A</v>
      </c>
      <c r="AK258" s="4" t="str">
        <f>VLOOKUP(D258,'slb RAW'!$E$2:$AE$293,27)</f>
        <v>#N/A N/A</v>
      </c>
      <c r="AL258" s="4" t="str">
        <f>VLOOKUP(C258,'Refinitiv SLB'!F258:S435,14)</f>
        <v>#N/A</v>
      </c>
      <c r="AM258" s="4" t="str">
        <f t="shared" si="2"/>
        <v>#N/A N/A</v>
      </c>
      <c r="AN258" s="9" t="str">
        <f t="shared" si="3"/>
        <v>Arcadis NVAT MATURITYFLOATINGEURSr Unsecured</v>
      </c>
      <c r="AO258" s="7" t="b">
        <f>ISNUMBER( IFERROR(VLOOKUP(A258,Pairs!$E$2:$E$57,1,FALSE),FALSE))</f>
        <v>0</v>
      </c>
      <c r="AP258" s="7"/>
      <c r="AQ258" s="7"/>
    </row>
    <row r="259" ht="15.75" customHeight="1">
      <c r="A259" s="3">
        <v>232.0</v>
      </c>
      <c r="B259" s="4" t="s">
        <v>1604</v>
      </c>
      <c r="C259" s="4" t="str">
        <f>VLOOKUP(D259,'slb RAW'!$E:$F,2)</f>
        <v>#N/A Field Not Applicable</v>
      </c>
      <c r="D259" s="4" t="s">
        <v>1605</v>
      </c>
      <c r="E259" s="4" t="s">
        <v>1606</v>
      </c>
      <c r="F259" s="4" t="s">
        <v>1607</v>
      </c>
      <c r="G259" s="4" t="s">
        <v>45</v>
      </c>
      <c r="H259" s="4" t="s">
        <v>45</v>
      </c>
      <c r="I259" s="4" t="s">
        <v>45</v>
      </c>
      <c r="J259" s="4">
        <v>0.0</v>
      </c>
      <c r="K259" s="4" t="s">
        <v>1608</v>
      </c>
      <c r="L259" s="4" t="s">
        <v>1609</v>
      </c>
      <c r="M259" s="10" t="s">
        <v>48</v>
      </c>
      <c r="N259" s="4" t="s">
        <v>49</v>
      </c>
      <c r="O259" s="4" t="s">
        <v>50</v>
      </c>
      <c r="P259" s="4" t="s">
        <v>145</v>
      </c>
      <c r="Q259" s="4" t="s">
        <v>52</v>
      </c>
      <c r="R259" s="4" t="s">
        <v>53</v>
      </c>
      <c r="S259" s="4" t="s">
        <v>54</v>
      </c>
      <c r="T259" s="4" t="s">
        <v>55</v>
      </c>
      <c r="U259" s="4" t="s">
        <v>70</v>
      </c>
      <c r="V259" s="4" t="s">
        <v>71</v>
      </c>
      <c r="W259" s="4">
        <v>1.19544E8</v>
      </c>
      <c r="X259" s="4" t="s">
        <v>58</v>
      </c>
      <c r="Y259" s="4" t="s">
        <v>865</v>
      </c>
      <c r="Z259" s="4" t="s">
        <v>60</v>
      </c>
      <c r="AA259" s="4" t="s">
        <v>61</v>
      </c>
      <c r="AB259" s="4" t="s">
        <v>177</v>
      </c>
      <c r="AC259" s="4" t="s">
        <v>866</v>
      </c>
      <c r="AD259" s="3" t="s">
        <v>1610</v>
      </c>
      <c r="AE259" s="7">
        <v>2.0</v>
      </c>
      <c r="AF259" s="7">
        <v>2.0</v>
      </c>
      <c r="AG259" s="4" t="str">
        <f t="shared" si="1"/>
        <v>yes</v>
      </c>
      <c r="AH259" s="8" t="s">
        <v>64</v>
      </c>
      <c r="AI259" s="4" t="s">
        <v>1611</v>
      </c>
      <c r="AJ259" s="7" t="str">
        <f>VLOOKUP(D259,'slb RAW'!$E$2:$AF$293,9)</f>
        <v>#N/A N/A</v>
      </c>
      <c r="AK259" s="4" t="str">
        <f>VLOOKUP(D259,'slb RAW'!$E$2:$AE$293,27)</f>
        <v>#N/A N/A</v>
      </c>
      <c r="AL259" s="4" t="str">
        <f>VLOOKUP(C259,'Refinitiv SLB'!F259:S436,14)</f>
        <v>#N/A</v>
      </c>
      <c r="AM259" s="4" t="str">
        <f t="shared" si="2"/>
        <v>#N/A N/A</v>
      </c>
      <c r="AN259" s="9" t="str">
        <f t="shared" si="3"/>
        <v>Saria SE &amp; Co KGAT MATURITYFLOATINGEURSr Unsecured</v>
      </c>
      <c r="AO259" s="7" t="b">
        <f>ISNUMBER( IFERROR(VLOOKUP(A259,Pairs!$E$2:$E$57,1,FALSE),FALSE))</f>
        <v>1</v>
      </c>
      <c r="AP259" s="7"/>
      <c r="AQ259" s="7"/>
    </row>
    <row r="260" ht="15.75" customHeight="1">
      <c r="A260" s="3">
        <v>233.0</v>
      </c>
      <c r="B260" s="4" t="s">
        <v>1604</v>
      </c>
      <c r="C260" s="4" t="str">
        <f>VLOOKUP(D260,'slb RAW'!$E:$F,2)</f>
        <v>#N/A Field Not Applicable</v>
      </c>
      <c r="D260" s="4" t="s">
        <v>1612</v>
      </c>
      <c r="E260" s="4" t="s">
        <v>1613</v>
      </c>
      <c r="F260" s="4" t="s">
        <v>1607</v>
      </c>
      <c r="G260" s="4" t="s">
        <v>45</v>
      </c>
      <c r="H260" s="4" t="s">
        <v>45</v>
      </c>
      <c r="I260" s="4" t="s">
        <v>45</v>
      </c>
      <c r="J260" s="4">
        <v>0.0</v>
      </c>
      <c r="K260" s="4" t="s">
        <v>1608</v>
      </c>
      <c r="L260" s="4" t="s">
        <v>1614</v>
      </c>
      <c r="M260" s="10" t="s">
        <v>48</v>
      </c>
      <c r="N260" s="4" t="s">
        <v>49</v>
      </c>
      <c r="O260" s="4" t="s">
        <v>50</v>
      </c>
      <c r="P260" s="4" t="s">
        <v>76</v>
      </c>
      <c r="Q260" s="4" t="s">
        <v>52</v>
      </c>
      <c r="R260" s="4" t="s">
        <v>53</v>
      </c>
      <c r="S260" s="4" t="s">
        <v>54</v>
      </c>
      <c r="T260" s="4" t="s">
        <v>55</v>
      </c>
      <c r="U260" s="4" t="s">
        <v>70</v>
      </c>
      <c r="V260" s="4" t="s">
        <v>71</v>
      </c>
      <c r="W260" s="4">
        <v>1.19544E8</v>
      </c>
      <c r="X260" s="4" t="s">
        <v>58</v>
      </c>
      <c r="Y260" s="4" t="s">
        <v>865</v>
      </c>
      <c r="Z260" s="4" t="s">
        <v>60</v>
      </c>
      <c r="AA260" s="4" t="s">
        <v>61</v>
      </c>
      <c r="AB260" s="4" t="s">
        <v>177</v>
      </c>
      <c r="AC260" s="4" t="s">
        <v>866</v>
      </c>
      <c r="AD260" s="3" t="s">
        <v>1610</v>
      </c>
      <c r="AE260" s="7">
        <v>2.0</v>
      </c>
      <c r="AF260" s="7">
        <v>2.0</v>
      </c>
      <c r="AG260" s="4" t="str">
        <f t="shared" si="1"/>
        <v>yes</v>
      </c>
      <c r="AH260" s="8" t="s">
        <v>64</v>
      </c>
      <c r="AI260" s="4" t="s">
        <v>1611</v>
      </c>
      <c r="AJ260" s="7" t="str">
        <f>VLOOKUP(D260,'slb RAW'!$E$2:$AF$293,9)</f>
        <v>#N/A N/A</v>
      </c>
      <c r="AK260" s="4" t="str">
        <f>VLOOKUP(D260,'slb RAW'!$E$2:$AE$293,27)</f>
        <v>#N/A N/A</v>
      </c>
      <c r="AL260" s="4" t="str">
        <f>VLOOKUP(C260,'Refinitiv SLB'!F260:S437,14)</f>
        <v>#N/A</v>
      </c>
      <c r="AM260" s="4" t="str">
        <f t="shared" si="2"/>
        <v>#N/A N/A</v>
      </c>
      <c r="AN260" s="9" t="str">
        <f t="shared" si="3"/>
        <v>Saria SE &amp; Co KGAT MATURITYFLOATINGEURSr Unsecured</v>
      </c>
      <c r="AO260" s="7" t="b">
        <f>ISNUMBER( IFERROR(VLOOKUP(A260,Pairs!$E$2:$E$57,1,FALSE),FALSE))</f>
        <v>1</v>
      </c>
      <c r="AP260" s="7"/>
      <c r="AQ260" s="7"/>
    </row>
    <row r="261" ht="15.75" customHeight="1">
      <c r="A261" s="3">
        <v>235.0</v>
      </c>
      <c r="B261" s="4" t="s">
        <v>1604</v>
      </c>
      <c r="C261" s="4" t="str">
        <f>VLOOKUP(D261,'slb RAW'!$E:$F,2)</f>
        <v>#N/A Field Not Applicable</v>
      </c>
      <c r="D261" s="4" t="s">
        <v>1615</v>
      </c>
      <c r="E261" s="4" t="s">
        <v>1616</v>
      </c>
      <c r="F261" s="4" t="s">
        <v>1607</v>
      </c>
      <c r="G261" s="4" t="s">
        <v>45</v>
      </c>
      <c r="H261" s="4" t="s">
        <v>45</v>
      </c>
      <c r="I261" s="4" t="s">
        <v>45</v>
      </c>
      <c r="J261" s="4">
        <v>0.0</v>
      </c>
      <c r="K261" s="4" t="s">
        <v>1608</v>
      </c>
      <c r="L261" s="4" t="s">
        <v>1617</v>
      </c>
      <c r="M261" s="10" t="s">
        <v>48</v>
      </c>
      <c r="N261" s="4" t="s">
        <v>49</v>
      </c>
      <c r="O261" s="4" t="s">
        <v>50</v>
      </c>
      <c r="P261" s="4" t="s">
        <v>69</v>
      </c>
      <c r="Q261" s="4" t="s">
        <v>52</v>
      </c>
      <c r="R261" s="4" t="s">
        <v>53</v>
      </c>
      <c r="S261" s="4" t="s">
        <v>54</v>
      </c>
      <c r="T261" s="4" t="s">
        <v>55</v>
      </c>
      <c r="U261" s="4" t="s">
        <v>70</v>
      </c>
      <c r="V261" s="4" t="s">
        <v>71</v>
      </c>
      <c r="W261" s="4">
        <v>1.19544E8</v>
      </c>
      <c r="X261" s="4" t="s">
        <v>58</v>
      </c>
      <c r="Y261" s="4" t="s">
        <v>865</v>
      </c>
      <c r="Z261" s="4" t="s">
        <v>60</v>
      </c>
      <c r="AA261" s="4" t="s">
        <v>61</v>
      </c>
      <c r="AB261" s="4" t="s">
        <v>177</v>
      </c>
      <c r="AC261" s="4" t="s">
        <v>866</v>
      </c>
      <c r="AD261" s="3" t="s">
        <v>1610</v>
      </c>
      <c r="AE261" s="7">
        <v>2.0</v>
      </c>
      <c r="AF261" s="7">
        <v>2.0</v>
      </c>
      <c r="AG261" s="4" t="str">
        <f t="shared" si="1"/>
        <v>yes</v>
      </c>
      <c r="AH261" s="8" t="s">
        <v>64</v>
      </c>
      <c r="AI261" s="4" t="s">
        <v>1611</v>
      </c>
      <c r="AJ261" s="7" t="str">
        <f>VLOOKUP(D261,'slb RAW'!$E$2:$AF$293,9)</f>
        <v>#N/A N/A</v>
      </c>
      <c r="AK261" s="4" t="str">
        <f>VLOOKUP(D261,'slb RAW'!$E$2:$AE$293,27)</f>
        <v>#N/A N/A</v>
      </c>
      <c r="AL261" s="4" t="str">
        <f>VLOOKUP(C261,'Refinitiv SLB'!F261:S438,14)</f>
        <v>#N/A</v>
      </c>
      <c r="AM261" s="4" t="str">
        <f t="shared" si="2"/>
        <v>#N/A N/A</v>
      </c>
      <c r="AN261" s="9" t="str">
        <f t="shared" si="3"/>
        <v>Saria SE &amp; Co KGAT MATURITYFLOATINGEURSr Unsecured</v>
      </c>
      <c r="AO261" s="7" t="b">
        <f>ISNUMBER( IFERROR(VLOOKUP(A261,Pairs!$E$2:$E$57,1,FALSE),FALSE))</f>
        <v>1</v>
      </c>
      <c r="AP261" s="7"/>
      <c r="AQ261" s="7"/>
    </row>
    <row r="262" ht="15.75" customHeight="1">
      <c r="A262" s="3">
        <v>234.0</v>
      </c>
      <c r="B262" s="4" t="s">
        <v>1604</v>
      </c>
      <c r="C262" s="4" t="str">
        <f>VLOOKUP(D262,'slb RAW'!$E:$F,2)</f>
        <v>#N/A Field Not Applicable</v>
      </c>
      <c r="D262" s="4" t="s">
        <v>1618</v>
      </c>
      <c r="E262" s="4" t="s">
        <v>1619</v>
      </c>
      <c r="F262" s="4" t="s">
        <v>1607</v>
      </c>
      <c r="G262" s="4" t="s">
        <v>45</v>
      </c>
      <c r="H262" s="4" t="s">
        <v>45</v>
      </c>
      <c r="I262" s="4" t="s">
        <v>45</v>
      </c>
      <c r="J262" s="4">
        <v>0.0</v>
      </c>
      <c r="K262" s="4" t="s">
        <v>1608</v>
      </c>
      <c r="L262" s="4" t="s">
        <v>1614</v>
      </c>
      <c r="M262" s="10" t="s">
        <v>48</v>
      </c>
      <c r="N262" s="4" t="s">
        <v>49</v>
      </c>
      <c r="O262" s="4" t="s">
        <v>50</v>
      </c>
      <c r="P262" s="4" t="s">
        <v>51</v>
      </c>
      <c r="Q262" s="4" t="s">
        <v>52</v>
      </c>
      <c r="R262" s="4" t="s">
        <v>53</v>
      </c>
      <c r="S262" s="4" t="s">
        <v>54</v>
      </c>
      <c r="T262" s="4" t="s">
        <v>55</v>
      </c>
      <c r="U262" s="4" t="s">
        <v>70</v>
      </c>
      <c r="V262" s="4" t="s">
        <v>71</v>
      </c>
      <c r="W262" s="4">
        <v>1.19544E8</v>
      </c>
      <c r="X262" s="4" t="s">
        <v>58</v>
      </c>
      <c r="Y262" s="4" t="s">
        <v>865</v>
      </c>
      <c r="Z262" s="4" t="s">
        <v>60</v>
      </c>
      <c r="AA262" s="4" t="s">
        <v>61</v>
      </c>
      <c r="AB262" s="4" t="s">
        <v>177</v>
      </c>
      <c r="AC262" s="4" t="s">
        <v>866</v>
      </c>
      <c r="AD262" s="3" t="s">
        <v>1610</v>
      </c>
      <c r="AE262" s="7">
        <v>2.0</v>
      </c>
      <c r="AF262" s="7">
        <v>2.0</v>
      </c>
      <c r="AG262" s="4" t="str">
        <f t="shared" si="1"/>
        <v>yes</v>
      </c>
      <c r="AH262" s="8" t="s">
        <v>64</v>
      </c>
      <c r="AI262" s="4" t="s">
        <v>1611</v>
      </c>
      <c r="AJ262" s="7" t="str">
        <f>VLOOKUP(D262,'slb RAW'!$E$2:$AF$293,9)</f>
        <v>#N/A N/A</v>
      </c>
      <c r="AK262" s="4" t="str">
        <f>VLOOKUP(D262,'slb RAW'!$E$2:$AE$293,27)</f>
        <v>#N/A N/A</v>
      </c>
      <c r="AL262" s="4" t="str">
        <f>VLOOKUP(C262,'Refinitiv SLB'!F262:S439,14)</f>
        <v>#N/A</v>
      </c>
      <c r="AM262" s="4" t="str">
        <f t="shared" si="2"/>
        <v>#N/A N/A</v>
      </c>
      <c r="AN262" s="9" t="str">
        <f t="shared" si="3"/>
        <v>Saria SE &amp; Co KGAT MATURITYFLOATINGEURSr Unsecured</v>
      </c>
      <c r="AO262" s="7" t="b">
        <f>ISNUMBER( IFERROR(VLOOKUP(A262,Pairs!$E$2:$E$57,1,FALSE),FALSE))</f>
        <v>1</v>
      </c>
      <c r="AP262" s="7"/>
      <c r="AQ262" s="7"/>
    </row>
    <row r="263" ht="15.75" customHeight="1">
      <c r="A263" s="3">
        <v>244.0</v>
      </c>
      <c r="B263" s="4" t="s">
        <v>755</v>
      </c>
      <c r="C263" s="4" t="str">
        <f>VLOOKUP(D263,'slb RAW'!$E:$F,2)</f>
        <v>US86964WAJ18</v>
      </c>
      <c r="D263" s="4" t="s">
        <v>1620</v>
      </c>
      <c r="E263" s="4" t="s">
        <v>1621</v>
      </c>
      <c r="F263" s="4" t="s">
        <v>758</v>
      </c>
      <c r="G263" s="4" t="s">
        <v>258</v>
      </c>
      <c r="H263" s="4" t="s">
        <v>258</v>
      </c>
      <c r="I263" s="4" t="s">
        <v>259</v>
      </c>
      <c r="J263" s="4">
        <v>3.75</v>
      </c>
      <c r="K263" s="4" t="s">
        <v>1622</v>
      </c>
      <c r="L263" s="4" t="s">
        <v>1623</v>
      </c>
      <c r="M263" s="4">
        <v>3.9499999999999997</v>
      </c>
      <c r="N263" s="4" t="s">
        <v>115</v>
      </c>
      <c r="O263" s="4" t="s">
        <v>116</v>
      </c>
      <c r="P263" s="4" t="s">
        <v>174</v>
      </c>
      <c r="Q263" s="4" t="s">
        <v>52</v>
      </c>
      <c r="R263" s="4" t="s">
        <v>263</v>
      </c>
      <c r="S263" s="4" t="s">
        <v>497</v>
      </c>
      <c r="T263" s="4" t="s">
        <v>55</v>
      </c>
      <c r="U263" s="4" t="s">
        <v>56</v>
      </c>
      <c r="V263" s="4" t="s">
        <v>71</v>
      </c>
      <c r="W263" s="4">
        <v>1.25E9</v>
      </c>
      <c r="X263" s="4" t="s">
        <v>85</v>
      </c>
      <c r="Y263" s="4" t="s">
        <v>760</v>
      </c>
      <c r="Z263" s="4" t="s">
        <v>60</v>
      </c>
      <c r="AA263" s="4" t="s">
        <v>61</v>
      </c>
      <c r="AB263" s="4" t="s">
        <v>87</v>
      </c>
      <c r="AC263" s="4" t="s">
        <v>266</v>
      </c>
      <c r="AD263" s="3" t="s">
        <v>1624</v>
      </c>
      <c r="AE263" s="7">
        <v>25.0</v>
      </c>
      <c r="AF263" s="12"/>
      <c r="AG263" s="4" t="str">
        <f t="shared" si="1"/>
        <v/>
      </c>
      <c r="AH263" s="8" t="s">
        <v>252</v>
      </c>
      <c r="AI263" s="4" t="s">
        <v>1625</v>
      </c>
      <c r="AJ263" s="7">
        <f>VLOOKUP(D263,'slb RAW'!$E$2:$AF$293,9)</f>
        <v>3.95</v>
      </c>
      <c r="AK263" s="4">
        <f>VLOOKUP(D263,'slb RAW'!$E$2:$AE$293,27)</f>
        <v>3.637</v>
      </c>
      <c r="AL263" s="4" t="str">
        <f>VLOOKUP(C263,'Refinitiv SLB'!F263:S440,14)</f>
        <v>#N/A</v>
      </c>
      <c r="AM263" s="4">
        <f t="shared" si="2"/>
        <v>3.637</v>
      </c>
      <c r="AN263" s="9" t="str">
        <f t="shared" si="3"/>
        <v>Suzano Austria GmbHCALLABLEFIXEDUSDSr Unsecured</v>
      </c>
      <c r="AO263" s="7" t="b">
        <f>ISNUMBER( IFERROR(VLOOKUP(A263,Pairs!$E$2:$E$57,1,FALSE),FALSE))</f>
        <v>1</v>
      </c>
      <c r="AP263" s="7"/>
      <c r="AQ263" s="7"/>
    </row>
    <row r="264" ht="15.75" customHeight="1">
      <c r="A264" s="3">
        <v>138.0</v>
      </c>
      <c r="B264" s="4" t="s">
        <v>1626</v>
      </c>
      <c r="C264" s="4" t="str">
        <f>VLOOKUP(D264,'slb RAW'!$E:$F,2)</f>
        <v>#N/A Field Not Applicable</v>
      </c>
      <c r="D264" s="4" t="s">
        <v>1627</v>
      </c>
      <c r="E264" s="4" t="s">
        <v>1628</v>
      </c>
      <c r="F264" s="4" t="s">
        <v>1629</v>
      </c>
      <c r="G264" s="4" t="s">
        <v>45</v>
      </c>
      <c r="H264" s="4" t="s">
        <v>45</v>
      </c>
      <c r="I264" s="4" t="s">
        <v>45</v>
      </c>
      <c r="J264" s="4">
        <v>0.0</v>
      </c>
      <c r="K264" s="4" t="s">
        <v>1630</v>
      </c>
      <c r="L264" s="4" t="s">
        <v>1631</v>
      </c>
      <c r="M264" s="10" t="s">
        <v>48</v>
      </c>
      <c r="N264" s="4" t="s">
        <v>49</v>
      </c>
      <c r="O264" s="4" t="s">
        <v>50</v>
      </c>
      <c r="P264" s="4" t="s">
        <v>51</v>
      </c>
      <c r="Q264" s="4" t="s">
        <v>52</v>
      </c>
      <c r="R264" s="4" t="s">
        <v>53</v>
      </c>
      <c r="S264" s="4" t="s">
        <v>54</v>
      </c>
      <c r="T264" s="4" t="s">
        <v>55</v>
      </c>
      <c r="U264" s="4" t="s">
        <v>70</v>
      </c>
      <c r="V264" s="4" t="s">
        <v>71</v>
      </c>
      <c r="W264" s="4">
        <v>7.11168E7</v>
      </c>
      <c r="X264" s="4" t="s">
        <v>58</v>
      </c>
      <c r="Y264" s="4" t="s">
        <v>1632</v>
      </c>
      <c r="Z264" s="4" t="s">
        <v>60</v>
      </c>
      <c r="AA264" s="4" t="s">
        <v>61</v>
      </c>
      <c r="AB264" s="4" t="s">
        <v>177</v>
      </c>
      <c r="AC264" s="4" t="s">
        <v>192</v>
      </c>
      <c r="AD264" s="10" t="s">
        <v>48</v>
      </c>
      <c r="AE264" s="8" t="s">
        <v>139</v>
      </c>
      <c r="AF264" s="12"/>
      <c r="AG264" s="4" t="str">
        <f t="shared" si="1"/>
        <v/>
      </c>
      <c r="AH264" s="12"/>
      <c r="AI264" s="4" t="s">
        <v>1633</v>
      </c>
      <c r="AJ264" s="7" t="str">
        <f>VLOOKUP(D264,'slb RAW'!$E$2:$AF$293,9)</f>
        <v>#N/A N/A</v>
      </c>
      <c r="AK264" s="4" t="str">
        <f>VLOOKUP(D264,'slb RAW'!$E$2:$AE$293,27)</f>
        <v>#N/A N/A</v>
      </c>
      <c r="AL264" s="4" t="str">
        <f>VLOOKUP(C264,'Refinitiv SLB'!F264:S441,14)</f>
        <v>#N/A</v>
      </c>
      <c r="AM264" s="4" t="str">
        <f t="shared" si="2"/>
        <v>#N/A N/A</v>
      </c>
      <c r="AN264" s="9" t="str">
        <f t="shared" si="3"/>
        <v>Indus Holding AGAT MATURITYFLOATINGEURSr Unsecured</v>
      </c>
      <c r="AO264" s="7" t="b">
        <f>ISNUMBER( IFERROR(VLOOKUP(A264,Pairs!$E$2:$E$57,1,FALSE),FALSE))</f>
        <v>1</v>
      </c>
      <c r="AP264" s="7"/>
      <c r="AQ264" s="7"/>
    </row>
    <row r="265" ht="15.75" customHeight="1">
      <c r="A265" s="3">
        <v>139.0</v>
      </c>
      <c r="B265" s="4" t="s">
        <v>1626</v>
      </c>
      <c r="C265" s="4" t="str">
        <f>VLOOKUP(D265,'slb RAW'!$E:$F,2)</f>
        <v>#N/A Field Not Applicable</v>
      </c>
      <c r="D265" s="4" t="s">
        <v>1634</v>
      </c>
      <c r="E265" s="4" t="s">
        <v>1635</v>
      </c>
      <c r="F265" s="4" t="s">
        <v>1629</v>
      </c>
      <c r="G265" s="4" t="s">
        <v>45</v>
      </c>
      <c r="H265" s="4" t="s">
        <v>45</v>
      </c>
      <c r="I265" s="4" t="s">
        <v>45</v>
      </c>
      <c r="J265" s="4">
        <v>0.0</v>
      </c>
      <c r="K265" s="4" t="s">
        <v>1630</v>
      </c>
      <c r="L265" s="4" t="s">
        <v>1636</v>
      </c>
      <c r="M265" s="10" t="s">
        <v>48</v>
      </c>
      <c r="N265" s="4" t="s">
        <v>49</v>
      </c>
      <c r="O265" s="4" t="s">
        <v>50</v>
      </c>
      <c r="P265" s="4" t="s">
        <v>69</v>
      </c>
      <c r="Q265" s="4" t="s">
        <v>52</v>
      </c>
      <c r="R265" s="4" t="s">
        <v>53</v>
      </c>
      <c r="S265" s="4" t="s">
        <v>54</v>
      </c>
      <c r="T265" s="4" t="s">
        <v>55</v>
      </c>
      <c r="U265" s="4" t="s">
        <v>70</v>
      </c>
      <c r="V265" s="4" t="s">
        <v>71</v>
      </c>
      <c r="W265" s="4">
        <v>7.11168E7</v>
      </c>
      <c r="X265" s="4" t="s">
        <v>58</v>
      </c>
      <c r="Y265" s="4" t="s">
        <v>1632</v>
      </c>
      <c r="Z265" s="4" t="s">
        <v>60</v>
      </c>
      <c r="AA265" s="4" t="s">
        <v>61</v>
      </c>
      <c r="AB265" s="4" t="s">
        <v>177</v>
      </c>
      <c r="AC265" s="4" t="s">
        <v>192</v>
      </c>
      <c r="AD265" s="10" t="s">
        <v>48</v>
      </c>
      <c r="AE265" s="8" t="s">
        <v>139</v>
      </c>
      <c r="AF265" s="12"/>
      <c r="AG265" s="4" t="str">
        <f t="shared" si="1"/>
        <v/>
      </c>
      <c r="AH265" s="12"/>
      <c r="AI265" s="4" t="s">
        <v>1633</v>
      </c>
      <c r="AJ265" s="7" t="str">
        <f>VLOOKUP(D265,'slb RAW'!$E$2:$AF$293,9)</f>
        <v>#N/A N/A</v>
      </c>
      <c r="AK265" s="4" t="str">
        <f>VLOOKUP(D265,'slb RAW'!$E$2:$AE$293,27)</f>
        <v>#N/A N/A</v>
      </c>
      <c r="AL265" s="4" t="str">
        <f>VLOOKUP(C265,'Refinitiv SLB'!F265:S442,14)</f>
        <v>#N/A</v>
      </c>
      <c r="AM265" s="4" t="str">
        <f t="shared" si="2"/>
        <v>#N/A N/A</v>
      </c>
      <c r="AN265" s="9" t="str">
        <f t="shared" si="3"/>
        <v>Indus Holding AGAT MATURITYFLOATINGEURSr Unsecured</v>
      </c>
      <c r="AO265" s="7" t="b">
        <f>ISNUMBER( IFERROR(VLOOKUP(A265,Pairs!$E$2:$E$57,1,FALSE),FALSE))</f>
        <v>1</v>
      </c>
      <c r="AP265" s="7"/>
      <c r="AQ265" s="7"/>
    </row>
    <row r="266" ht="15.75" customHeight="1">
      <c r="A266" s="3">
        <v>137.0</v>
      </c>
      <c r="B266" s="4" t="s">
        <v>1626</v>
      </c>
      <c r="C266" s="4" t="str">
        <f>VLOOKUP(D266,'slb RAW'!$E:$F,2)</f>
        <v>#N/A Field Not Applicable</v>
      </c>
      <c r="D266" s="4" t="s">
        <v>1637</v>
      </c>
      <c r="E266" s="4" t="s">
        <v>1638</v>
      </c>
      <c r="F266" s="4" t="s">
        <v>1629</v>
      </c>
      <c r="G266" s="4" t="s">
        <v>45</v>
      </c>
      <c r="H266" s="4" t="s">
        <v>45</v>
      </c>
      <c r="I266" s="4" t="s">
        <v>45</v>
      </c>
      <c r="J266" s="4">
        <v>0.0</v>
      </c>
      <c r="K266" s="4" t="s">
        <v>1630</v>
      </c>
      <c r="L266" s="4" t="s">
        <v>1639</v>
      </c>
      <c r="M266" s="10" t="s">
        <v>48</v>
      </c>
      <c r="N266" s="4" t="s">
        <v>49</v>
      </c>
      <c r="O266" s="4" t="s">
        <v>50</v>
      </c>
      <c r="P266" s="4" t="s">
        <v>76</v>
      </c>
      <c r="Q266" s="4" t="s">
        <v>52</v>
      </c>
      <c r="R266" s="4" t="s">
        <v>53</v>
      </c>
      <c r="S266" s="4" t="s">
        <v>54</v>
      </c>
      <c r="T266" s="4" t="s">
        <v>55</v>
      </c>
      <c r="U266" s="4" t="s">
        <v>70</v>
      </c>
      <c r="V266" s="4" t="s">
        <v>71</v>
      </c>
      <c r="W266" s="4">
        <v>7.11168E7</v>
      </c>
      <c r="X266" s="4" t="s">
        <v>58</v>
      </c>
      <c r="Y266" s="4" t="s">
        <v>1632</v>
      </c>
      <c r="Z266" s="4" t="s">
        <v>60</v>
      </c>
      <c r="AA266" s="4" t="s">
        <v>61</v>
      </c>
      <c r="AB266" s="4" t="s">
        <v>177</v>
      </c>
      <c r="AC266" s="4" t="s">
        <v>192</v>
      </c>
      <c r="AD266" s="10" t="s">
        <v>48</v>
      </c>
      <c r="AE266" s="8" t="s">
        <v>139</v>
      </c>
      <c r="AF266" s="12"/>
      <c r="AG266" s="4" t="str">
        <f t="shared" si="1"/>
        <v/>
      </c>
      <c r="AH266" s="12"/>
      <c r="AI266" s="4" t="s">
        <v>1633</v>
      </c>
      <c r="AJ266" s="7" t="str">
        <f>VLOOKUP(D266,'slb RAW'!$E$2:$AF$293,9)</f>
        <v>#N/A N/A</v>
      </c>
      <c r="AK266" s="4" t="str">
        <f>VLOOKUP(D266,'slb RAW'!$E$2:$AE$293,27)</f>
        <v>#N/A N/A</v>
      </c>
      <c r="AL266" s="4" t="str">
        <f>VLOOKUP(C266,'Refinitiv SLB'!F266:S443,14)</f>
        <v>#N/A</v>
      </c>
      <c r="AM266" s="4" t="str">
        <f t="shared" si="2"/>
        <v>#N/A N/A</v>
      </c>
      <c r="AN266" s="9" t="str">
        <f t="shared" si="3"/>
        <v>Indus Holding AGAT MATURITYFLOATINGEURSr Unsecured</v>
      </c>
      <c r="AO266" s="7" t="b">
        <f>ISNUMBER( IFERROR(VLOOKUP(A266,Pairs!$E$2:$E$57,1,FALSE),FALSE))</f>
        <v>1</v>
      </c>
      <c r="AP266" s="7"/>
      <c r="AQ266" s="7"/>
    </row>
    <row r="267" ht="15.75" customHeight="1">
      <c r="A267" s="3">
        <v>188.0</v>
      </c>
      <c r="B267" s="4" t="s">
        <v>1640</v>
      </c>
      <c r="C267" s="4" t="str">
        <f>VLOOKUP(D267,'slb RAW'!$E:$F,2)</f>
        <v>XS2235996217</v>
      </c>
      <c r="D267" s="4" t="s">
        <v>1641</v>
      </c>
      <c r="E267" s="4" t="s">
        <v>1642</v>
      </c>
      <c r="F267" s="4" t="s">
        <v>1643</v>
      </c>
      <c r="G267" s="4" t="s">
        <v>170</v>
      </c>
      <c r="H267" s="4" t="s">
        <v>170</v>
      </c>
      <c r="I267" s="4" t="s">
        <v>171</v>
      </c>
      <c r="J267" s="4">
        <v>0.0</v>
      </c>
      <c r="K267" s="4" t="s">
        <v>1644</v>
      </c>
      <c r="L267" s="4" t="s">
        <v>1645</v>
      </c>
      <c r="M267" s="11">
        <v>0.0509</v>
      </c>
      <c r="N267" s="4" t="s">
        <v>115</v>
      </c>
      <c r="O267" s="4" t="s">
        <v>116</v>
      </c>
      <c r="P267" s="4" t="s">
        <v>174</v>
      </c>
      <c r="Q267" s="4" t="s">
        <v>52</v>
      </c>
      <c r="R267" s="4" t="s">
        <v>53</v>
      </c>
      <c r="S267" s="4" t="s">
        <v>1646</v>
      </c>
      <c r="T267" s="4" t="s">
        <v>55</v>
      </c>
      <c r="U267" s="4" t="s">
        <v>56</v>
      </c>
      <c r="V267" s="4" t="s">
        <v>57</v>
      </c>
      <c r="W267" s="4">
        <v>2.1610405E9</v>
      </c>
      <c r="X267" s="4" t="s">
        <v>1050</v>
      </c>
      <c r="Y267" s="4" t="s">
        <v>1051</v>
      </c>
      <c r="Z267" s="4" t="s">
        <v>60</v>
      </c>
      <c r="AA267" s="4" t="s">
        <v>61</v>
      </c>
      <c r="AB267" s="4" t="s">
        <v>228</v>
      </c>
      <c r="AC267" s="4" t="s">
        <v>1051</v>
      </c>
      <c r="AD267" s="3" t="s">
        <v>1647</v>
      </c>
      <c r="AE267" s="7">
        <v>25.0</v>
      </c>
      <c r="AF267" s="12"/>
      <c r="AG267" s="4" t="str">
        <f t="shared" si="1"/>
        <v/>
      </c>
      <c r="AH267" s="8" t="s">
        <v>252</v>
      </c>
      <c r="AI267" s="4" t="s">
        <v>1648</v>
      </c>
      <c r="AJ267" s="7" t="str">
        <f>VLOOKUP(D267,'slb RAW'!$E$2:$AF$293,9)</f>
        <v>#N/A N/A</v>
      </c>
      <c r="AK267" s="4">
        <f>VLOOKUP(D267,'slb RAW'!$E$2:$AE$293,27)</f>
        <v>0.039</v>
      </c>
      <c r="AL267" s="4" t="str">
        <f>VLOOKUP(C267,'Refinitiv SLB'!F267:S444,14)</f>
        <v>#N/A</v>
      </c>
      <c r="AM267" s="4">
        <f t="shared" si="2"/>
        <v>0.039</v>
      </c>
      <c r="AN267" s="9" t="str">
        <f t="shared" si="3"/>
        <v>Novartis Finance SACALLABLEFIXEDEURSr Unsecured</v>
      </c>
      <c r="AO267" s="7" t="b">
        <f>ISNUMBER( IFERROR(VLOOKUP(A267,Pairs!$E$2:$E$57,1,FALSE),FALSE))</f>
        <v>1</v>
      </c>
      <c r="AP267" s="7"/>
      <c r="AQ267" s="7"/>
    </row>
    <row r="268" ht="15.75" customHeight="1">
      <c r="A268" s="3">
        <v>75.0</v>
      </c>
      <c r="B268" s="4" t="s">
        <v>642</v>
      </c>
      <c r="C268" s="4" t="str">
        <f>VLOOKUP(D268,'slb RAW'!$E:$F,2)</f>
        <v>XS2244418609</v>
      </c>
      <c r="D268" s="4" t="s">
        <v>1649</v>
      </c>
      <c r="E268" s="4" t="s">
        <v>1650</v>
      </c>
      <c r="F268" s="4" t="s">
        <v>645</v>
      </c>
      <c r="G268" s="4" t="s">
        <v>367</v>
      </c>
      <c r="H268" s="4" t="s">
        <v>367</v>
      </c>
      <c r="I268" s="4" t="s">
        <v>200</v>
      </c>
      <c r="J268" s="4">
        <v>1.0</v>
      </c>
      <c r="K268" s="4" t="s">
        <v>1651</v>
      </c>
      <c r="L268" s="4" t="s">
        <v>1652</v>
      </c>
      <c r="M268" s="3">
        <v>0.9503</v>
      </c>
      <c r="N268" s="4" t="s">
        <v>115</v>
      </c>
      <c r="O268" s="4" t="s">
        <v>116</v>
      </c>
      <c r="P268" s="4" t="s">
        <v>226</v>
      </c>
      <c r="Q268" s="4" t="s">
        <v>52</v>
      </c>
      <c r="R268" s="4" t="s">
        <v>1548</v>
      </c>
      <c r="S268" s="4" t="s">
        <v>620</v>
      </c>
      <c r="T268" s="4" t="s">
        <v>55</v>
      </c>
      <c r="U268" s="4" t="s">
        <v>56</v>
      </c>
      <c r="V268" s="4" t="s">
        <v>57</v>
      </c>
      <c r="W268" s="4">
        <v>6.46985E8</v>
      </c>
      <c r="X268" s="4" t="s">
        <v>120</v>
      </c>
      <c r="Y268" s="4" t="s">
        <v>120</v>
      </c>
      <c r="Z268" s="4" t="s">
        <v>60</v>
      </c>
      <c r="AA268" s="4" t="s">
        <v>121</v>
      </c>
      <c r="AB268" s="4" t="s">
        <v>122</v>
      </c>
      <c r="AC268" s="4" t="s">
        <v>122</v>
      </c>
      <c r="AD268" s="3" t="s">
        <v>1653</v>
      </c>
      <c r="AE268" s="7">
        <v>25.0</v>
      </c>
      <c r="AF268" s="12"/>
      <c r="AG268" s="4" t="str">
        <f t="shared" si="1"/>
        <v/>
      </c>
      <c r="AH268" s="8" t="s">
        <v>125</v>
      </c>
      <c r="AI268" s="4" t="s">
        <v>1654</v>
      </c>
      <c r="AJ268" s="7" t="str">
        <f>VLOOKUP(D268,'slb RAW'!$E$2:$AF$293,9)</f>
        <v>#N/A N/A</v>
      </c>
      <c r="AK268" s="4">
        <f>VLOOKUP(D268,'slb RAW'!$E$2:$AE$293,27)</f>
        <v>0.928</v>
      </c>
      <c r="AL268" s="4" t="str">
        <f>VLOOKUP(C268,'Refinitiv SLB'!F268:S445,14)</f>
        <v>#N/A</v>
      </c>
      <c r="AM268" s="4">
        <f t="shared" si="2"/>
        <v>0.928</v>
      </c>
      <c r="AN268" s="9" t="str">
        <f t="shared" si="3"/>
        <v>Enel Finance International NVCALLABLEFIXEDGBPSr Unsecured</v>
      </c>
      <c r="AO268" s="7" t="b">
        <f>ISNUMBER( IFERROR(VLOOKUP(A268,Pairs!$E$2:$E$57,1,FALSE),FALSE))</f>
        <v>0</v>
      </c>
      <c r="AP268" s="7"/>
      <c r="AQ268" s="7"/>
    </row>
    <row r="269" ht="15.75" customHeight="1">
      <c r="A269" s="3">
        <v>52.0</v>
      </c>
      <c r="B269" s="4" t="s">
        <v>1655</v>
      </c>
      <c r="C269" s="4" t="str">
        <f>VLOOKUP(D269,'slb RAW'!$E:$F,2)</f>
        <v>#N/A Field Not Applicable</v>
      </c>
      <c r="D269" s="4" t="s">
        <v>1656</v>
      </c>
      <c r="E269" s="4" t="s">
        <v>1657</v>
      </c>
      <c r="F269" s="4" t="s">
        <v>1658</v>
      </c>
      <c r="G269" s="4" t="s">
        <v>45</v>
      </c>
      <c r="H269" s="4" t="s">
        <v>45</v>
      </c>
      <c r="I269" s="4" t="s">
        <v>45</v>
      </c>
      <c r="J269" s="5">
        <v>0.0</v>
      </c>
      <c r="K269" s="4" t="s">
        <v>1659</v>
      </c>
      <c r="L269" s="4" t="s">
        <v>1660</v>
      </c>
      <c r="M269" s="10" t="s">
        <v>48</v>
      </c>
      <c r="N269" s="4" t="s">
        <v>49</v>
      </c>
      <c r="O269" s="4" t="s">
        <v>50</v>
      </c>
      <c r="P269" s="4" t="s">
        <v>69</v>
      </c>
      <c r="Q269" s="4" t="s">
        <v>52</v>
      </c>
      <c r="R269" s="4" t="s">
        <v>53</v>
      </c>
      <c r="S269" s="4" t="s">
        <v>54</v>
      </c>
      <c r="T269" s="4" t="s">
        <v>55</v>
      </c>
      <c r="U269" s="4" t="s">
        <v>56</v>
      </c>
      <c r="V269" s="4" t="s">
        <v>57</v>
      </c>
      <c r="W269" s="4">
        <v>1.22531E8</v>
      </c>
      <c r="X269" s="4" t="s">
        <v>1050</v>
      </c>
      <c r="Y269" s="4" t="s">
        <v>1254</v>
      </c>
      <c r="Z269" s="4" t="s">
        <v>60</v>
      </c>
      <c r="AA269" s="4" t="s">
        <v>61</v>
      </c>
      <c r="AB269" s="4" t="s">
        <v>228</v>
      </c>
      <c r="AC269" s="4" t="s">
        <v>1255</v>
      </c>
      <c r="AD269" s="3" t="s">
        <v>1661</v>
      </c>
      <c r="AE269" s="8" t="s">
        <v>139</v>
      </c>
      <c r="AF269" s="12"/>
      <c r="AG269" s="4" t="str">
        <f t="shared" si="1"/>
        <v/>
      </c>
      <c r="AH269" s="8" t="s">
        <v>140</v>
      </c>
      <c r="AI269" s="4" t="s">
        <v>1662</v>
      </c>
      <c r="AJ269" s="7" t="str">
        <f>VLOOKUP(D269,'slb RAW'!$E$2:$AF$293,9)</f>
        <v>#N/A N/A</v>
      </c>
      <c r="AK269" s="4" t="str">
        <f>VLOOKUP(D269,'slb RAW'!$E$2:$AE$293,27)</f>
        <v>#N/A N/A</v>
      </c>
      <c r="AL269" s="4" t="str">
        <f>VLOOKUP(C269,'Refinitiv SLB'!F269:S446,14)</f>
        <v>#N/A</v>
      </c>
      <c r="AM269" s="4" t="str">
        <f t="shared" si="2"/>
        <v>#N/A N/A</v>
      </c>
      <c r="AN269" s="9" t="str">
        <f t="shared" si="3"/>
        <v>Draegerwerk AG &amp; Co KGaAAT MATURITYFIXEDEURSr Unsecured</v>
      </c>
      <c r="AO269" s="7" t="b">
        <f>ISNUMBER( IFERROR(VLOOKUP(A269,Pairs!$E$2:$E$57,1,FALSE),FALSE))</f>
        <v>0</v>
      </c>
      <c r="AP269" s="7"/>
      <c r="AQ269" s="7"/>
    </row>
    <row r="270" ht="15.75" customHeight="1">
      <c r="A270" s="3">
        <v>53.0</v>
      </c>
      <c r="B270" s="4" t="s">
        <v>1655</v>
      </c>
      <c r="C270" s="4" t="str">
        <f>VLOOKUP(D270,'slb RAW'!$E:$F,2)</f>
        <v>#N/A Field Not Applicable</v>
      </c>
      <c r="D270" s="4" t="s">
        <v>1663</v>
      </c>
      <c r="E270" s="4" t="s">
        <v>1664</v>
      </c>
      <c r="F270" s="4" t="s">
        <v>1658</v>
      </c>
      <c r="G270" s="4" t="s">
        <v>45</v>
      </c>
      <c r="H270" s="4" t="s">
        <v>45</v>
      </c>
      <c r="I270" s="4" t="s">
        <v>45</v>
      </c>
      <c r="J270" s="5">
        <v>0.0</v>
      </c>
      <c r="K270" s="4" t="s">
        <v>1659</v>
      </c>
      <c r="L270" s="4" t="s">
        <v>1665</v>
      </c>
      <c r="M270" s="10" t="s">
        <v>48</v>
      </c>
      <c r="N270" s="4" t="s">
        <v>49</v>
      </c>
      <c r="O270" s="4" t="s">
        <v>50</v>
      </c>
      <c r="P270" s="4" t="s">
        <v>76</v>
      </c>
      <c r="Q270" s="4" t="s">
        <v>52</v>
      </c>
      <c r="R270" s="4" t="s">
        <v>53</v>
      </c>
      <c r="S270" s="4" t="s">
        <v>54</v>
      </c>
      <c r="T270" s="4" t="s">
        <v>55</v>
      </c>
      <c r="U270" s="4" t="s">
        <v>56</v>
      </c>
      <c r="V270" s="4" t="s">
        <v>57</v>
      </c>
      <c r="W270" s="4">
        <v>1.22531E8</v>
      </c>
      <c r="X270" s="4" t="s">
        <v>1050</v>
      </c>
      <c r="Y270" s="4" t="s">
        <v>1254</v>
      </c>
      <c r="Z270" s="4" t="s">
        <v>60</v>
      </c>
      <c r="AA270" s="4" t="s">
        <v>61</v>
      </c>
      <c r="AB270" s="4" t="s">
        <v>228</v>
      </c>
      <c r="AC270" s="4" t="s">
        <v>1255</v>
      </c>
      <c r="AD270" s="3" t="s">
        <v>1661</v>
      </c>
      <c r="AE270" s="8" t="s">
        <v>139</v>
      </c>
      <c r="AF270" s="12"/>
      <c r="AG270" s="4" t="str">
        <f t="shared" si="1"/>
        <v/>
      </c>
      <c r="AH270" s="8" t="s">
        <v>140</v>
      </c>
      <c r="AI270" s="4" t="s">
        <v>1662</v>
      </c>
      <c r="AJ270" s="7" t="str">
        <f>VLOOKUP(D270,'slb RAW'!$E$2:$AF$293,9)</f>
        <v>#N/A N/A</v>
      </c>
      <c r="AK270" s="4" t="str">
        <f>VLOOKUP(D270,'slb RAW'!$E$2:$AE$293,27)</f>
        <v>#N/A N/A</v>
      </c>
      <c r="AL270" s="4" t="str">
        <f>VLOOKUP(C270,'Refinitiv SLB'!F270:S447,14)</f>
        <v>#N/A</v>
      </c>
      <c r="AM270" s="4" t="str">
        <f t="shared" si="2"/>
        <v>#N/A N/A</v>
      </c>
      <c r="AN270" s="9" t="str">
        <f t="shared" si="3"/>
        <v>Draegerwerk AG &amp; Co KGaAAT MATURITYFIXEDEURSr Unsecured</v>
      </c>
      <c r="AO270" s="7" t="b">
        <f>ISNUMBER( IFERROR(VLOOKUP(A270,Pairs!$E$2:$E$57,1,FALSE),FALSE))</f>
        <v>0</v>
      </c>
      <c r="AP270" s="7"/>
      <c r="AQ270" s="7"/>
    </row>
    <row r="271" ht="15.75" customHeight="1">
      <c r="A271" s="3">
        <v>102.0</v>
      </c>
      <c r="B271" s="4" t="s">
        <v>1666</v>
      </c>
      <c r="C271" s="4" t="str">
        <f>VLOOKUP(D271,'slb RAW'!$E:$F,2)</f>
        <v>#N/A Field Not Applicable</v>
      </c>
      <c r="D271" s="4" t="s">
        <v>1667</v>
      </c>
      <c r="E271" s="4" t="s">
        <v>1668</v>
      </c>
      <c r="F271" s="4" t="s">
        <v>1669</v>
      </c>
      <c r="G271" s="4" t="s">
        <v>45</v>
      </c>
      <c r="H271" s="4" t="s">
        <v>45</v>
      </c>
      <c r="I271" s="4" t="s">
        <v>45</v>
      </c>
      <c r="J271" s="4">
        <v>0.0</v>
      </c>
      <c r="K271" s="4" t="s">
        <v>1670</v>
      </c>
      <c r="L271" s="4" t="s">
        <v>1671</v>
      </c>
      <c r="M271" s="10" t="s">
        <v>48</v>
      </c>
      <c r="N271" s="4" t="s">
        <v>49</v>
      </c>
      <c r="O271" s="4" t="s">
        <v>50</v>
      </c>
      <c r="P271" s="4" t="s">
        <v>69</v>
      </c>
      <c r="Q271" s="4" t="s">
        <v>52</v>
      </c>
      <c r="R271" s="4" t="s">
        <v>53</v>
      </c>
      <c r="S271" s="4" t="s">
        <v>54</v>
      </c>
      <c r="T271" s="4" t="s">
        <v>55</v>
      </c>
      <c r="U271" s="4" t="s">
        <v>70</v>
      </c>
      <c r="V271" s="4" t="s">
        <v>71</v>
      </c>
      <c r="W271" s="4">
        <v>5.935545E7</v>
      </c>
      <c r="X271" s="4" t="s">
        <v>134</v>
      </c>
      <c r="Y271" s="4" t="s">
        <v>227</v>
      </c>
      <c r="Z271" s="4" t="s">
        <v>60</v>
      </c>
      <c r="AA271" s="4" t="s">
        <v>61</v>
      </c>
      <c r="AB271" s="4" t="s">
        <v>228</v>
      </c>
      <c r="AC271" s="4" t="s">
        <v>229</v>
      </c>
      <c r="AD271" s="3" t="s">
        <v>1672</v>
      </c>
      <c r="AE271" s="7">
        <v>2.0</v>
      </c>
      <c r="AF271" s="7">
        <v>2.0</v>
      </c>
      <c r="AG271" s="4" t="str">
        <f t="shared" si="1"/>
        <v>yes</v>
      </c>
      <c r="AH271" s="8" t="s">
        <v>64</v>
      </c>
      <c r="AI271" s="4" t="s">
        <v>1673</v>
      </c>
      <c r="AJ271" s="7" t="str">
        <f>VLOOKUP(D271,'slb RAW'!$E$2:$AF$293,9)</f>
        <v>#N/A N/A</v>
      </c>
      <c r="AK271" s="4" t="str">
        <f>VLOOKUP(D271,'slb RAW'!$E$2:$AE$293,27)</f>
        <v>#N/A N/A</v>
      </c>
      <c r="AL271" s="4" t="str">
        <f>VLOOKUP(C271,'Refinitiv SLB'!F271:S448,14)</f>
        <v>#N/A</v>
      </c>
      <c r="AM271" s="4" t="str">
        <f t="shared" si="2"/>
        <v>#N/A N/A</v>
      </c>
      <c r="AN271" s="9" t="str">
        <f t="shared" si="3"/>
        <v>Faber-Castell AGAT MATURITYFLOATINGEURSr Unsecured</v>
      </c>
      <c r="AO271" s="7" t="b">
        <f>ISNUMBER( IFERROR(VLOOKUP(A271,Pairs!$E$2:$E$57,1,FALSE),FALSE))</f>
        <v>0</v>
      </c>
      <c r="AP271" s="7"/>
      <c r="AQ271" s="7"/>
    </row>
    <row r="272" ht="15.75" customHeight="1">
      <c r="A272" s="3">
        <v>103.0</v>
      </c>
      <c r="B272" s="4" t="s">
        <v>1666</v>
      </c>
      <c r="C272" s="4" t="str">
        <f>VLOOKUP(D272,'slb RAW'!$E:$F,2)</f>
        <v>#N/A Field Not Applicable</v>
      </c>
      <c r="D272" s="4" t="s">
        <v>1674</v>
      </c>
      <c r="E272" s="4" t="s">
        <v>1675</v>
      </c>
      <c r="F272" s="4" t="s">
        <v>1669</v>
      </c>
      <c r="G272" s="4" t="s">
        <v>45</v>
      </c>
      <c r="H272" s="4" t="s">
        <v>45</v>
      </c>
      <c r="I272" s="4" t="s">
        <v>45</v>
      </c>
      <c r="J272" s="4">
        <v>0.0</v>
      </c>
      <c r="K272" s="4" t="s">
        <v>1670</v>
      </c>
      <c r="L272" s="4" t="s">
        <v>1676</v>
      </c>
      <c r="M272" s="10" t="s">
        <v>48</v>
      </c>
      <c r="N272" s="4" t="s">
        <v>49</v>
      </c>
      <c r="O272" s="4" t="s">
        <v>50</v>
      </c>
      <c r="P272" s="4" t="s">
        <v>76</v>
      </c>
      <c r="Q272" s="4" t="s">
        <v>52</v>
      </c>
      <c r="R272" s="4" t="s">
        <v>53</v>
      </c>
      <c r="S272" s="4" t="s">
        <v>54</v>
      </c>
      <c r="T272" s="4" t="s">
        <v>55</v>
      </c>
      <c r="U272" s="4" t="s">
        <v>70</v>
      </c>
      <c r="V272" s="4" t="s">
        <v>71</v>
      </c>
      <c r="W272" s="4">
        <v>5.935545E7</v>
      </c>
      <c r="X272" s="4" t="s">
        <v>134</v>
      </c>
      <c r="Y272" s="4" t="s">
        <v>227</v>
      </c>
      <c r="Z272" s="4" t="s">
        <v>60</v>
      </c>
      <c r="AA272" s="4" t="s">
        <v>61</v>
      </c>
      <c r="AB272" s="4" t="s">
        <v>228</v>
      </c>
      <c r="AC272" s="4" t="s">
        <v>229</v>
      </c>
      <c r="AD272" s="3" t="s">
        <v>1672</v>
      </c>
      <c r="AE272" s="7">
        <v>2.0</v>
      </c>
      <c r="AF272" s="7">
        <v>2.0</v>
      </c>
      <c r="AG272" s="4" t="str">
        <f t="shared" si="1"/>
        <v>yes</v>
      </c>
      <c r="AH272" s="8" t="s">
        <v>64</v>
      </c>
      <c r="AI272" s="4" t="s">
        <v>1673</v>
      </c>
      <c r="AJ272" s="7" t="str">
        <f>VLOOKUP(D272,'slb RAW'!$E$2:$AF$293,9)</f>
        <v>#N/A N/A</v>
      </c>
      <c r="AK272" s="4" t="str">
        <f>VLOOKUP(D272,'slb RAW'!$E$2:$AE$293,27)</f>
        <v>#N/A N/A</v>
      </c>
      <c r="AL272" s="4" t="str">
        <f>VLOOKUP(C272,'Refinitiv SLB'!F272:S449,14)</f>
        <v>#N/A</v>
      </c>
      <c r="AM272" s="4" t="str">
        <f t="shared" si="2"/>
        <v>#N/A N/A</v>
      </c>
      <c r="AN272" s="9" t="str">
        <f t="shared" si="3"/>
        <v>Faber-Castell AGAT MATURITYFLOATINGEURSr Unsecured</v>
      </c>
      <c r="AO272" s="7" t="b">
        <f>ISNUMBER( IFERROR(VLOOKUP(A272,Pairs!$E$2:$E$57,1,FALSE),FALSE))</f>
        <v>0</v>
      </c>
      <c r="AP272" s="7"/>
      <c r="AQ272" s="7"/>
    </row>
    <row r="273" ht="15.75" customHeight="1">
      <c r="A273" s="3">
        <v>273.0</v>
      </c>
      <c r="B273" s="4" t="s">
        <v>1677</v>
      </c>
      <c r="C273" s="4" t="str">
        <f>VLOOKUP(D273,'slb RAW'!$E:$F,2)</f>
        <v>#N/A Field Not Applicable</v>
      </c>
      <c r="D273" s="4" t="s">
        <v>1678</v>
      </c>
      <c r="E273" s="4" t="s">
        <v>1679</v>
      </c>
      <c r="F273" s="4" t="s">
        <v>1680</v>
      </c>
      <c r="G273" s="4" t="s">
        <v>45</v>
      </c>
      <c r="H273" s="4" t="s">
        <v>45</v>
      </c>
      <c r="I273" s="4" t="s">
        <v>45</v>
      </c>
      <c r="J273" s="4">
        <v>0.0</v>
      </c>
      <c r="K273" s="4" t="s">
        <v>1681</v>
      </c>
      <c r="L273" s="4" t="s">
        <v>1682</v>
      </c>
      <c r="M273" s="10" t="s">
        <v>48</v>
      </c>
      <c r="N273" s="4" t="s">
        <v>49</v>
      </c>
      <c r="O273" s="4" t="s">
        <v>50</v>
      </c>
      <c r="P273" s="4" t="s">
        <v>51</v>
      </c>
      <c r="Q273" s="4" t="s">
        <v>52</v>
      </c>
      <c r="R273" s="4" t="s">
        <v>53</v>
      </c>
      <c r="S273" s="4" t="s">
        <v>54</v>
      </c>
      <c r="T273" s="4" t="s">
        <v>55</v>
      </c>
      <c r="U273" s="4" t="s">
        <v>70</v>
      </c>
      <c r="V273" s="4" t="s">
        <v>71</v>
      </c>
      <c r="W273" s="4">
        <v>4.35148E8</v>
      </c>
      <c r="X273" s="4" t="s">
        <v>58</v>
      </c>
      <c r="Y273" s="4" t="s">
        <v>59</v>
      </c>
      <c r="Z273" s="4" t="s">
        <v>60</v>
      </c>
      <c r="AA273" s="4" t="s">
        <v>61</v>
      </c>
      <c r="AB273" s="4" t="s">
        <v>177</v>
      </c>
      <c r="AC273" s="4" t="s">
        <v>192</v>
      </c>
      <c r="AD273" s="3" t="s">
        <v>1683</v>
      </c>
      <c r="AE273" s="7">
        <v>2.5</v>
      </c>
      <c r="AF273" s="7">
        <v>2.5</v>
      </c>
      <c r="AG273" s="4" t="str">
        <f t="shared" si="1"/>
        <v>yes</v>
      </c>
      <c r="AH273" s="8" t="s">
        <v>64</v>
      </c>
      <c r="AI273" s="4" t="s">
        <v>1684</v>
      </c>
      <c r="AJ273" s="7" t="str">
        <f>VLOOKUP(D273,'slb RAW'!$E$2:$AF$293,9)</f>
        <v>#N/A N/A</v>
      </c>
      <c r="AK273" s="4" t="str">
        <f>VLOOKUP(D273,'slb RAW'!$E$2:$AE$293,27)</f>
        <v>#N/A N/A</v>
      </c>
      <c r="AL273" s="4" t="str">
        <f>VLOOKUP(C273,'Refinitiv SLB'!F273:S450,14)</f>
        <v>#N/A</v>
      </c>
      <c r="AM273" s="4" t="str">
        <f t="shared" si="2"/>
        <v>#N/A N/A</v>
      </c>
      <c r="AN273" s="9" t="str">
        <f t="shared" si="3"/>
        <v>Voith GmbH &amp; Co KGaAAT MATURITYFLOATINGEURSr Unsecured</v>
      </c>
      <c r="AO273" s="7" t="b">
        <f>ISNUMBER( IFERROR(VLOOKUP(A273,Pairs!$E$2:$E$57,1,FALSE),FALSE))</f>
        <v>0</v>
      </c>
      <c r="AP273" s="7"/>
      <c r="AQ273" s="7"/>
    </row>
    <row r="274" ht="15.75" customHeight="1">
      <c r="A274" s="3">
        <v>275.0</v>
      </c>
      <c r="B274" s="4" t="s">
        <v>1677</v>
      </c>
      <c r="C274" s="4" t="str">
        <f>VLOOKUP(D274,'slb RAW'!$E:$F,2)</f>
        <v>#N/A Field Not Applicable</v>
      </c>
      <c r="D274" s="4" t="s">
        <v>1685</v>
      </c>
      <c r="E274" s="4" t="s">
        <v>1686</v>
      </c>
      <c r="F274" s="4" t="s">
        <v>1680</v>
      </c>
      <c r="G274" s="4" t="s">
        <v>45</v>
      </c>
      <c r="H274" s="4" t="s">
        <v>45</v>
      </c>
      <c r="I274" s="4" t="s">
        <v>45</v>
      </c>
      <c r="J274" s="4">
        <v>0.0</v>
      </c>
      <c r="K274" s="4" t="s">
        <v>1681</v>
      </c>
      <c r="L274" s="4" t="s">
        <v>1687</v>
      </c>
      <c r="M274" s="10" t="s">
        <v>48</v>
      </c>
      <c r="N274" s="4" t="s">
        <v>49</v>
      </c>
      <c r="O274" s="4" t="s">
        <v>50</v>
      </c>
      <c r="P274" s="4" t="s">
        <v>69</v>
      </c>
      <c r="Q274" s="4" t="s">
        <v>52</v>
      </c>
      <c r="R274" s="4" t="s">
        <v>53</v>
      </c>
      <c r="S274" s="4" t="s">
        <v>54</v>
      </c>
      <c r="T274" s="4" t="s">
        <v>55</v>
      </c>
      <c r="U274" s="4" t="s">
        <v>70</v>
      </c>
      <c r="V274" s="4" t="s">
        <v>71</v>
      </c>
      <c r="W274" s="4">
        <v>4.35148E8</v>
      </c>
      <c r="X274" s="4" t="s">
        <v>58</v>
      </c>
      <c r="Y274" s="4" t="s">
        <v>59</v>
      </c>
      <c r="Z274" s="4" t="s">
        <v>60</v>
      </c>
      <c r="AA274" s="4" t="s">
        <v>61</v>
      </c>
      <c r="AB274" s="4" t="s">
        <v>177</v>
      </c>
      <c r="AC274" s="4" t="s">
        <v>192</v>
      </c>
      <c r="AD274" s="3" t="s">
        <v>1683</v>
      </c>
      <c r="AE274" s="7">
        <v>2.5</v>
      </c>
      <c r="AF274" s="7">
        <v>2.5</v>
      </c>
      <c r="AG274" s="4" t="str">
        <f t="shared" si="1"/>
        <v>yes</v>
      </c>
      <c r="AH274" s="8" t="s">
        <v>64</v>
      </c>
      <c r="AI274" s="4" t="s">
        <v>1684</v>
      </c>
      <c r="AJ274" s="7" t="str">
        <f>VLOOKUP(D274,'slb RAW'!$E$2:$AF$293,9)</f>
        <v>#N/A N/A</v>
      </c>
      <c r="AK274" s="4" t="str">
        <f>VLOOKUP(D274,'slb RAW'!$E$2:$AE$293,27)</f>
        <v>#N/A N/A</v>
      </c>
      <c r="AL274" s="4" t="str">
        <f>VLOOKUP(C274,'Refinitiv SLB'!F274:S451,14)</f>
        <v>#N/A</v>
      </c>
      <c r="AM274" s="4" t="str">
        <f t="shared" si="2"/>
        <v>#N/A N/A</v>
      </c>
      <c r="AN274" s="9" t="str">
        <f t="shared" si="3"/>
        <v>Voith GmbH &amp; Co KGaAAT MATURITYFLOATINGEURSr Unsecured</v>
      </c>
      <c r="AO274" s="7" t="b">
        <f>ISNUMBER( IFERROR(VLOOKUP(A274,Pairs!$E$2:$E$57,1,FALSE),FALSE))</f>
        <v>0</v>
      </c>
      <c r="AP274" s="7"/>
      <c r="AQ274" s="7"/>
    </row>
    <row r="275" ht="15.75" customHeight="1">
      <c r="A275" s="3">
        <v>274.0</v>
      </c>
      <c r="B275" s="4" t="s">
        <v>1677</v>
      </c>
      <c r="C275" s="4" t="str">
        <f>VLOOKUP(D275,'slb RAW'!$E:$F,2)</f>
        <v>#N/A Field Not Applicable</v>
      </c>
      <c r="D275" s="4" t="s">
        <v>1688</v>
      </c>
      <c r="E275" s="4" t="s">
        <v>1689</v>
      </c>
      <c r="F275" s="4" t="s">
        <v>1680</v>
      </c>
      <c r="G275" s="4" t="s">
        <v>45</v>
      </c>
      <c r="H275" s="4" t="s">
        <v>45</v>
      </c>
      <c r="I275" s="4" t="s">
        <v>45</v>
      </c>
      <c r="J275" s="4">
        <v>0.0</v>
      </c>
      <c r="K275" s="4" t="s">
        <v>1681</v>
      </c>
      <c r="L275" s="4" t="s">
        <v>1690</v>
      </c>
      <c r="M275" s="10" t="s">
        <v>48</v>
      </c>
      <c r="N275" s="4" t="s">
        <v>49</v>
      </c>
      <c r="O275" s="4" t="s">
        <v>50</v>
      </c>
      <c r="P275" s="4" t="s">
        <v>76</v>
      </c>
      <c r="Q275" s="4" t="s">
        <v>52</v>
      </c>
      <c r="R275" s="4" t="s">
        <v>53</v>
      </c>
      <c r="S275" s="4" t="s">
        <v>54</v>
      </c>
      <c r="T275" s="4" t="s">
        <v>55</v>
      </c>
      <c r="U275" s="4" t="s">
        <v>70</v>
      </c>
      <c r="V275" s="4" t="s">
        <v>71</v>
      </c>
      <c r="W275" s="4">
        <v>4.35148E8</v>
      </c>
      <c r="X275" s="4" t="s">
        <v>58</v>
      </c>
      <c r="Y275" s="4" t="s">
        <v>59</v>
      </c>
      <c r="Z275" s="4" t="s">
        <v>60</v>
      </c>
      <c r="AA275" s="4" t="s">
        <v>61</v>
      </c>
      <c r="AB275" s="4" t="s">
        <v>177</v>
      </c>
      <c r="AC275" s="4" t="s">
        <v>192</v>
      </c>
      <c r="AD275" s="3" t="s">
        <v>1683</v>
      </c>
      <c r="AE275" s="7">
        <v>2.5</v>
      </c>
      <c r="AF275" s="7">
        <v>2.5</v>
      </c>
      <c r="AG275" s="4" t="str">
        <f t="shared" si="1"/>
        <v>yes</v>
      </c>
      <c r="AH275" s="8" t="s">
        <v>64</v>
      </c>
      <c r="AI275" s="4" t="s">
        <v>1684</v>
      </c>
      <c r="AJ275" s="7" t="str">
        <f>VLOOKUP(D275,'slb RAW'!$E$2:$AF$293,9)</f>
        <v>#N/A N/A</v>
      </c>
      <c r="AK275" s="4" t="str">
        <f>VLOOKUP(D275,'slb RAW'!$E$2:$AE$293,27)</f>
        <v>#N/A N/A</v>
      </c>
      <c r="AL275" s="4" t="str">
        <f>VLOOKUP(C275,'Refinitiv SLB'!F275:S452,14)</f>
        <v>#N/A</v>
      </c>
      <c r="AM275" s="4" t="str">
        <f t="shared" si="2"/>
        <v>#N/A N/A</v>
      </c>
      <c r="AN275" s="9" t="str">
        <f t="shared" si="3"/>
        <v>Voith GmbH &amp; Co KGaAAT MATURITYFLOATINGEURSr Unsecured</v>
      </c>
      <c r="AO275" s="7" t="b">
        <f>ISNUMBER( IFERROR(VLOOKUP(A275,Pairs!$E$2:$E$57,1,FALSE),FALSE))</f>
        <v>0</v>
      </c>
      <c r="AP275" s="7"/>
      <c r="AQ275" s="7"/>
    </row>
    <row r="276" ht="15.75" customHeight="1">
      <c r="A276" s="3">
        <v>93.0</v>
      </c>
      <c r="B276" s="4" t="s">
        <v>642</v>
      </c>
      <c r="C276" s="4" t="str">
        <f>VLOOKUP(D276,'slb RAW'!$E:$F,2)</f>
        <v>XS2066706818</v>
      </c>
      <c r="D276" s="4" t="s">
        <v>1691</v>
      </c>
      <c r="E276" s="4" t="s">
        <v>1692</v>
      </c>
      <c r="F276" s="4" t="s">
        <v>645</v>
      </c>
      <c r="G276" s="4" t="s">
        <v>367</v>
      </c>
      <c r="H276" s="4" t="s">
        <v>367</v>
      </c>
      <c r="I276" s="4" t="s">
        <v>200</v>
      </c>
      <c r="J276" s="4">
        <v>0.0</v>
      </c>
      <c r="K276" s="4" t="s">
        <v>1693</v>
      </c>
      <c r="L276" s="4" t="s">
        <v>1694</v>
      </c>
      <c r="M276" s="11">
        <v>0.6763</v>
      </c>
      <c r="N276" s="4" t="s">
        <v>115</v>
      </c>
      <c r="O276" s="4" t="s">
        <v>116</v>
      </c>
      <c r="P276" s="4" t="s">
        <v>226</v>
      </c>
      <c r="Q276" s="4" t="s">
        <v>52</v>
      </c>
      <c r="R276" s="4" t="s">
        <v>53</v>
      </c>
      <c r="S276" s="4" t="s">
        <v>620</v>
      </c>
      <c r="T276" s="4" t="s">
        <v>55</v>
      </c>
      <c r="U276" s="4" t="s">
        <v>56</v>
      </c>
      <c r="V276" s="4" t="s">
        <v>57</v>
      </c>
      <c r="W276" s="4">
        <v>1.11262E9</v>
      </c>
      <c r="X276" s="4" t="s">
        <v>120</v>
      </c>
      <c r="Y276" s="4" t="s">
        <v>120</v>
      </c>
      <c r="Z276" s="4" t="s">
        <v>60</v>
      </c>
      <c r="AA276" s="4" t="s">
        <v>121</v>
      </c>
      <c r="AB276" s="4" t="s">
        <v>122</v>
      </c>
      <c r="AC276" s="4" t="s">
        <v>122</v>
      </c>
      <c r="AD276" s="3" t="s">
        <v>448</v>
      </c>
      <c r="AE276" s="7">
        <v>25.0</v>
      </c>
      <c r="AF276" s="12"/>
      <c r="AG276" s="4" t="str">
        <f t="shared" si="1"/>
        <v/>
      </c>
      <c r="AH276" s="8" t="s">
        <v>125</v>
      </c>
      <c r="AI276" s="4" t="s">
        <v>1695</v>
      </c>
      <c r="AJ276" s="7" t="str">
        <f>VLOOKUP(D276,'slb RAW'!$E$2:$AF$293,9)</f>
        <v>#N/A N/A</v>
      </c>
      <c r="AK276" s="4">
        <f>VLOOKUP(D276,'slb RAW'!$E$2:$AE$293,27)</f>
        <v>0.172</v>
      </c>
      <c r="AL276" s="4" t="str">
        <f>VLOOKUP(C276,'Refinitiv SLB'!F276:S453,14)</f>
        <v>#N/A</v>
      </c>
      <c r="AM276" s="4">
        <f t="shared" si="2"/>
        <v>0.172</v>
      </c>
      <c r="AN276" s="9" t="str">
        <f t="shared" si="3"/>
        <v>Enel Finance International NVCALLABLEFIXEDEURSr Unsecured</v>
      </c>
      <c r="AO276" s="7" t="b">
        <f>ISNUMBER( IFERROR(VLOOKUP(A276,Pairs!$E$2:$E$57,1,FALSE),FALSE))</f>
        <v>0</v>
      </c>
      <c r="AP276" s="7"/>
      <c r="AQ276" s="7"/>
    </row>
    <row r="277" ht="15.75" customHeight="1">
      <c r="A277" s="3">
        <v>94.0</v>
      </c>
      <c r="B277" s="4" t="s">
        <v>642</v>
      </c>
      <c r="C277" s="4" t="str">
        <f>VLOOKUP(D277,'slb RAW'!$E:$F,2)</f>
        <v>XS2066706909</v>
      </c>
      <c r="D277" s="4" t="s">
        <v>1696</v>
      </c>
      <c r="E277" s="4" t="s">
        <v>1697</v>
      </c>
      <c r="F277" s="4" t="s">
        <v>645</v>
      </c>
      <c r="G277" s="4" t="s">
        <v>367</v>
      </c>
      <c r="H277" s="4" t="s">
        <v>367</v>
      </c>
      <c r="I277" s="4" t="s">
        <v>200</v>
      </c>
      <c r="J277" s="4">
        <v>0.375</v>
      </c>
      <c r="K277" s="4" t="s">
        <v>1693</v>
      </c>
      <c r="L277" s="4" t="s">
        <v>647</v>
      </c>
      <c r="M277" s="11">
        <v>0.8893</v>
      </c>
      <c r="N277" s="4" t="s">
        <v>115</v>
      </c>
      <c r="O277" s="4" t="s">
        <v>116</v>
      </c>
      <c r="P277" s="4" t="s">
        <v>226</v>
      </c>
      <c r="Q277" s="4" t="s">
        <v>52</v>
      </c>
      <c r="R277" s="4" t="s">
        <v>53</v>
      </c>
      <c r="S277" s="4" t="s">
        <v>620</v>
      </c>
      <c r="T277" s="4" t="s">
        <v>55</v>
      </c>
      <c r="U277" s="4" t="s">
        <v>56</v>
      </c>
      <c r="V277" s="4" t="s">
        <v>57</v>
      </c>
      <c r="W277" s="4">
        <v>1.11262E9</v>
      </c>
      <c r="X277" s="4" t="s">
        <v>120</v>
      </c>
      <c r="Y277" s="4" t="s">
        <v>120</v>
      </c>
      <c r="Z277" s="4" t="s">
        <v>60</v>
      </c>
      <c r="AA277" s="4" t="s">
        <v>121</v>
      </c>
      <c r="AB277" s="4" t="s">
        <v>122</v>
      </c>
      <c r="AC277" s="4" t="s">
        <v>122</v>
      </c>
      <c r="AD277" s="3" t="s">
        <v>448</v>
      </c>
      <c r="AE277" s="7">
        <v>25.0</v>
      </c>
      <c r="AF277" s="12"/>
      <c r="AG277" s="4" t="str">
        <f t="shared" si="1"/>
        <v/>
      </c>
      <c r="AH277" s="8" t="s">
        <v>125</v>
      </c>
      <c r="AI277" s="4" t="s">
        <v>1698</v>
      </c>
      <c r="AJ277" s="7" t="str">
        <f>VLOOKUP(D277,'slb RAW'!$E$2:$AF$293,9)</f>
        <v>#N/A N/A</v>
      </c>
      <c r="AK277" s="4">
        <f>VLOOKUP(D277,'slb RAW'!$E$2:$AE$293,27)</f>
        <v>0.429</v>
      </c>
      <c r="AL277" s="4" t="str">
        <f>VLOOKUP(C277,'Refinitiv SLB'!F277:S454,14)</f>
        <v>#N/A</v>
      </c>
      <c r="AM277" s="4">
        <f t="shared" si="2"/>
        <v>0.429</v>
      </c>
      <c r="AN277" s="9" t="str">
        <f t="shared" si="3"/>
        <v>Enel Finance International NVCALLABLEFIXEDEURSr Unsecured</v>
      </c>
      <c r="AO277" s="7" t="b">
        <f>ISNUMBER( IFERROR(VLOOKUP(A277,Pairs!$E$2:$E$57,1,FALSE),FALSE))</f>
        <v>0</v>
      </c>
      <c r="AP277" s="7"/>
      <c r="AQ277" s="7"/>
    </row>
    <row r="278" ht="15.75" customHeight="1">
      <c r="A278" s="3">
        <v>95.0</v>
      </c>
      <c r="B278" s="4" t="s">
        <v>642</v>
      </c>
      <c r="C278" s="4" t="str">
        <f>VLOOKUP(D278,'slb RAW'!$E:$F,2)</f>
        <v>XS2066706735</v>
      </c>
      <c r="D278" s="4" t="s">
        <v>1699</v>
      </c>
      <c r="E278" s="4" t="s">
        <v>1700</v>
      </c>
      <c r="F278" s="4" t="s">
        <v>645</v>
      </c>
      <c r="G278" s="4" t="s">
        <v>367</v>
      </c>
      <c r="H278" s="4" t="s">
        <v>367</v>
      </c>
      <c r="I278" s="4" t="s">
        <v>200</v>
      </c>
      <c r="J278" s="4">
        <v>1.125</v>
      </c>
      <c r="K278" s="4" t="s">
        <v>1693</v>
      </c>
      <c r="L278" s="4" t="s">
        <v>1701</v>
      </c>
      <c r="M278" s="11">
        <v>1.3556</v>
      </c>
      <c r="N278" s="4" t="s">
        <v>115</v>
      </c>
      <c r="O278" s="4" t="s">
        <v>116</v>
      </c>
      <c r="P278" s="4" t="s">
        <v>226</v>
      </c>
      <c r="Q278" s="4" t="s">
        <v>52</v>
      </c>
      <c r="R278" s="4" t="s">
        <v>53</v>
      </c>
      <c r="S278" s="4" t="s">
        <v>620</v>
      </c>
      <c r="T278" s="4" t="s">
        <v>55</v>
      </c>
      <c r="U278" s="4" t="s">
        <v>56</v>
      </c>
      <c r="V278" s="4" t="s">
        <v>57</v>
      </c>
      <c r="W278" s="4">
        <v>5.5631E8</v>
      </c>
      <c r="X278" s="4" t="s">
        <v>120</v>
      </c>
      <c r="Y278" s="4" t="s">
        <v>120</v>
      </c>
      <c r="Z278" s="4" t="s">
        <v>60</v>
      </c>
      <c r="AA278" s="4" t="s">
        <v>121</v>
      </c>
      <c r="AB278" s="4" t="s">
        <v>122</v>
      </c>
      <c r="AC278" s="4" t="s">
        <v>122</v>
      </c>
      <c r="AD278" s="3" t="s">
        <v>1702</v>
      </c>
      <c r="AE278" s="7">
        <v>25.0</v>
      </c>
      <c r="AF278" s="12"/>
      <c r="AG278" s="4" t="str">
        <f t="shared" si="1"/>
        <v/>
      </c>
      <c r="AH278" s="8" t="s">
        <v>125</v>
      </c>
      <c r="AI278" s="4" t="s">
        <v>1703</v>
      </c>
      <c r="AJ278" s="7" t="str">
        <f>VLOOKUP(D278,'slb RAW'!$E$2:$AF$293,9)</f>
        <v>#N/A N/A</v>
      </c>
      <c r="AK278" s="4">
        <f>VLOOKUP(D278,'slb RAW'!$E$2:$AE$293,27)</f>
        <v>1.059</v>
      </c>
      <c r="AL278" s="4" t="str">
        <f>VLOOKUP(C278,'Refinitiv SLB'!F278:S455,14)</f>
        <v>#N/A</v>
      </c>
      <c r="AM278" s="4">
        <f t="shared" si="2"/>
        <v>1.059</v>
      </c>
      <c r="AN278" s="9" t="str">
        <f t="shared" si="3"/>
        <v>Enel Finance International NVCALLABLEFIXEDEURSr Unsecured</v>
      </c>
      <c r="AO278" s="7" t="b">
        <f>ISNUMBER( IFERROR(VLOOKUP(A278,Pairs!$E$2:$E$57,1,FALSE),FALSE))</f>
        <v>0</v>
      </c>
      <c r="AP278" s="7"/>
      <c r="AQ278" s="7"/>
    </row>
    <row r="279" ht="15.75" customHeight="1">
      <c r="A279" s="3">
        <v>166.0</v>
      </c>
      <c r="B279" s="4" t="s">
        <v>1704</v>
      </c>
      <c r="C279" s="4" t="str">
        <f>VLOOKUP(D279,'slb RAW'!$E:$F,2)</f>
        <v>#N/A Field Not Applicable</v>
      </c>
      <c r="D279" s="4" t="s">
        <v>1705</v>
      </c>
      <c r="E279" s="4" t="s">
        <v>1706</v>
      </c>
      <c r="F279" s="4" t="s">
        <v>1707</v>
      </c>
      <c r="G279" s="4" t="s">
        <v>258</v>
      </c>
      <c r="H279" s="4" t="s">
        <v>258</v>
      </c>
      <c r="I279" s="4" t="s">
        <v>258</v>
      </c>
      <c r="J279" s="4">
        <v>0.0</v>
      </c>
      <c r="K279" s="4" t="s">
        <v>1708</v>
      </c>
      <c r="L279" s="4" t="s">
        <v>1709</v>
      </c>
      <c r="M279" s="10" t="s">
        <v>48</v>
      </c>
      <c r="N279" s="4" t="s">
        <v>49</v>
      </c>
      <c r="O279" s="4" t="s">
        <v>50</v>
      </c>
      <c r="P279" s="4" t="s">
        <v>51</v>
      </c>
      <c r="Q279" s="4" t="s">
        <v>52</v>
      </c>
      <c r="R279" s="4" t="s">
        <v>53</v>
      </c>
      <c r="S279" s="3" t="s">
        <v>139</v>
      </c>
      <c r="T279" s="4" t="s">
        <v>55</v>
      </c>
      <c r="U279" s="4" t="s">
        <v>70</v>
      </c>
      <c r="V279" s="4" t="s">
        <v>71</v>
      </c>
      <c r="W279" s="4">
        <v>5.52845000287E8</v>
      </c>
      <c r="X279" s="4" t="s">
        <v>85</v>
      </c>
      <c r="Y279" s="4" t="s">
        <v>515</v>
      </c>
      <c r="Z279" s="4" t="s">
        <v>60</v>
      </c>
      <c r="AA279" s="4" t="s">
        <v>61</v>
      </c>
      <c r="AB279" s="4" t="s">
        <v>87</v>
      </c>
      <c r="AC279" s="4" t="s">
        <v>515</v>
      </c>
      <c r="AD279" s="3" t="s">
        <v>1710</v>
      </c>
      <c r="AE279" s="8" t="s">
        <v>139</v>
      </c>
      <c r="AF279" s="12"/>
      <c r="AG279" s="4" t="str">
        <f t="shared" si="1"/>
        <v/>
      </c>
      <c r="AH279" s="8" t="s">
        <v>140</v>
      </c>
      <c r="AI279" s="4" t="s">
        <v>1711</v>
      </c>
      <c r="AJ279" s="7" t="str">
        <f>VLOOKUP(D279,'slb RAW'!$E$2:$AF$293,9)</f>
        <v>#N/A N/A</v>
      </c>
      <c r="AK279" s="4" t="str">
        <f>VLOOKUP(D279,'slb RAW'!$E$2:$AE$293,27)</f>
        <v>#N/A N/A</v>
      </c>
      <c r="AL279" s="4" t="str">
        <f>VLOOKUP(C279,'Refinitiv SLB'!F279:S456,14)</f>
        <v>#N/A</v>
      </c>
      <c r="AM279" s="4" t="str">
        <f t="shared" si="2"/>
        <v>#N/A N/A</v>
      </c>
      <c r="AN279" s="9" t="str">
        <f t="shared" si="3"/>
        <v>Lenzing AGAT MATURITYFLOATINGEURSr Unsecured</v>
      </c>
      <c r="AO279" s="7" t="b">
        <f>ISNUMBER( IFERROR(VLOOKUP(A279,Pairs!$E$2:$E$57,1,FALSE),FALSE))</f>
        <v>0</v>
      </c>
      <c r="AP279" s="7"/>
      <c r="AQ279" s="7"/>
    </row>
    <row r="280" ht="15.75" customHeight="1">
      <c r="A280" s="3">
        <v>167.0</v>
      </c>
      <c r="B280" s="4" t="s">
        <v>1704</v>
      </c>
      <c r="C280" s="4" t="str">
        <f>VLOOKUP(D280,'slb RAW'!$E:$F,2)</f>
        <v>#N/A Field Not Applicable</v>
      </c>
      <c r="D280" s="4" t="s">
        <v>1712</v>
      </c>
      <c r="E280" s="4" t="s">
        <v>1713</v>
      </c>
      <c r="F280" s="4" t="s">
        <v>1707</v>
      </c>
      <c r="G280" s="4" t="s">
        <v>258</v>
      </c>
      <c r="H280" s="4" t="s">
        <v>258</v>
      </c>
      <c r="I280" s="4" t="s">
        <v>258</v>
      </c>
      <c r="J280" s="4">
        <v>0.0</v>
      </c>
      <c r="K280" s="4" t="s">
        <v>1708</v>
      </c>
      <c r="L280" s="4" t="s">
        <v>1714</v>
      </c>
      <c r="M280" s="10" t="s">
        <v>48</v>
      </c>
      <c r="N280" s="4" t="s">
        <v>49</v>
      </c>
      <c r="O280" s="4" t="s">
        <v>50</v>
      </c>
      <c r="P280" s="4" t="s">
        <v>1715</v>
      </c>
      <c r="Q280" s="4" t="s">
        <v>52</v>
      </c>
      <c r="R280" s="4" t="s">
        <v>53</v>
      </c>
      <c r="S280" s="3" t="s">
        <v>139</v>
      </c>
      <c r="T280" s="4" t="s">
        <v>55</v>
      </c>
      <c r="U280" s="4" t="s">
        <v>70</v>
      </c>
      <c r="V280" s="4" t="s">
        <v>71</v>
      </c>
      <c r="W280" s="4">
        <v>4.8760929E8</v>
      </c>
      <c r="X280" s="4" t="s">
        <v>85</v>
      </c>
      <c r="Y280" s="4" t="s">
        <v>515</v>
      </c>
      <c r="Z280" s="4" t="s">
        <v>60</v>
      </c>
      <c r="AA280" s="4" t="s">
        <v>61</v>
      </c>
      <c r="AB280" s="4" t="s">
        <v>87</v>
      </c>
      <c r="AC280" s="4" t="s">
        <v>515</v>
      </c>
      <c r="AD280" s="3" t="s">
        <v>1710</v>
      </c>
      <c r="AE280" s="8" t="s">
        <v>139</v>
      </c>
      <c r="AF280" s="12"/>
      <c r="AG280" s="4" t="str">
        <f t="shared" si="1"/>
        <v/>
      </c>
      <c r="AH280" s="8" t="s">
        <v>140</v>
      </c>
      <c r="AI280" s="4" t="s">
        <v>1711</v>
      </c>
      <c r="AJ280" s="7" t="str">
        <f>VLOOKUP(D280,'slb RAW'!$E$2:$AF$293,9)</f>
        <v>#N/A N/A</v>
      </c>
      <c r="AK280" s="4" t="str">
        <f>VLOOKUP(D280,'slb RAW'!$E$2:$AE$293,27)</f>
        <v>#N/A N/A</v>
      </c>
      <c r="AL280" s="4" t="str">
        <f>VLOOKUP(C280,'Refinitiv SLB'!F280:S457,14)</f>
        <v>#N/A</v>
      </c>
      <c r="AM280" s="4" t="str">
        <f t="shared" si="2"/>
        <v>#N/A N/A</v>
      </c>
      <c r="AN280" s="9" t="str">
        <f t="shared" si="3"/>
        <v>Lenzing AGAT MATURITYFLOATINGEURSr Unsecured</v>
      </c>
      <c r="AO280" s="7" t="b">
        <f>ISNUMBER( IFERROR(VLOOKUP(A280,Pairs!$E$2:$E$57,1,FALSE),FALSE))</f>
        <v>0</v>
      </c>
      <c r="AP280" s="7"/>
      <c r="AQ280" s="7"/>
    </row>
    <row r="281" ht="15.75" customHeight="1">
      <c r="A281" s="3">
        <v>169.0</v>
      </c>
      <c r="B281" s="4" t="s">
        <v>1704</v>
      </c>
      <c r="C281" s="4" t="str">
        <f>VLOOKUP(D281,'slb RAW'!$E:$F,2)</f>
        <v>#N/A Field Not Applicable</v>
      </c>
      <c r="D281" s="4" t="s">
        <v>1716</v>
      </c>
      <c r="E281" s="4" t="s">
        <v>1717</v>
      </c>
      <c r="F281" s="4" t="s">
        <v>1707</v>
      </c>
      <c r="G281" s="4" t="s">
        <v>258</v>
      </c>
      <c r="H281" s="4" t="s">
        <v>258</v>
      </c>
      <c r="I281" s="4" t="s">
        <v>258</v>
      </c>
      <c r="J281" s="4">
        <v>0.0</v>
      </c>
      <c r="K281" s="4" t="s">
        <v>1708</v>
      </c>
      <c r="L281" s="4" t="s">
        <v>1718</v>
      </c>
      <c r="M281" s="10" t="s">
        <v>48</v>
      </c>
      <c r="N281" s="4" t="s">
        <v>49</v>
      </c>
      <c r="O281" s="4" t="s">
        <v>50</v>
      </c>
      <c r="P281" s="4" t="s">
        <v>1719</v>
      </c>
      <c r="Q281" s="4" t="s">
        <v>52</v>
      </c>
      <c r="R281" s="4" t="s">
        <v>53</v>
      </c>
      <c r="S281" s="3" t="s">
        <v>139</v>
      </c>
      <c r="T281" s="4" t="s">
        <v>55</v>
      </c>
      <c r="U281" s="4" t="s">
        <v>70</v>
      </c>
      <c r="V281" s="4" t="s">
        <v>71</v>
      </c>
      <c r="W281" s="4">
        <v>4.8760929E8</v>
      </c>
      <c r="X281" s="4" t="s">
        <v>85</v>
      </c>
      <c r="Y281" s="4" t="s">
        <v>515</v>
      </c>
      <c r="Z281" s="4" t="s">
        <v>60</v>
      </c>
      <c r="AA281" s="4" t="s">
        <v>61</v>
      </c>
      <c r="AB281" s="4" t="s">
        <v>87</v>
      </c>
      <c r="AC281" s="4" t="s">
        <v>515</v>
      </c>
      <c r="AD281" s="3" t="s">
        <v>1710</v>
      </c>
      <c r="AE281" s="8" t="s">
        <v>139</v>
      </c>
      <c r="AF281" s="12"/>
      <c r="AG281" s="4" t="str">
        <f t="shared" si="1"/>
        <v/>
      </c>
      <c r="AH281" s="8" t="s">
        <v>140</v>
      </c>
      <c r="AI281" s="4" t="s">
        <v>1711</v>
      </c>
      <c r="AJ281" s="7" t="str">
        <f>VLOOKUP(D281,'slb RAW'!$E$2:$AF$293,9)</f>
        <v>#N/A N/A</v>
      </c>
      <c r="AK281" s="4" t="str">
        <f>VLOOKUP(D281,'slb RAW'!$E$2:$AE$293,27)</f>
        <v>#N/A N/A</v>
      </c>
      <c r="AL281" s="4" t="str">
        <f>VLOOKUP(C281,'Refinitiv SLB'!F281:S458,14)</f>
        <v>#N/A</v>
      </c>
      <c r="AM281" s="4" t="str">
        <f t="shared" si="2"/>
        <v>#N/A N/A</v>
      </c>
      <c r="AN281" s="9" t="str">
        <f t="shared" si="3"/>
        <v>Lenzing AGAT MATURITYFLOATINGEURSr Unsecured</v>
      </c>
      <c r="AO281" s="7" t="b">
        <f>ISNUMBER( IFERROR(VLOOKUP(A281,Pairs!$E$2:$E$57,1,FALSE),FALSE))</f>
        <v>0</v>
      </c>
      <c r="AP281" s="7"/>
      <c r="AQ281" s="7"/>
    </row>
    <row r="282" ht="15.75" customHeight="1">
      <c r="A282" s="3">
        <v>168.0</v>
      </c>
      <c r="B282" s="4" t="s">
        <v>1704</v>
      </c>
      <c r="C282" s="4" t="str">
        <f>VLOOKUP(D282,'slb RAW'!$E:$F,2)</f>
        <v>#N/A Field Not Applicable</v>
      </c>
      <c r="D282" s="4" t="s">
        <v>1720</v>
      </c>
      <c r="E282" s="4" t="s">
        <v>1721</v>
      </c>
      <c r="F282" s="4" t="s">
        <v>1707</v>
      </c>
      <c r="G282" s="4" t="s">
        <v>258</v>
      </c>
      <c r="H282" s="4" t="s">
        <v>258</v>
      </c>
      <c r="I282" s="4" t="s">
        <v>258</v>
      </c>
      <c r="J282" s="4">
        <v>0.0</v>
      </c>
      <c r="K282" s="4" t="s">
        <v>1708</v>
      </c>
      <c r="L282" s="4" t="s">
        <v>1714</v>
      </c>
      <c r="M282" s="10" t="s">
        <v>48</v>
      </c>
      <c r="N282" s="4" t="s">
        <v>49</v>
      </c>
      <c r="O282" s="4" t="s">
        <v>50</v>
      </c>
      <c r="P282" s="4" t="s">
        <v>1722</v>
      </c>
      <c r="Q282" s="4" t="s">
        <v>52</v>
      </c>
      <c r="R282" s="4" t="s">
        <v>263</v>
      </c>
      <c r="S282" s="3" t="s">
        <v>139</v>
      </c>
      <c r="T282" s="4" t="s">
        <v>55</v>
      </c>
      <c r="U282" s="4" t="s">
        <v>70</v>
      </c>
      <c r="V282" s="4" t="s">
        <v>392</v>
      </c>
      <c r="W282" s="4">
        <v>6.5E7</v>
      </c>
      <c r="X282" s="4" t="s">
        <v>85</v>
      </c>
      <c r="Y282" s="4" t="s">
        <v>515</v>
      </c>
      <c r="Z282" s="4" t="s">
        <v>60</v>
      </c>
      <c r="AA282" s="4" t="s">
        <v>61</v>
      </c>
      <c r="AB282" s="4" t="s">
        <v>87</v>
      </c>
      <c r="AC282" s="4" t="s">
        <v>515</v>
      </c>
      <c r="AD282" s="3" t="s">
        <v>1710</v>
      </c>
      <c r="AE282" s="8" t="s">
        <v>139</v>
      </c>
      <c r="AF282" s="12"/>
      <c r="AG282" s="4" t="str">
        <f t="shared" si="1"/>
        <v/>
      </c>
      <c r="AH282" s="8" t="s">
        <v>140</v>
      </c>
      <c r="AI282" s="4" t="s">
        <v>1711</v>
      </c>
      <c r="AJ282" s="7" t="str">
        <f>VLOOKUP(D282,'slb RAW'!$E$2:$AF$293,9)</f>
        <v>#N/A N/A</v>
      </c>
      <c r="AK282" s="4" t="str">
        <f>VLOOKUP(D282,'slb RAW'!$E$2:$AE$293,27)</f>
        <v>#N/A N/A</v>
      </c>
      <c r="AL282" s="4" t="str">
        <f>VLOOKUP(C282,'Refinitiv SLB'!F282:S459,14)</f>
        <v>#N/A</v>
      </c>
      <c r="AM282" s="4" t="str">
        <f t="shared" si="2"/>
        <v>#N/A N/A</v>
      </c>
      <c r="AN282" s="9" t="str">
        <f t="shared" si="3"/>
        <v>Lenzing AGAT MATURITYFLOATINGUSDSr Unsecured</v>
      </c>
      <c r="AO282" s="7" t="b">
        <f>ISNUMBER( IFERROR(VLOOKUP(A282,Pairs!$E$2:$E$57,1,FALSE),FALSE))</f>
        <v>0</v>
      </c>
      <c r="AP282" s="7"/>
      <c r="AQ282" s="7"/>
    </row>
    <row r="283" ht="15.75" customHeight="1">
      <c r="A283" s="3">
        <v>170.0</v>
      </c>
      <c r="B283" s="4" t="s">
        <v>1704</v>
      </c>
      <c r="C283" s="4" t="str">
        <f>VLOOKUP(D283,'slb RAW'!$E:$F,2)</f>
        <v>#N/A Field Not Applicable</v>
      </c>
      <c r="D283" s="4" t="s">
        <v>1723</v>
      </c>
      <c r="E283" s="4" t="s">
        <v>1724</v>
      </c>
      <c r="F283" s="4" t="s">
        <v>1707</v>
      </c>
      <c r="G283" s="4" t="s">
        <v>258</v>
      </c>
      <c r="H283" s="4" t="s">
        <v>258</v>
      </c>
      <c r="I283" s="4" t="s">
        <v>258</v>
      </c>
      <c r="J283" s="4">
        <v>0.0</v>
      </c>
      <c r="K283" s="4" t="s">
        <v>1708</v>
      </c>
      <c r="L283" s="4" t="s">
        <v>1718</v>
      </c>
      <c r="M283" s="10" t="s">
        <v>48</v>
      </c>
      <c r="N283" s="4" t="s">
        <v>49</v>
      </c>
      <c r="O283" s="4" t="s">
        <v>50</v>
      </c>
      <c r="P283" s="4" t="s">
        <v>391</v>
      </c>
      <c r="Q283" s="4" t="s">
        <v>52</v>
      </c>
      <c r="R283" s="4" t="s">
        <v>263</v>
      </c>
      <c r="S283" s="3" t="s">
        <v>139</v>
      </c>
      <c r="T283" s="4" t="s">
        <v>55</v>
      </c>
      <c r="U283" s="4" t="s">
        <v>70</v>
      </c>
      <c r="V283" s="4" t="s">
        <v>392</v>
      </c>
      <c r="W283" s="4">
        <v>6.5E7</v>
      </c>
      <c r="X283" s="4" t="s">
        <v>85</v>
      </c>
      <c r="Y283" s="4" t="s">
        <v>515</v>
      </c>
      <c r="Z283" s="4" t="s">
        <v>60</v>
      </c>
      <c r="AA283" s="4" t="s">
        <v>61</v>
      </c>
      <c r="AB283" s="4" t="s">
        <v>87</v>
      </c>
      <c r="AC283" s="4" t="s">
        <v>515</v>
      </c>
      <c r="AD283" s="3" t="s">
        <v>1710</v>
      </c>
      <c r="AE283" s="8" t="s">
        <v>139</v>
      </c>
      <c r="AF283" s="12"/>
      <c r="AG283" s="4" t="str">
        <f t="shared" si="1"/>
        <v/>
      </c>
      <c r="AH283" s="8" t="s">
        <v>140</v>
      </c>
      <c r="AI283" s="4" t="s">
        <v>1711</v>
      </c>
      <c r="AJ283" s="7" t="str">
        <f>VLOOKUP(D283,'slb RAW'!$E$2:$AF$293,9)</f>
        <v>#N/A N/A</v>
      </c>
      <c r="AK283" s="4" t="str">
        <f>VLOOKUP(D283,'slb RAW'!$E$2:$AE$293,27)</f>
        <v>#N/A N/A</v>
      </c>
      <c r="AL283" s="4" t="str">
        <f>VLOOKUP(C283,'Refinitiv SLB'!F283:S460,14)</f>
        <v>#N/A</v>
      </c>
      <c r="AM283" s="4" t="str">
        <f t="shared" si="2"/>
        <v>#N/A N/A</v>
      </c>
      <c r="AN283" s="9" t="str">
        <f t="shared" si="3"/>
        <v>Lenzing AGAT MATURITYFLOATINGUSDSr Unsecured</v>
      </c>
      <c r="AO283" s="7" t="b">
        <f>ISNUMBER( IFERROR(VLOOKUP(A283,Pairs!$E$2:$E$57,1,FALSE),FALSE))</f>
        <v>0</v>
      </c>
      <c r="AP283" s="7"/>
      <c r="AQ283" s="7"/>
    </row>
    <row r="284" ht="15.75" customHeight="1">
      <c r="A284" s="3">
        <v>181.0</v>
      </c>
      <c r="B284" s="4" t="s">
        <v>1725</v>
      </c>
      <c r="C284" s="4" t="str">
        <f>VLOOKUP(D284,'slb RAW'!$E:$F,2)</f>
        <v>#N/A Field Not Applicable</v>
      </c>
      <c r="D284" s="4" t="s">
        <v>1726</v>
      </c>
      <c r="E284" s="4" t="s">
        <v>1727</v>
      </c>
      <c r="F284" s="4" t="s">
        <v>1728</v>
      </c>
      <c r="G284" s="4" t="s">
        <v>200</v>
      </c>
      <c r="H284" s="4" t="s">
        <v>200</v>
      </c>
      <c r="I284" s="4" t="s">
        <v>200</v>
      </c>
      <c r="J284" s="4">
        <v>0.0</v>
      </c>
      <c r="K284" s="4" t="s">
        <v>1729</v>
      </c>
      <c r="L284" s="4" t="s">
        <v>1730</v>
      </c>
      <c r="M284" s="10" t="s">
        <v>48</v>
      </c>
      <c r="N284" s="4" t="s">
        <v>49</v>
      </c>
      <c r="O284" s="4" t="s">
        <v>50</v>
      </c>
      <c r="P284" s="4" t="s">
        <v>76</v>
      </c>
      <c r="Q284" s="4" t="s">
        <v>52</v>
      </c>
      <c r="R284" s="4" t="s">
        <v>53</v>
      </c>
      <c r="S284" s="3" t="s">
        <v>139</v>
      </c>
      <c r="T284" s="4" t="s">
        <v>55</v>
      </c>
      <c r="U284" s="4" t="s">
        <v>70</v>
      </c>
      <c r="V284" s="4" t="s">
        <v>71</v>
      </c>
      <c r="W284" s="4">
        <v>6.9326875E7</v>
      </c>
      <c r="X284" s="4" t="s">
        <v>58</v>
      </c>
      <c r="Y284" s="4" t="s">
        <v>506</v>
      </c>
      <c r="Z284" s="4" t="s">
        <v>60</v>
      </c>
      <c r="AA284" s="4" t="s">
        <v>61</v>
      </c>
      <c r="AB284" s="4" t="s">
        <v>214</v>
      </c>
      <c r="AC284" s="4" t="s">
        <v>216</v>
      </c>
      <c r="AD284" s="3" t="s">
        <v>1731</v>
      </c>
      <c r="AE284" s="7">
        <v>75.0</v>
      </c>
      <c r="AF284" s="12"/>
      <c r="AG284" s="4" t="str">
        <f t="shared" si="1"/>
        <v/>
      </c>
      <c r="AH284" s="8" t="s">
        <v>140</v>
      </c>
      <c r="AI284" s="4" t="s">
        <v>1732</v>
      </c>
      <c r="AJ284" s="7" t="str">
        <f>VLOOKUP(D284,'slb RAW'!$E$2:$AF$293,9)</f>
        <v>#N/A N/A</v>
      </c>
      <c r="AK284" s="4" t="str">
        <f>VLOOKUP(D284,'slb RAW'!$E$2:$AE$293,27)</f>
        <v>#N/A N/A</v>
      </c>
      <c r="AL284" s="4" t="str">
        <f>VLOOKUP(C284,'Refinitiv SLB'!F284:S461,14)</f>
        <v>#N/A</v>
      </c>
      <c r="AM284" s="4" t="str">
        <f t="shared" si="2"/>
        <v>#N/A N/A</v>
      </c>
      <c r="AN284" s="9" t="str">
        <f t="shared" si="3"/>
        <v>Maire Tecnimont SpAAT MATURITYFLOATINGEURSr Unsecured</v>
      </c>
      <c r="AO284" s="7" t="b">
        <f>ISNUMBER( IFERROR(VLOOKUP(A284,Pairs!$E$2:$E$57,1,FALSE),FALSE))</f>
        <v>0</v>
      </c>
      <c r="AP284" s="7"/>
      <c r="AQ284" s="7"/>
    </row>
    <row r="285" ht="15.75" customHeight="1">
      <c r="A285" s="3">
        <v>180.0</v>
      </c>
      <c r="B285" s="4" t="s">
        <v>1725</v>
      </c>
      <c r="C285" s="4" t="str">
        <f>VLOOKUP(D285,'slb RAW'!$E:$F,2)</f>
        <v>#N/A Field Not Applicable</v>
      </c>
      <c r="D285" s="4" t="s">
        <v>1733</v>
      </c>
      <c r="E285" s="4" t="s">
        <v>1734</v>
      </c>
      <c r="F285" s="4" t="s">
        <v>1728</v>
      </c>
      <c r="G285" s="4" t="s">
        <v>200</v>
      </c>
      <c r="H285" s="4" t="s">
        <v>200</v>
      </c>
      <c r="I285" s="4" t="s">
        <v>200</v>
      </c>
      <c r="J285" s="4">
        <v>0.0</v>
      </c>
      <c r="K285" s="4" t="s">
        <v>1729</v>
      </c>
      <c r="L285" s="4" t="s">
        <v>1735</v>
      </c>
      <c r="M285" s="10" t="s">
        <v>48</v>
      </c>
      <c r="N285" s="4" t="s">
        <v>49</v>
      </c>
      <c r="O285" s="4" t="s">
        <v>50</v>
      </c>
      <c r="P285" s="4" t="s">
        <v>145</v>
      </c>
      <c r="Q285" s="4" t="s">
        <v>52</v>
      </c>
      <c r="R285" s="4" t="s">
        <v>53</v>
      </c>
      <c r="S285" s="3" t="s">
        <v>139</v>
      </c>
      <c r="T285" s="4" t="s">
        <v>55</v>
      </c>
      <c r="U285" s="4" t="s">
        <v>70</v>
      </c>
      <c r="V285" s="4" t="s">
        <v>71</v>
      </c>
      <c r="W285" s="4">
        <v>6.9326875E7</v>
      </c>
      <c r="X285" s="4" t="s">
        <v>58</v>
      </c>
      <c r="Y285" s="4" t="s">
        <v>506</v>
      </c>
      <c r="Z285" s="4" t="s">
        <v>60</v>
      </c>
      <c r="AA285" s="4" t="s">
        <v>61</v>
      </c>
      <c r="AB285" s="4" t="s">
        <v>214</v>
      </c>
      <c r="AC285" s="4" t="s">
        <v>216</v>
      </c>
      <c r="AD285" s="3" t="s">
        <v>1731</v>
      </c>
      <c r="AE285" s="7">
        <v>75.0</v>
      </c>
      <c r="AF285" s="12"/>
      <c r="AG285" s="4" t="str">
        <f t="shared" si="1"/>
        <v/>
      </c>
      <c r="AH285" s="8" t="s">
        <v>140</v>
      </c>
      <c r="AI285" s="4" t="s">
        <v>1732</v>
      </c>
      <c r="AJ285" s="7" t="str">
        <f>VLOOKUP(D285,'slb RAW'!$E$2:$AF$293,9)</f>
        <v>#N/A N/A</v>
      </c>
      <c r="AK285" s="4" t="str">
        <f>VLOOKUP(D285,'slb RAW'!$E$2:$AE$293,27)</f>
        <v>#N/A N/A</v>
      </c>
      <c r="AL285" s="4" t="str">
        <f>VLOOKUP(C285,'Refinitiv SLB'!F285:S462,14)</f>
        <v>#N/A</v>
      </c>
      <c r="AM285" s="4" t="str">
        <f t="shared" si="2"/>
        <v>#N/A N/A</v>
      </c>
      <c r="AN285" s="9" t="str">
        <f t="shared" si="3"/>
        <v>Maire Tecnimont SpAAT MATURITYFLOATINGEURSr Unsecured</v>
      </c>
      <c r="AO285" s="7" t="b">
        <f>ISNUMBER( IFERROR(VLOOKUP(A285,Pairs!$E$2:$E$57,1,FALSE),FALSE))</f>
        <v>0</v>
      </c>
      <c r="AP285" s="7"/>
      <c r="AQ285" s="7"/>
    </row>
    <row r="286" ht="15.75" customHeight="1">
      <c r="A286" s="3">
        <v>91.0</v>
      </c>
      <c r="B286" s="4" t="s">
        <v>642</v>
      </c>
      <c r="C286" s="4" t="str">
        <f>VLOOKUP(D286,'slb RAW'!$E:$F,2)</f>
        <v>US29278GAL23</v>
      </c>
      <c r="D286" s="4" t="s">
        <v>1736</v>
      </c>
      <c r="E286" s="4" t="s">
        <v>1737</v>
      </c>
      <c r="F286" s="4" t="s">
        <v>645</v>
      </c>
      <c r="G286" s="4" t="s">
        <v>367</v>
      </c>
      <c r="H286" s="4" t="s">
        <v>367</v>
      </c>
      <c r="I286" s="4" t="s">
        <v>200</v>
      </c>
      <c r="J286" s="4">
        <v>2.65</v>
      </c>
      <c r="K286" s="4" t="s">
        <v>1738</v>
      </c>
      <c r="L286" s="4" t="s">
        <v>1739</v>
      </c>
      <c r="M286" s="4">
        <v>2.676</v>
      </c>
      <c r="N286" s="4" t="s">
        <v>49</v>
      </c>
      <c r="O286" s="4" t="s">
        <v>50</v>
      </c>
      <c r="P286" s="4" t="s">
        <v>262</v>
      </c>
      <c r="Q286" s="4" t="s">
        <v>52</v>
      </c>
      <c r="R286" s="4" t="s">
        <v>263</v>
      </c>
      <c r="S286" s="4" t="s">
        <v>620</v>
      </c>
      <c r="T286" s="4" t="s">
        <v>55</v>
      </c>
      <c r="U286" s="4" t="s">
        <v>56</v>
      </c>
      <c r="V286" s="4" t="s">
        <v>71</v>
      </c>
      <c r="W286" s="4">
        <v>1.5E9</v>
      </c>
      <c r="X286" s="4" t="s">
        <v>120</v>
      </c>
      <c r="Y286" s="4" t="s">
        <v>120</v>
      </c>
      <c r="Z286" s="4" t="s">
        <v>60</v>
      </c>
      <c r="AA286" s="4" t="s">
        <v>121</v>
      </c>
      <c r="AB286" s="4" t="s">
        <v>122</v>
      </c>
      <c r="AC286" s="4" t="s">
        <v>122</v>
      </c>
      <c r="AD286" s="3" t="s">
        <v>1740</v>
      </c>
      <c r="AE286" s="7">
        <v>25.0</v>
      </c>
      <c r="AF286" s="12"/>
      <c r="AG286" s="4" t="str">
        <f t="shared" si="1"/>
        <v/>
      </c>
      <c r="AH286" s="8" t="s">
        <v>125</v>
      </c>
      <c r="AI286" s="4" t="s">
        <v>1741</v>
      </c>
      <c r="AJ286" s="7">
        <f>VLOOKUP(D286,'slb RAW'!$E$2:$AF$293,9)</f>
        <v>2.676</v>
      </c>
      <c r="AK286" s="4">
        <f>VLOOKUP(D286,'slb RAW'!$E$2:$AE$293,27)</f>
        <v>2.677</v>
      </c>
      <c r="AL286" s="4" t="str">
        <f>VLOOKUP(C286,'Refinitiv SLB'!F286:S463,14)</f>
        <v>#N/A</v>
      </c>
      <c r="AM286" s="4">
        <f t="shared" si="2"/>
        <v>2.677</v>
      </c>
      <c r="AN286" s="9" t="str">
        <f t="shared" si="3"/>
        <v>Enel Finance International NVAT MATURITYFIXEDUSDSr Unsecured</v>
      </c>
      <c r="AO286" s="7" t="b">
        <f>ISNUMBER( IFERROR(VLOOKUP(A286,Pairs!$E$2:$E$57,1,FALSE),FALSE))</f>
        <v>1</v>
      </c>
      <c r="AP286" s="7"/>
      <c r="AQ286" s="7"/>
    </row>
    <row r="287" ht="15.75" customHeight="1">
      <c r="A287" s="3">
        <v>92.0</v>
      </c>
      <c r="B287" s="4" t="s">
        <v>642</v>
      </c>
      <c r="C287" s="4" t="str">
        <f>VLOOKUP(D287,'slb RAW'!$E:$F,2)</f>
        <v>USN30707AM05</v>
      </c>
      <c r="D287" s="4" t="s">
        <v>1742</v>
      </c>
      <c r="E287" s="4" t="s">
        <v>1743</v>
      </c>
      <c r="F287" s="4" t="s">
        <v>645</v>
      </c>
      <c r="G287" s="4" t="s">
        <v>367</v>
      </c>
      <c r="H287" s="4" t="s">
        <v>367</v>
      </c>
      <c r="I287" s="4" t="s">
        <v>200</v>
      </c>
      <c r="J287" s="4">
        <v>2.65</v>
      </c>
      <c r="K287" s="4" t="s">
        <v>1738</v>
      </c>
      <c r="L287" s="4" t="s">
        <v>1739</v>
      </c>
      <c r="M287" s="4">
        <v>2.676</v>
      </c>
      <c r="N287" s="4" t="s">
        <v>49</v>
      </c>
      <c r="O287" s="4" t="s">
        <v>50</v>
      </c>
      <c r="P287" s="4" t="s">
        <v>271</v>
      </c>
      <c r="Q287" s="4" t="s">
        <v>52</v>
      </c>
      <c r="R287" s="4" t="s">
        <v>263</v>
      </c>
      <c r="S287" s="4" t="s">
        <v>620</v>
      </c>
      <c r="T287" s="4" t="s">
        <v>55</v>
      </c>
      <c r="U287" s="4" t="s">
        <v>56</v>
      </c>
      <c r="V287" s="4" t="s">
        <v>71</v>
      </c>
      <c r="W287" s="4">
        <v>1.5E9</v>
      </c>
      <c r="X287" s="4" t="s">
        <v>120</v>
      </c>
      <c r="Y287" s="4" t="s">
        <v>120</v>
      </c>
      <c r="Z287" s="4" t="s">
        <v>60</v>
      </c>
      <c r="AA287" s="4" t="s">
        <v>121</v>
      </c>
      <c r="AB287" s="4" t="s">
        <v>122</v>
      </c>
      <c r="AC287" s="4" t="s">
        <v>122</v>
      </c>
      <c r="AD287" s="3" t="s">
        <v>1740</v>
      </c>
      <c r="AE287" s="7">
        <v>25.0</v>
      </c>
      <c r="AF287" s="12"/>
      <c r="AG287" s="4" t="str">
        <f t="shared" si="1"/>
        <v/>
      </c>
      <c r="AH287" s="8" t="s">
        <v>125</v>
      </c>
      <c r="AI287" s="4" t="s">
        <v>1744</v>
      </c>
      <c r="AJ287" s="7">
        <f>VLOOKUP(D287,'slb RAW'!$E$2:$AF$293,9)</f>
        <v>2.676</v>
      </c>
      <c r="AK287" s="4">
        <f>VLOOKUP(D287,'slb RAW'!$E$2:$AE$293,27)</f>
        <v>2.677</v>
      </c>
      <c r="AL287" s="4" t="str">
        <f>VLOOKUP(C287,'Refinitiv SLB'!F287:S464,14)</f>
        <v>#N/A</v>
      </c>
      <c r="AM287" s="4">
        <f t="shared" si="2"/>
        <v>2.677</v>
      </c>
      <c r="AN287" s="9" t="str">
        <f t="shared" si="3"/>
        <v>Enel Finance International NVAT MATURITYFIXEDUSDSr Unsecured</v>
      </c>
      <c r="AO287" s="7" t="b">
        <f>ISNUMBER( IFERROR(VLOOKUP(A287,Pairs!$E$2:$E$57,1,FALSE),FALSE))</f>
        <v>1</v>
      </c>
      <c r="AP287" s="7"/>
      <c r="AQ287" s="7"/>
    </row>
    <row r="288" ht="15.75" customHeight="1">
      <c r="A288" s="3">
        <v>62.0</v>
      </c>
      <c r="B288" s="4" t="s">
        <v>41</v>
      </c>
      <c r="C288" s="4" t="str">
        <f>VLOOKUP(D288,'slb RAW'!$E:$F,2)</f>
        <v>#N/A Field Not Applicable</v>
      </c>
      <c r="D288" s="4" t="s">
        <v>1745</v>
      </c>
      <c r="E288" s="4" t="s">
        <v>1746</v>
      </c>
      <c r="F288" s="4" t="s">
        <v>44</v>
      </c>
      <c r="G288" s="4" t="s">
        <v>45</v>
      </c>
      <c r="H288" s="4" t="s">
        <v>45</v>
      </c>
      <c r="I288" s="4" t="s">
        <v>45</v>
      </c>
      <c r="J288" s="5">
        <v>0.0</v>
      </c>
      <c r="K288" s="4" t="s">
        <v>1747</v>
      </c>
      <c r="L288" s="4" t="s">
        <v>1748</v>
      </c>
      <c r="M288" s="10" t="s">
        <v>48</v>
      </c>
      <c r="N288" s="4" t="s">
        <v>49</v>
      </c>
      <c r="O288" s="4" t="s">
        <v>50</v>
      </c>
      <c r="P288" s="4" t="s">
        <v>51</v>
      </c>
      <c r="Q288" s="4" t="s">
        <v>52</v>
      </c>
      <c r="R288" s="4" t="s">
        <v>53</v>
      </c>
      <c r="S288" s="4" t="s">
        <v>54</v>
      </c>
      <c r="T288" s="4" t="s">
        <v>55</v>
      </c>
      <c r="U288" s="4" t="s">
        <v>56</v>
      </c>
      <c r="V288" s="4" t="s">
        <v>57</v>
      </c>
      <c r="W288" s="4">
        <v>2.25626E8</v>
      </c>
      <c r="X288" s="4" t="s">
        <v>58</v>
      </c>
      <c r="Y288" s="4" t="s">
        <v>59</v>
      </c>
      <c r="Z288" s="4" t="s">
        <v>60</v>
      </c>
      <c r="AA288" s="4" t="s">
        <v>61</v>
      </c>
      <c r="AB288" s="4" t="s">
        <v>62</v>
      </c>
      <c r="AC288" s="4" t="s">
        <v>62</v>
      </c>
      <c r="AD288" s="3" t="s">
        <v>63</v>
      </c>
      <c r="AE288" s="7">
        <v>2.0</v>
      </c>
      <c r="AF288" s="7">
        <v>2.0</v>
      </c>
      <c r="AG288" s="4" t="str">
        <f t="shared" si="1"/>
        <v>yes</v>
      </c>
      <c r="AH288" s="8" t="s">
        <v>64</v>
      </c>
      <c r="AI288" s="4" t="s">
        <v>1749</v>
      </c>
      <c r="AJ288" s="7" t="str">
        <f>VLOOKUP(D288,'slb RAW'!$E$2:$AF$293,9)</f>
        <v>#N/A N/A</v>
      </c>
      <c r="AK288" s="4" t="str">
        <f>VLOOKUP(D288,'slb RAW'!$E$2:$AE$293,27)</f>
        <v>#N/A N/A</v>
      </c>
      <c r="AL288" s="4" t="str">
        <f>VLOOKUP(C288,'Refinitiv SLB'!F288:S465,14)</f>
        <v>#N/A</v>
      </c>
      <c r="AM288" s="4" t="str">
        <f t="shared" si="2"/>
        <v>#N/A N/A</v>
      </c>
      <c r="AN288" s="9" t="str">
        <f t="shared" si="3"/>
        <v>Duerr AGAT MATURITYFIXEDEURSr Unsecured</v>
      </c>
      <c r="AO288" s="7" t="b">
        <f>ISNUMBER( IFERROR(VLOOKUP(A288,Pairs!$E$2:$E$57,1,FALSE),FALSE))</f>
        <v>0</v>
      </c>
      <c r="AP288" s="7"/>
      <c r="AQ288" s="7"/>
    </row>
    <row r="289" ht="15.75" customHeight="1">
      <c r="A289" s="3">
        <v>63.0</v>
      </c>
      <c r="B289" s="4" t="s">
        <v>41</v>
      </c>
      <c r="C289" s="4" t="str">
        <f>VLOOKUP(D289,'slb RAW'!$E:$F,2)</f>
        <v>#N/A Field Not Applicable</v>
      </c>
      <c r="D289" s="4" t="s">
        <v>1750</v>
      </c>
      <c r="E289" s="4" t="s">
        <v>1751</v>
      </c>
      <c r="F289" s="4" t="s">
        <v>44</v>
      </c>
      <c r="G289" s="4" t="s">
        <v>45</v>
      </c>
      <c r="H289" s="4" t="s">
        <v>45</v>
      </c>
      <c r="I289" s="4" t="s">
        <v>45</v>
      </c>
      <c r="J289" s="5">
        <v>0.0</v>
      </c>
      <c r="K289" s="4" t="s">
        <v>1747</v>
      </c>
      <c r="L289" s="4" t="s">
        <v>1752</v>
      </c>
      <c r="M289" s="10" t="s">
        <v>48</v>
      </c>
      <c r="N289" s="4" t="s">
        <v>49</v>
      </c>
      <c r="O289" s="4" t="s">
        <v>50</v>
      </c>
      <c r="P289" s="4" t="s">
        <v>1753</v>
      </c>
      <c r="Q289" s="4" t="s">
        <v>52</v>
      </c>
      <c r="R289" s="4" t="s">
        <v>53</v>
      </c>
      <c r="S289" s="4" t="s">
        <v>54</v>
      </c>
      <c r="T289" s="4" t="s">
        <v>55</v>
      </c>
      <c r="U289" s="4" t="s">
        <v>56</v>
      </c>
      <c r="V289" s="4" t="s">
        <v>57</v>
      </c>
      <c r="W289" s="4">
        <v>2.25626E8</v>
      </c>
      <c r="X289" s="4" t="s">
        <v>58</v>
      </c>
      <c r="Y289" s="4" t="s">
        <v>59</v>
      </c>
      <c r="Z289" s="4" t="s">
        <v>60</v>
      </c>
      <c r="AA289" s="4" t="s">
        <v>61</v>
      </c>
      <c r="AB289" s="4" t="s">
        <v>62</v>
      </c>
      <c r="AC289" s="4" t="s">
        <v>62</v>
      </c>
      <c r="AD289" s="3" t="s">
        <v>63</v>
      </c>
      <c r="AE289" s="7">
        <v>2.0</v>
      </c>
      <c r="AF289" s="7">
        <v>2.0</v>
      </c>
      <c r="AG289" s="4" t="str">
        <f t="shared" si="1"/>
        <v>yes</v>
      </c>
      <c r="AH289" s="8" t="s">
        <v>64</v>
      </c>
      <c r="AI289" s="4" t="s">
        <v>1749</v>
      </c>
      <c r="AJ289" s="7" t="str">
        <f>VLOOKUP(D289,'slb RAW'!$E$2:$AF$293,9)</f>
        <v>#N/A N/A</v>
      </c>
      <c r="AK289" s="4" t="str">
        <f>VLOOKUP(D289,'slb RAW'!$E$2:$AE$293,27)</f>
        <v>#N/A N/A</v>
      </c>
      <c r="AL289" s="4" t="str">
        <f>VLOOKUP(C289,'Refinitiv SLB'!F289:S466,14)</f>
        <v>#N/A</v>
      </c>
      <c r="AM289" s="4" t="str">
        <f t="shared" si="2"/>
        <v>#N/A N/A</v>
      </c>
      <c r="AN289" s="9" t="str">
        <f t="shared" si="3"/>
        <v>Duerr AGAT MATURITYFIXEDEURSr Unsecured</v>
      </c>
      <c r="AO289" s="7" t="b">
        <f>ISNUMBER( IFERROR(VLOOKUP(A289,Pairs!$E$2:$E$57,1,FALSE),FALSE))</f>
        <v>0</v>
      </c>
      <c r="AP289" s="7"/>
      <c r="AQ289" s="7"/>
    </row>
    <row r="290" ht="15.75" customHeight="1">
      <c r="A290" s="3">
        <v>64.0</v>
      </c>
      <c r="B290" s="4" t="s">
        <v>41</v>
      </c>
      <c r="C290" s="4" t="str">
        <f>VLOOKUP(D290,'slb RAW'!$E:$F,2)</f>
        <v>#N/A Field Not Applicable</v>
      </c>
      <c r="D290" s="4" t="s">
        <v>1754</v>
      </c>
      <c r="E290" s="4" t="s">
        <v>1755</v>
      </c>
      <c r="F290" s="4" t="s">
        <v>44</v>
      </c>
      <c r="G290" s="4" t="s">
        <v>45</v>
      </c>
      <c r="H290" s="4" t="s">
        <v>45</v>
      </c>
      <c r="I290" s="4" t="s">
        <v>45</v>
      </c>
      <c r="J290" s="5">
        <v>0.0</v>
      </c>
      <c r="K290" s="4" t="s">
        <v>1747</v>
      </c>
      <c r="L290" s="4" t="s">
        <v>1756</v>
      </c>
      <c r="M290" s="10" t="s">
        <v>48</v>
      </c>
      <c r="N290" s="4" t="s">
        <v>49</v>
      </c>
      <c r="O290" s="4" t="s">
        <v>50</v>
      </c>
      <c r="P290" s="4" t="s">
        <v>1312</v>
      </c>
      <c r="Q290" s="4" t="s">
        <v>52</v>
      </c>
      <c r="R290" s="4" t="s">
        <v>53</v>
      </c>
      <c r="S290" s="4" t="s">
        <v>54</v>
      </c>
      <c r="T290" s="4" t="s">
        <v>55</v>
      </c>
      <c r="U290" s="4" t="s">
        <v>56</v>
      </c>
      <c r="V290" s="4" t="s">
        <v>57</v>
      </c>
      <c r="W290" s="4">
        <v>2.25626E8</v>
      </c>
      <c r="X290" s="4" t="s">
        <v>58</v>
      </c>
      <c r="Y290" s="4" t="s">
        <v>59</v>
      </c>
      <c r="Z290" s="4" t="s">
        <v>60</v>
      </c>
      <c r="AA290" s="4" t="s">
        <v>61</v>
      </c>
      <c r="AB290" s="4" t="s">
        <v>62</v>
      </c>
      <c r="AC290" s="4" t="s">
        <v>62</v>
      </c>
      <c r="AD290" s="3" t="s">
        <v>63</v>
      </c>
      <c r="AE290" s="7">
        <v>2.0</v>
      </c>
      <c r="AF290" s="7">
        <v>2.0</v>
      </c>
      <c r="AG290" s="4" t="str">
        <f t="shared" si="1"/>
        <v>yes</v>
      </c>
      <c r="AH290" s="8" t="s">
        <v>64</v>
      </c>
      <c r="AI290" s="4" t="s">
        <v>1749</v>
      </c>
      <c r="AJ290" s="7" t="str">
        <f>VLOOKUP(D290,'slb RAW'!$E$2:$AF$293,9)</f>
        <v>#N/A N/A</v>
      </c>
      <c r="AK290" s="4" t="str">
        <f>VLOOKUP(D290,'slb RAW'!$E$2:$AE$293,27)</f>
        <v>#N/A N/A</v>
      </c>
      <c r="AL290" s="4" t="str">
        <f>VLOOKUP(C290,'Refinitiv SLB'!F290:S467,14)</f>
        <v>#N/A</v>
      </c>
      <c r="AM290" s="4" t="str">
        <f t="shared" si="2"/>
        <v>#N/A N/A</v>
      </c>
      <c r="AN290" s="9" t="str">
        <f t="shared" si="3"/>
        <v>Duerr AGAT MATURITYFIXEDEURSr Unsecured</v>
      </c>
      <c r="AO290" s="7" t="b">
        <f>ISNUMBER( IFERROR(VLOOKUP(A290,Pairs!$E$2:$E$57,1,FALSE),FALSE))</f>
        <v>0</v>
      </c>
      <c r="AP290" s="7"/>
      <c r="AQ290" s="7"/>
    </row>
    <row r="291" ht="15.75" customHeight="1">
      <c r="A291" s="3">
        <v>65.0</v>
      </c>
      <c r="B291" s="4" t="s">
        <v>41</v>
      </c>
      <c r="C291" s="4" t="str">
        <f>VLOOKUP(D291,'slb RAW'!$E:$F,2)</f>
        <v>#N/A Field Not Applicable</v>
      </c>
      <c r="D291" s="4" t="s">
        <v>1757</v>
      </c>
      <c r="E291" s="4" t="s">
        <v>1758</v>
      </c>
      <c r="F291" s="4" t="s">
        <v>44</v>
      </c>
      <c r="G291" s="4" t="s">
        <v>45</v>
      </c>
      <c r="H291" s="4" t="s">
        <v>45</v>
      </c>
      <c r="I291" s="4" t="s">
        <v>45</v>
      </c>
      <c r="J291" s="5">
        <v>0.0</v>
      </c>
      <c r="K291" s="4" t="s">
        <v>1747</v>
      </c>
      <c r="L291" s="4" t="s">
        <v>1759</v>
      </c>
      <c r="M291" s="10" t="s">
        <v>48</v>
      </c>
      <c r="N291" s="4" t="s">
        <v>49</v>
      </c>
      <c r="O291" s="4" t="s">
        <v>50</v>
      </c>
      <c r="P291" s="4" t="s">
        <v>104</v>
      </c>
      <c r="Q291" s="4" t="s">
        <v>52</v>
      </c>
      <c r="R291" s="4" t="s">
        <v>53</v>
      </c>
      <c r="S291" s="4" t="s">
        <v>54</v>
      </c>
      <c r="T291" s="4" t="s">
        <v>55</v>
      </c>
      <c r="U291" s="4" t="s">
        <v>56</v>
      </c>
      <c r="V291" s="4" t="s">
        <v>57</v>
      </c>
      <c r="W291" s="4">
        <v>2.25626E8</v>
      </c>
      <c r="X291" s="4" t="s">
        <v>58</v>
      </c>
      <c r="Y291" s="4" t="s">
        <v>59</v>
      </c>
      <c r="Z291" s="4" t="s">
        <v>60</v>
      </c>
      <c r="AA291" s="4" t="s">
        <v>61</v>
      </c>
      <c r="AB291" s="4" t="s">
        <v>62</v>
      </c>
      <c r="AC291" s="4" t="s">
        <v>62</v>
      </c>
      <c r="AD291" s="3" t="s">
        <v>63</v>
      </c>
      <c r="AE291" s="7">
        <v>2.0</v>
      </c>
      <c r="AF291" s="7">
        <v>2.0</v>
      </c>
      <c r="AG291" s="4" t="str">
        <f t="shared" si="1"/>
        <v>yes</v>
      </c>
      <c r="AH291" s="8" t="s">
        <v>64</v>
      </c>
      <c r="AI291" s="4" t="s">
        <v>1749</v>
      </c>
      <c r="AJ291" s="7" t="str">
        <f>VLOOKUP(D291,'slb RAW'!$E$2:$AF$293,9)</f>
        <v>#N/A N/A</v>
      </c>
      <c r="AK291" s="4" t="str">
        <f>VLOOKUP(D291,'slb RAW'!$E$2:$AE$293,27)</f>
        <v>#N/A N/A</v>
      </c>
      <c r="AL291" s="4" t="str">
        <f>VLOOKUP(C291,'Refinitiv SLB'!F291:S468,14)</f>
        <v>#N/A</v>
      </c>
      <c r="AM291" s="4" t="str">
        <f t="shared" si="2"/>
        <v>#N/A N/A</v>
      </c>
      <c r="AN291" s="9" t="str">
        <f t="shared" si="3"/>
        <v>Duerr AGAT MATURITYFIXEDEURSr Unsecured</v>
      </c>
      <c r="AO291" s="7" t="b">
        <f>ISNUMBER( IFERROR(VLOOKUP(A291,Pairs!$E$2:$E$57,1,FALSE),FALSE))</f>
        <v>0</v>
      </c>
      <c r="AP291" s="7"/>
      <c r="AQ291" s="7"/>
    </row>
    <row r="292" ht="15.75" customHeight="1">
      <c r="A292" s="3">
        <v>66.0</v>
      </c>
      <c r="B292" s="4" t="s">
        <v>41</v>
      </c>
      <c r="C292" s="4" t="str">
        <f>VLOOKUP(D292,'slb RAW'!$E:$F,2)</f>
        <v>#N/A Field Not Applicable</v>
      </c>
      <c r="D292" s="4" t="s">
        <v>1760</v>
      </c>
      <c r="E292" s="4" t="s">
        <v>1761</v>
      </c>
      <c r="F292" s="4" t="s">
        <v>44</v>
      </c>
      <c r="G292" s="4" t="s">
        <v>45</v>
      </c>
      <c r="H292" s="4" t="s">
        <v>45</v>
      </c>
      <c r="I292" s="4" t="s">
        <v>45</v>
      </c>
      <c r="J292" s="5">
        <v>0.0</v>
      </c>
      <c r="K292" s="4" t="s">
        <v>1747</v>
      </c>
      <c r="L292" s="4" t="s">
        <v>1756</v>
      </c>
      <c r="M292" s="10" t="s">
        <v>48</v>
      </c>
      <c r="N292" s="4" t="s">
        <v>49</v>
      </c>
      <c r="O292" s="4" t="s">
        <v>50</v>
      </c>
      <c r="P292" s="4" t="s">
        <v>1097</v>
      </c>
      <c r="Q292" s="4" t="s">
        <v>52</v>
      </c>
      <c r="R292" s="4" t="s">
        <v>53</v>
      </c>
      <c r="S292" s="4" t="s">
        <v>54</v>
      </c>
      <c r="T292" s="4" t="s">
        <v>55</v>
      </c>
      <c r="U292" s="4" t="s">
        <v>70</v>
      </c>
      <c r="V292" s="4" t="s">
        <v>71</v>
      </c>
      <c r="W292" s="4">
        <v>2.25626E8</v>
      </c>
      <c r="X292" s="4" t="s">
        <v>58</v>
      </c>
      <c r="Y292" s="4" t="s">
        <v>59</v>
      </c>
      <c r="Z292" s="4" t="s">
        <v>60</v>
      </c>
      <c r="AA292" s="4" t="s">
        <v>61</v>
      </c>
      <c r="AB292" s="4" t="s">
        <v>62</v>
      </c>
      <c r="AC292" s="4" t="s">
        <v>62</v>
      </c>
      <c r="AD292" s="3" t="s">
        <v>63</v>
      </c>
      <c r="AE292" s="7">
        <v>2.0</v>
      </c>
      <c r="AF292" s="7">
        <v>2.0</v>
      </c>
      <c r="AG292" s="4" t="str">
        <f t="shared" si="1"/>
        <v>yes</v>
      </c>
      <c r="AH292" s="8" t="s">
        <v>64</v>
      </c>
      <c r="AI292" s="4" t="s">
        <v>1749</v>
      </c>
      <c r="AJ292" s="7" t="str">
        <f>VLOOKUP(D292,'slb RAW'!$E$2:$AF$293,9)</f>
        <v>#N/A N/A</v>
      </c>
      <c r="AK292" s="4" t="str">
        <f>VLOOKUP(D292,'slb RAW'!$E$2:$AE$293,27)</f>
        <v>#N/A N/A</v>
      </c>
      <c r="AL292" s="4" t="str">
        <f>VLOOKUP(C292,'Refinitiv SLB'!F292:S469,14)</f>
        <v>#N/A</v>
      </c>
      <c r="AM292" s="4" t="str">
        <f t="shared" si="2"/>
        <v>#N/A N/A</v>
      </c>
      <c r="AN292" s="9" t="str">
        <f t="shared" si="3"/>
        <v>Duerr AGAT MATURITYFLOATINGEURSr Unsecured</v>
      </c>
      <c r="AO292" s="7" t="b">
        <f>ISNUMBER( IFERROR(VLOOKUP(A292,Pairs!$E$2:$E$57,1,FALSE),FALSE))</f>
        <v>0</v>
      </c>
      <c r="AP292" s="7"/>
      <c r="AQ292" s="7"/>
    </row>
    <row r="293" ht="15.75" customHeight="1">
      <c r="A293" s="3">
        <v>67.0</v>
      </c>
      <c r="B293" s="4" t="s">
        <v>41</v>
      </c>
      <c r="C293" s="4" t="str">
        <f>VLOOKUP(D293,'slb RAW'!$E:$F,2)</f>
        <v>#N/A Field Not Applicable</v>
      </c>
      <c r="D293" s="4" t="s">
        <v>1762</v>
      </c>
      <c r="E293" s="4" t="s">
        <v>1763</v>
      </c>
      <c r="F293" s="4" t="s">
        <v>44</v>
      </c>
      <c r="G293" s="4" t="s">
        <v>45</v>
      </c>
      <c r="H293" s="4" t="s">
        <v>45</v>
      </c>
      <c r="I293" s="4" t="s">
        <v>45</v>
      </c>
      <c r="J293" s="5">
        <v>0.0</v>
      </c>
      <c r="K293" s="4" t="s">
        <v>1747</v>
      </c>
      <c r="L293" s="4" t="s">
        <v>1759</v>
      </c>
      <c r="M293" s="10" t="s">
        <v>48</v>
      </c>
      <c r="N293" s="4" t="s">
        <v>49</v>
      </c>
      <c r="O293" s="4" t="s">
        <v>50</v>
      </c>
      <c r="P293" s="4" t="s">
        <v>94</v>
      </c>
      <c r="Q293" s="4" t="s">
        <v>52</v>
      </c>
      <c r="R293" s="4" t="s">
        <v>53</v>
      </c>
      <c r="S293" s="4" t="s">
        <v>54</v>
      </c>
      <c r="T293" s="4" t="s">
        <v>55</v>
      </c>
      <c r="U293" s="4" t="s">
        <v>70</v>
      </c>
      <c r="V293" s="4" t="s">
        <v>71</v>
      </c>
      <c r="W293" s="4">
        <v>2.25626E8</v>
      </c>
      <c r="X293" s="4" t="s">
        <v>58</v>
      </c>
      <c r="Y293" s="4" t="s">
        <v>59</v>
      </c>
      <c r="Z293" s="4" t="s">
        <v>60</v>
      </c>
      <c r="AA293" s="4" t="s">
        <v>61</v>
      </c>
      <c r="AB293" s="4" t="s">
        <v>62</v>
      </c>
      <c r="AC293" s="4" t="s">
        <v>62</v>
      </c>
      <c r="AD293" s="3" t="s">
        <v>63</v>
      </c>
      <c r="AE293" s="7">
        <v>2.0</v>
      </c>
      <c r="AF293" s="7">
        <v>2.0</v>
      </c>
      <c r="AG293" s="4" t="str">
        <f t="shared" si="1"/>
        <v>yes</v>
      </c>
      <c r="AH293" s="8" t="s">
        <v>64</v>
      </c>
      <c r="AI293" s="4" t="s">
        <v>1749</v>
      </c>
      <c r="AJ293" s="7" t="str">
        <f>VLOOKUP(D293,'slb RAW'!$E$2:$AF$293,9)</f>
        <v>#N/A N/A</v>
      </c>
      <c r="AK293" s="4" t="str">
        <f>VLOOKUP(D293,'slb RAW'!$E$2:$AE$293,27)</f>
        <v>#N/A N/A</v>
      </c>
      <c r="AL293" s="4" t="str">
        <f>VLOOKUP(C293,'Refinitiv SLB'!F293:S470,14)</f>
        <v>#N/A</v>
      </c>
      <c r="AM293" s="4" t="str">
        <f t="shared" si="2"/>
        <v>#N/A N/A</v>
      </c>
      <c r="AN293" s="9" t="str">
        <f t="shared" si="3"/>
        <v>Duerr AGAT MATURITYFLOATINGEURSr Unsecured</v>
      </c>
      <c r="AO293" s="7" t="b">
        <f>ISNUMBER( IFERROR(VLOOKUP(A293,Pairs!$E$2:$E$57,1,FALSE),FALSE))</f>
        <v>0</v>
      </c>
      <c r="AP293" s="7"/>
      <c r="AQ293" s="7"/>
    </row>
    <row r="294" ht="15.75" customHeight="1">
      <c r="AD294" s="4"/>
      <c r="AE294" s="12"/>
      <c r="AF294" s="12"/>
      <c r="AG294" s="12"/>
      <c r="AH294" s="12"/>
    </row>
    <row r="295" ht="15.75" customHeight="1">
      <c r="AD295" s="4"/>
      <c r="AE295" s="12"/>
      <c r="AF295" s="12"/>
      <c r="AG295" s="12"/>
      <c r="AH295" s="12"/>
    </row>
    <row r="296" ht="15.75" customHeight="1">
      <c r="AD296" s="4"/>
      <c r="AE296" s="12"/>
      <c r="AF296" s="12"/>
      <c r="AG296" s="12"/>
      <c r="AH296" s="12"/>
    </row>
    <row r="297" ht="15.75" customHeight="1">
      <c r="AD297" s="4"/>
      <c r="AE297" s="12"/>
      <c r="AF297" s="12"/>
      <c r="AG297" s="12"/>
      <c r="AH297" s="12"/>
    </row>
    <row r="298" ht="15.75" customHeight="1">
      <c r="AD298" s="4"/>
      <c r="AE298" s="12"/>
      <c r="AF298" s="12"/>
      <c r="AG298" s="12"/>
      <c r="AH298" s="12"/>
    </row>
    <row r="299" ht="15.75" customHeight="1">
      <c r="AD299" s="4"/>
      <c r="AE299" s="12"/>
      <c r="AF299" s="12"/>
      <c r="AG299" s="12"/>
      <c r="AH299" s="12"/>
    </row>
    <row r="300" ht="15.75" customHeight="1">
      <c r="AD300" s="4"/>
      <c r="AE300" s="12"/>
      <c r="AF300" s="12"/>
      <c r="AG300" s="12"/>
      <c r="AH300" s="12"/>
    </row>
    <row r="301" ht="15.75" customHeight="1">
      <c r="AD301" s="4"/>
      <c r="AE301" s="12"/>
      <c r="AF301" s="12"/>
      <c r="AG301" s="12"/>
      <c r="AH301" s="12"/>
    </row>
    <row r="302" ht="15.75" customHeight="1">
      <c r="AD302" s="4"/>
      <c r="AE302" s="12"/>
      <c r="AF302" s="12"/>
      <c r="AG302" s="12"/>
      <c r="AH302" s="12"/>
    </row>
    <row r="303" ht="15.75" customHeight="1">
      <c r="AD303" s="4"/>
      <c r="AE303" s="12"/>
      <c r="AF303" s="12"/>
      <c r="AG303" s="12"/>
      <c r="AH303" s="12"/>
    </row>
    <row r="304" ht="15.75" customHeight="1">
      <c r="AD304" s="4"/>
      <c r="AE304" s="12"/>
      <c r="AF304" s="12"/>
      <c r="AG304" s="12"/>
      <c r="AH304" s="12"/>
    </row>
    <row r="305" ht="15.75" customHeight="1">
      <c r="AD305" s="4"/>
      <c r="AE305" s="12"/>
      <c r="AF305" s="12"/>
      <c r="AG305" s="12"/>
      <c r="AH305" s="12"/>
    </row>
    <row r="306" ht="15.75" customHeight="1">
      <c r="AD306" s="4"/>
      <c r="AE306" s="12"/>
      <c r="AF306" s="12"/>
      <c r="AG306" s="12"/>
      <c r="AH306" s="12"/>
    </row>
    <row r="307" ht="15.75" customHeight="1">
      <c r="AD307" s="4"/>
      <c r="AE307" s="12"/>
      <c r="AF307" s="12"/>
      <c r="AG307" s="12"/>
      <c r="AH307" s="12"/>
    </row>
    <row r="308" ht="15.75" customHeight="1">
      <c r="AD308" s="4"/>
      <c r="AE308" s="12"/>
      <c r="AF308" s="12"/>
      <c r="AG308" s="12"/>
      <c r="AH308" s="12"/>
    </row>
    <row r="309" ht="15.75" customHeight="1">
      <c r="AD309" s="4"/>
      <c r="AE309" s="12"/>
      <c r="AF309" s="12"/>
      <c r="AG309" s="12"/>
      <c r="AH309" s="12"/>
    </row>
    <row r="310" ht="15.75" customHeight="1">
      <c r="AD310" s="4"/>
      <c r="AE310" s="12"/>
      <c r="AF310" s="12"/>
      <c r="AG310" s="12"/>
      <c r="AH310" s="12"/>
    </row>
    <row r="311" ht="15.75" customHeight="1">
      <c r="AD311" s="4"/>
      <c r="AE311" s="12"/>
      <c r="AF311" s="12"/>
      <c r="AG311" s="12"/>
      <c r="AH311" s="12"/>
    </row>
    <row r="312" ht="15.75" customHeight="1">
      <c r="AD312" s="4"/>
      <c r="AE312" s="12"/>
      <c r="AF312" s="12"/>
      <c r="AG312" s="12"/>
      <c r="AH312" s="12"/>
    </row>
    <row r="313" ht="15.75" customHeight="1">
      <c r="AD313" s="4"/>
      <c r="AE313" s="12"/>
      <c r="AF313" s="12"/>
      <c r="AG313" s="12"/>
      <c r="AH313" s="12"/>
    </row>
    <row r="314" ht="15.75" customHeight="1">
      <c r="AD314" s="4"/>
      <c r="AE314" s="12"/>
      <c r="AF314" s="12"/>
      <c r="AG314" s="12"/>
      <c r="AH314" s="12"/>
    </row>
    <row r="315" ht="15.75" customHeight="1">
      <c r="AD315" s="4"/>
      <c r="AE315" s="12"/>
      <c r="AF315" s="12"/>
      <c r="AG315" s="12"/>
      <c r="AH315" s="12"/>
    </row>
    <row r="316" ht="15.75" customHeight="1">
      <c r="AD316" s="4"/>
      <c r="AE316" s="12"/>
      <c r="AF316" s="12"/>
      <c r="AG316" s="12"/>
      <c r="AH316" s="12"/>
    </row>
    <row r="317" ht="15.75" customHeight="1">
      <c r="AD317" s="4"/>
      <c r="AE317" s="12"/>
      <c r="AF317" s="12"/>
      <c r="AG317" s="12"/>
      <c r="AH317" s="12"/>
    </row>
    <row r="318" ht="15.75" customHeight="1">
      <c r="AD318" s="4"/>
      <c r="AE318" s="12"/>
      <c r="AF318" s="12"/>
      <c r="AG318" s="12"/>
      <c r="AH318" s="12"/>
    </row>
    <row r="319" ht="15.75" customHeight="1">
      <c r="AD319" s="4"/>
      <c r="AE319" s="12"/>
      <c r="AF319" s="12"/>
      <c r="AG319" s="12"/>
      <c r="AH319" s="12"/>
    </row>
    <row r="320" ht="15.75" customHeight="1">
      <c r="AD320" s="4"/>
      <c r="AE320" s="12"/>
      <c r="AF320" s="12"/>
      <c r="AG320" s="12"/>
      <c r="AH320" s="12"/>
    </row>
    <row r="321" ht="15.75" customHeight="1">
      <c r="AD321" s="4"/>
      <c r="AE321" s="12"/>
      <c r="AF321" s="12"/>
      <c r="AG321" s="12"/>
      <c r="AH321" s="12"/>
    </row>
    <row r="322" ht="15.75" customHeight="1">
      <c r="AD322" s="4"/>
      <c r="AE322" s="12"/>
      <c r="AF322" s="12"/>
      <c r="AG322" s="12"/>
      <c r="AH322" s="12"/>
    </row>
    <row r="323" ht="15.75" customHeight="1">
      <c r="AD323" s="4"/>
      <c r="AE323" s="12"/>
      <c r="AF323" s="12"/>
      <c r="AG323" s="12"/>
      <c r="AH323" s="12"/>
    </row>
    <row r="324" ht="15.75" customHeight="1">
      <c r="AD324" s="4"/>
      <c r="AE324" s="12"/>
      <c r="AF324" s="12"/>
      <c r="AG324" s="12"/>
      <c r="AH324" s="12"/>
    </row>
    <row r="325" ht="15.75" customHeight="1">
      <c r="AD325" s="4"/>
      <c r="AE325" s="12"/>
      <c r="AF325" s="12"/>
      <c r="AG325" s="12"/>
      <c r="AH325" s="12"/>
    </row>
    <row r="326" ht="15.75" customHeight="1">
      <c r="AD326" s="4"/>
      <c r="AE326" s="12"/>
      <c r="AF326" s="12"/>
      <c r="AG326" s="12"/>
      <c r="AH326" s="12"/>
    </row>
    <row r="327" ht="15.75" customHeight="1">
      <c r="AD327" s="4"/>
      <c r="AE327" s="12"/>
      <c r="AF327" s="12"/>
      <c r="AG327" s="12"/>
      <c r="AH327" s="12"/>
    </row>
    <row r="328" ht="15.75" customHeight="1">
      <c r="AD328" s="4"/>
      <c r="AE328" s="12"/>
      <c r="AF328" s="12"/>
      <c r="AG328" s="12"/>
      <c r="AH328" s="12"/>
    </row>
    <row r="329" ht="15.75" customHeight="1">
      <c r="AD329" s="4"/>
      <c r="AE329" s="12"/>
      <c r="AF329" s="12"/>
      <c r="AG329" s="12"/>
      <c r="AH329" s="12"/>
    </row>
    <row r="330" ht="15.75" customHeight="1">
      <c r="AD330" s="4"/>
      <c r="AE330" s="12"/>
      <c r="AF330" s="12"/>
      <c r="AG330" s="12"/>
      <c r="AH330" s="12"/>
    </row>
    <row r="331" ht="15.75" customHeight="1">
      <c r="AD331" s="4"/>
      <c r="AE331" s="12"/>
      <c r="AF331" s="12"/>
      <c r="AH331" s="12"/>
    </row>
    <row r="332" ht="15.75" customHeight="1">
      <c r="AD332" s="4"/>
      <c r="AE332" s="12"/>
      <c r="AF332" s="12"/>
      <c r="AH332" s="12"/>
    </row>
    <row r="333" ht="15.75" customHeight="1">
      <c r="AD333" s="4"/>
      <c r="AE333" s="12"/>
      <c r="AF333" s="12"/>
      <c r="AH333" s="12"/>
    </row>
    <row r="334" ht="15.75" customHeight="1">
      <c r="AD334" s="4"/>
      <c r="AE334" s="12"/>
      <c r="AF334" s="12"/>
      <c r="AH334" s="12"/>
    </row>
    <row r="335" ht="15.75" customHeight="1">
      <c r="AD335" s="4"/>
      <c r="AE335" s="12"/>
      <c r="AF335" s="12"/>
      <c r="AH335" s="12"/>
    </row>
    <row r="336" ht="15.75" customHeight="1">
      <c r="AD336" s="4"/>
      <c r="AE336" s="12"/>
      <c r="AF336" s="12"/>
      <c r="AH336" s="12"/>
    </row>
    <row r="337" ht="15.75" customHeight="1">
      <c r="AD337" s="4"/>
      <c r="AE337" s="12"/>
      <c r="AF337" s="12"/>
      <c r="AH337" s="12"/>
    </row>
    <row r="338" ht="15.75" customHeight="1">
      <c r="AD338" s="4"/>
      <c r="AE338" s="12"/>
      <c r="AF338" s="12"/>
      <c r="AH338" s="12"/>
    </row>
    <row r="339" ht="15.75" customHeight="1">
      <c r="AD339" s="4"/>
      <c r="AE339" s="12"/>
      <c r="AF339" s="12"/>
      <c r="AH339" s="12"/>
    </row>
    <row r="340" ht="15.75" customHeight="1">
      <c r="AD340" s="4"/>
      <c r="AE340" s="12"/>
      <c r="AF340" s="12"/>
      <c r="AH340" s="12"/>
    </row>
    <row r="341" ht="15.75" customHeight="1">
      <c r="AD341" s="4"/>
      <c r="AE341" s="12"/>
      <c r="AF341" s="12"/>
      <c r="AH341" s="12"/>
    </row>
    <row r="342" ht="15.75" customHeight="1">
      <c r="AD342" s="4"/>
      <c r="AF342" s="12"/>
      <c r="AH342" s="12"/>
    </row>
    <row r="343" ht="15.75" customHeight="1">
      <c r="AD343" s="4"/>
      <c r="AF343" s="12"/>
      <c r="AH343" s="12"/>
    </row>
    <row r="344" ht="15.75" customHeight="1">
      <c r="AD344" s="4"/>
      <c r="AF344" s="12"/>
      <c r="AH344" s="12"/>
    </row>
    <row r="345" ht="15.75" customHeight="1">
      <c r="AD345" s="4"/>
      <c r="AF345" s="12"/>
      <c r="AH345" s="12"/>
    </row>
    <row r="346" ht="15.75" customHeight="1">
      <c r="AD346" s="4"/>
      <c r="AF346" s="12"/>
      <c r="AH346" s="12"/>
    </row>
    <row r="347" ht="15.75" customHeight="1">
      <c r="AD347" s="4"/>
      <c r="AF347" s="12"/>
      <c r="AH347" s="12"/>
    </row>
    <row r="348" ht="15.75" customHeight="1">
      <c r="AD348" s="4"/>
      <c r="AF348" s="12"/>
      <c r="AH348" s="12"/>
    </row>
    <row r="349" ht="15.75" customHeight="1">
      <c r="AD349" s="4"/>
      <c r="AF349" s="12"/>
      <c r="AH349" s="12"/>
    </row>
    <row r="350" ht="15.75" customHeight="1">
      <c r="AD350" s="4"/>
      <c r="AF350" s="12"/>
      <c r="AH350" s="12"/>
    </row>
    <row r="351" ht="15.75" customHeight="1">
      <c r="AD351" s="4"/>
      <c r="AF351" s="12"/>
      <c r="AH351" s="12"/>
    </row>
    <row r="352" ht="15.75" customHeight="1">
      <c r="AD352" s="4"/>
      <c r="AF352" s="12"/>
      <c r="AH352" s="12"/>
    </row>
    <row r="353" ht="15.75" customHeight="1">
      <c r="AD353" s="4"/>
      <c r="AF353" s="12"/>
      <c r="AH353" s="12"/>
    </row>
    <row r="354" ht="15.75" customHeight="1">
      <c r="AD354" s="4"/>
      <c r="AF354" s="12"/>
      <c r="AH354" s="12"/>
    </row>
    <row r="355" ht="15.75" customHeight="1">
      <c r="AD355" s="4"/>
      <c r="AF355" s="12"/>
      <c r="AH355" s="12"/>
    </row>
    <row r="356" ht="15.75" customHeight="1">
      <c r="AD356" s="4"/>
      <c r="AF356" s="12"/>
      <c r="AH356" s="12"/>
    </row>
    <row r="357" ht="15.75" customHeight="1">
      <c r="AD357" s="4"/>
      <c r="AF357" s="12"/>
      <c r="AH357" s="12"/>
    </row>
    <row r="358" ht="15.75" customHeight="1">
      <c r="AD358" s="4"/>
      <c r="AF358" s="12"/>
      <c r="AH358" s="12"/>
    </row>
    <row r="359" ht="15.75" customHeight="1">
      <c r="AD359" s="4"/>
      <c r="AF359" s="12"/>
      <c r="AH359" s="12"/>
    </row>
    <row r="360" ht="15.75" customHeight="1">
      <c r="AD360" s="4"/>
      <c r="AF360" s="12"/>
      <c r="AH360" s="12"/>
    </row>
    <row r="361" ht="15.75" customHeight="1">
      <c r="AD361" s="4"/>
      <c r="AF361" s="12"/>
      <c r="AH361" s="12"/>
    </row>
    <row r="362" ht="15.75" customHeight="1">
      <c r="AD362" s="4"/>
      <c r="AF362" s="12"/>
      <c r="AH362" s="12"/>
    </row>
    <row r="363" ht="15.75" customHeight="1">
      <c r="AD363" s="4"/>
      <c r="AF363" s="12"/>
      <c r="AH363" s="12"/>
    </row>
    <row r="364" ht="15.75" customHeight="1">
      <c r="AD364" s="4"/>
      <c r="AF364" s="12"/>
      <c r="AH364" s="12"/>
    </row>
    <row r="365" ht="15.75" customHeight="1">
      <c r="AD365" s="4"/>
      <c r="AF365" s="12"/>
      <c r="AH365" s="12"/>
    </row>
    <row r="366" ht="15.75" customHeight="1">
      <c r="AD366" s="4"/>
      <c r="AF366" s="12"/>
      <c r="AH366" s="12"/>
    </row>
    <row r="367" ht="15.75" customHeight="1">
      <c r="AD367" s="4"/>
      <c r="AF367" s="12"/>
      <c r="AH367" s="12"/>
    </row>
    <row r="368" ht="15.75" customHeight="1">
      <c r="AD368" s="4"/>
      <c r="AF368" s="12"/>
      <c r="AH368" s="12"/>
    </row>
    <row r="369" ht="15.75" customHeight="1">
      <c r="AD369" s="4"/>
      <c r="AF369" s="12"/>
      <c r="AH369" s="12"/>
    </row>
    <row r="370" ht="15.75" customHeight="1">
      <c r="AD370" s="4"/>
      <c r="AF370" s="12"/>
      <c r="AH370" s="12"/>
    </row>
    <row r="371" ht="15.75" customHeight="1">
      <c r="AD371" s="4"/>
      <c r="AF371" s="12"/>
      <c r="AH371" s="12"/>
    </row>
    <row r="372" ht="15.75" customHeight="1">
      <c r="AD372" s="4"/>
      <c r="AF372" s="12"/>
      <c r="AH372" s="12"/>
    </row>
    <row r="373" ht="15.75" customHeight="1">
      <c r="AD373" s="4"/>
      <c r="AF373" s="12"/>
      <c r="AH373" s="12"/>
    </row>
    <row r="374" ht="15.75" customHeight="1">
      <c r="AD374" s="4"/>
      <c r="AF374" s="12"/>
      <c r="AH374" s="12"/>
    </row>
    <row r="375" ht="15.75" customHeight="1">
      <c r="AD375" s="4"/>
      <c r="AF375" s="12"/>
      <c r="AH375" s="12"/>
    </row>
    <row r="376" ht="15.75" customHeight="1">
      <c r="AD376" s="4"/>
      <c r="AF376" s="12"/>
      <c r="AH376" s="12"/>
    </row>
    <row r="377" ht="15.75" customHeight="1">
      <c r="AD377" s="4"/>
      <c r="AF377" s="12"/>
      <c r="AH377" s="12"/>
    </row>
    <row r="378" ht="15.75" customHeight="1">
      <c r="AD378" s="4"/>
      <c r="AF378" s="12"/>
      <c r="AH378" s="12"/>
    </row>
    <row r="379" ht="15.75" customHeight="1">
      <c r="AD379" s="4"/>
      <c r="AF379" s="12"/>
      <c r="AH379" s="12"/>
    </row>
    <row r="380" ht="15.75" customHeight="1">
      <c r="AD380" s="4"/>
      <c r="AF380" s="12"/>
      <c r="AH380" s="12"/>
    </row>
    <row r="381" ht="15.75" customHeight="1">
      <c r="AD381" s="4"/>
      <c r="AF381" s="12"/>
      <c r="AH381" s="12"/>
    </row>
    <row r="382" ht="15.75" customHeight="1">
      <c r="AD382" s="4"/>
      <c r="AF382" s="12"/>
      <c r="AH382" s="12"/>
    </row>
    <row r="383" ht="15.75" customHeight="1">
      <c r="AD383" s="4"/>
      <c r="AF383" s="12"/>
      <c r="AH383" s="12"/>
    </row>
    <row r="384" ht="15.75" customHeight="1">
      <c r="AD384" s="4"/>
      <c r="AF384" s="12"/>
      <c r="AH384" s="12"/>
    </row>
    <row r="385" ht="15.75" customHeight="1">
      <c r="AD385" s="4"/>
      <c r="AF385" s="12"/>
      <c r="AH385" s="12"/>
    </row>
    <row r="386" ht="15.75" customHeight="1">
      <c r="AD386" s="4"/>
      <c r="AF386" s="12"/>
      <c r="AH386" s="12"/>
    </row>
    <row r="387" ht="15.75" customHeight="1">
      <c r="AD387" s="4"/>
      <c r="AF387" s="12"/>
      <c r="AH387" s="12"/>
    </row>
    <row r="388" ht="15.75" customHeight="1">
      <c r="AD388" s="4"/>
      <c r="AF388" s="12"/>
      <c r="AH388" s="12"/>
    </row>
    <row r="389" ht="15.75" customHeight="1">
      <c r="AD389" s="4"/>
      <c r="AF389" s="12"/>
      <c r="AH389" s="12"/>
    </row>
    <row r="390" ht="15.75" customHeight="1">
      <c r="AD390" s="4"/>
      <c r="AF390" s="12"/>
      <c r="AH390" s="12"/>
    </row>
    <row r="391" ht="15.75" customHeight="1">
      <c r="AD391" s="4"/>
      <c r="AF391" s="12"/>
      <c r="AH391" s="12"/>
    </row>
    <row r="392" ht="15.75" customHeight="1">
      <c r="AD392" s="4"/>
      <c r="AF392" s="12"/>
      <c r="AH392" s="12"/>
    </row>
    <row r="393" ht="15.75" customHeight="1">
      <c r="AD393" s="4"/>
      <c r="AF393" s="12"/>
      <c r="AH393" s="12"/>
    </row>
    <row r="394" ht="15.75" customHeight="1">
      <c r="AD394" s="4"/>
      <c r="AF394" s="12"/>
      <c r="AH394" s="12"/>
    </row>
    <row r="395" ht="15.75" customHeight="1">
      <c r="AD395" s="4"/>
      <c r="AF395" s="12"/>
      <c r="AH395" s="12"/>
    </row>
    <row r="396" ht="15.75" customHeight="1">
      <c r="AD396" s="4"/>
      <c r="AF396" s="12"/>
      <c r="AH396" s="12"/>
    </row>
    <row r="397" ht="15.75" customHeight="1">
      <c r="AD397" s="4"/>
      <c r="AF397" s="12"/>
      <c r="AH397" s="12"/>
    </row>
    <row r="398" ht="15.75" customHeight="1">
      <c r="AD398" s="4"/>
      <c r="AF398" s="12"/>
      <c r="AH398" s="12"/>
    </row>
    <row r="399" ht="15.75" customHeight="1">
      <c r="AD399" s="4"/>
      <c r="AF399" s="12"/>
      <c r="AH399" s="12"/>
    </row>
    <row r="400" ht="15.75" customHeight="1">
      <c r="AD400" s="4"/>
      <c r="AF400" s="12"/>
      <c r="AH400" s="12"/>
    </row>
    <row r="401" ht="15.75" customHeight="1">
      <c r="AD401" s="4"/>
      <c r="AF401" s="12"/>
      <c r="AH401" s="12"/>
    </row>
    <row r="402" ht="15.75" customHeight="1">
      <c r="AD402" s="4"/>
      <c r="AF402" s="12"/>
      <c r="AH402" s="12"/>
    </row>
    <row r="403" ht="15.75" customHeight="1">
      <c r="AD403" s="4"/>
      <c r="AF403" s="12"/>
      <c r="AH403" s="12"/>
    </row>
    <row r="404" ht="15.75" customHeight="1">
      <c r="AD404" s="4"/>
      <c r="AF404" s="12"/>
      <c r="AH404" s="12"/>
    </row>
    <row r="405" ht="15.75" customHeight="1">
      <c r="AD405" s="4"/>
      <c r="AF405" s="12"/>
      <c r="AH405" s="12"/>
    </row>
    <row r="406" ht="15.75" customHeight="1">
      <c r="AD406" s="4"/>
      <c r="AF406" s="12"/>
      <c r="AH406" s="12"/>
    </row>
    <row r="407" ht="15.75" customHeight="1">
      <c r="AD407" s="4"/>
      <c r="AF407" s="12"/>
      <c r="AH407" s="12"/>
    </row>
    <row r="408" ht="15.75" customHeight="1">
      <c r="AD408" s="4"/>
      <c r="AF408" s="12"/>
      <c r="AH408" s="12"/>
    </row>
    <row r="409" ht="15.75" customHeight="1">
      <c r="AD409" s="4"/>
      <c r="AF409" s="12"/>
      <c r="AH409" s="12"/>
    </row>
    <row r="410" ht="15.75" customHeight="1">
      <c r="AD410" s="4"/>
      <c r="AF410" s="12"/>
      <c r="AH410" s="12"/>
    </row>
    <row r="411" ht="15.75" customHeight="1">
      <c r="AD411" s="4"/>
      <c r="AF411" s="12"/>
    </row>
    <row r="412" ht="15.75" customHeight="1">
      <c r="AD412" s="4"/>
      <c r="AF412" s="12"/>
    </row>
    <row r="413" ht="15.75" customHeight="1">
      <c r="AD413" s="4"/>
      <c r="AF413" s="12"/>
    </row>
    <row r="414" ht="15.75" customHeight="1">
      <c r="AD414" s="4"/>
      <c r="AF414" s="12"/>
    </row>
    <row r="415" ht="15.75" customHeight="1">
      <c r="AD415" s="4"/>
      <c r="AF415" s="12"/>
    </row>
    <row r="416" ht="15.75" customHeight="1">
      <c r="AD416" s="4"/>
      <c r="AF416" s="12"/>
    </row>
    <row r="417" ht="15.75" customHeight="1">
      <c r="AD417" s="4"/>
      <c r="AF417" s="12"/>
    </row>
    <row r="418" ht="15.75" customHeight="1">
      <c r="AD418" s="4"/>
      <c r="AF418" s="12"/>
    </row>
    <row r="419" ht="15.75" customHeight="1">
      <c r="AD419" s="4"/>
      <c r="AF419" s="12"/>
    </row>
    <row r="420" ht="15.75" customHeight="1">
      <c r="AD420" s="4"/>
      <c r="AF420" s="12"/>
    </row>
    <row r="421" ht="15.75" customHeight="1">
      <c r="AD421" s="4"/>
      <c r="AF421" s="12"/>
    </row>
    <row r="422" ht="15.75" customHeight="1">
      <c r="AD422" s="4"/>
      <c r="AF422" s="12"/>
    </row>
    <row r="423" ht="15.75" customHeight="1">
      <c r="AD423" s="4"/>
      <c r="AF423" s="12"/>
    </row>
    <row r="424" ht="15.75" customHeight="1">
      <c r="AD424" s="4"/>
      <c r="AF424" s="12"/>
    </row>
    <row r="425" ht="15.75" customHeight="1">
      <c r="AD425" s="4"/>
      <c r="AF425" s="12"/>
    </row>
    <row r="426" ht="15.75" customHeight="1">
      <c r="AD426" s="4"/>
      <c r="AF426" s="12"/>
    </row>
    <row r="427" ht="15.75" customHeight="1">
      <c r="AD427" s="4"/>
      <c r="AF427" s="12"/>
    </row>
    <row r="428" ht="15.75" customHeight="1">
      <c r="AD428" s="4"/>
      <c r="AF428" s="12"/>
    </row>
    <row r="429" ht="15.75" customHeight="1">
      <c r="AD429" s="4"/>
      <c r="AF429" s="12"/>
    </row>
    <row r="430" ht="15.75" customHeight="1">
      <c r="AD430" s="4"/>
      <c r="AF430" s="12"/>
    </row>
    <row r="431" ht="15.75" customHeight="1">
      <c r="AD431" s="4"/>
      <c r="AF431" s="12"/>
    </row>
    <row r="432" ht="15.75" customHeight="1">
      <c r="AD432" s="4"/>
      <c r="AF432" s="12"/>
    </row>
    <row r="433" ht="15.75" customHeight="1">
      <c r="AD433" s="4"/>
      <c r="AF433" s="12"/>
    </row>
    <row r="434" ht="15.75" customHeight="1">
      <c r="AD434" s="4"/>
      <c r="AF434" s="12"/>
    </row>
    <row r="435" ht="15.75" customHeight="1">
      <c r="AD435" s="4"/>
      <c r="AF435" s="12"/>
    </row>
    <row r="436" ht="15.75" customHeight="1">
      <c r="AD436" s="4"/>
      <c r="AF436" s="12"/>
    </row>
    <row r="437" ht="15.75" customHeight="1">
      <c r="AD437" s="4"/>
      <c r="AF437" s="12"/>
    </row>
    <row r="438" ht="15.75" customHeight="1">
      <c r="AD438" s="4"/>
      <c r="AF438" s="12"/>
    </row>
    <row r="439" ht="15.75" customHeight="1">
      <c r="AD439" s="4"/>
      <c r="AF439" s="12"/>
    </row>
    <row r="440" ht="15.75" customHeight="1">
      <c r="AD440" s="4"/>
      <c r="AF440" s="12"/>
    </row>
    <row r="441" ht="15.75" customHeight="1">
      <c r="AD441" s="4"/>
      <c r="AF441" s="12"/>
    </row>
    <row r="442" ht="15.75" customHeight="1">
      <c r="AD442" s="4"/>
      <c r="AF442" s="12"/>
    </row>
    <row r="443" ht="15.75" customHeight="1">
      <c r="AD443" s="4"/>
      <c r="AF443" s="12"/>
    </row>
    <row r="444" ht="15.75" customHeight="1">
      <c r="AD444" s="4"/>
      <c r="AF444" s="12"/>
    </row>
    <row r="445" ht="15.75" customHeight="1">
      <c r="AD445" s="4"/>
      <c r="AF445" s="12"/>
    </row>
    <row r="446" ht="15.75" customHeight="1">
      <c r="AD446" s="4"/>
      <c r="AF446" s="12"/>
    </row>
    <row r="447" ht="15.75" customHeight="1">
      <c r="AD447" s="4"/>
      <c r="AF447" s="12"/>
    </row>
    <row r="448" ht="15.75" customHeight="1">
      <c r="AD448" s="4"/>
      <c r="AF448" s="12"/>
    </row>
    <row r="449" ht="15.75" customHeight="1">
      <c r="AD449" s="4"/>
      <c r="AF449" s="12"/>
    </row>
    <row r="450" ht="15.75" customHeight="1">
      <c r="AD450" s="4"/>
      <c r="AF450" s="12"/>
    </row>
    <row r="451" ht="15.75" customHeight="1">
      <c r="AD451" s="4"/>
      <c r="AF451" s="12"/>
    </row>
    <row r="452" ht="15.75" customHeight="1">
      <c r="AD452" s="4"/>
      <c r="AF452" s="12"/>
    </row>
    <row r="453" ht="15.75" customHeight="1">
      <c r="AD453" s="4"/>
      <c r="AF453" s="12"/>
    </row>
    <row r="454" ht="15.75" customHeight="1">
      <c r="AD454" s="4"/>
      <c r="AF454" s="12"/>
    </row>
    <row r="455" ht="15.75" customHeight="1">
      <c r="AD455" s="4"/>
      <c r="AF455" s="12"/>
    </row>
    <row r="456" ht="15.75" customHeight="1">
      <c r="AD456" s="4"/>
      <c r="AF456" s="12"/>
    </row>
    <row r="457" ht="15.75" customHeight="1">
      <c r="AD457" s="4"/>
      <c r="AF457" s="12"/>
    </row>
    <row r="458" ht="15.75" customHeight="1">
      <c r="AD458" s="4"/>
      <c r="AF458" s="12"/>
    </row>
    <row r="459" ht="15.75" customHeight="1">
      <c r="AD459" s="4"/>
      <c r="AF459" s="12"/>
    </row>
    <row r="460" ht="15.75" customHeight="1">
      <c r="AD460" s="4"/>
      <c r="AF460" s="12"/>
    </row>
    <row r="461" ht="15.75" customHeight="1">
      <c r="AD461" s="4"/>
      <c r="AF461" s="12"/>
    </row>
    <row r="462" ht="15.75" customHeight="1">
      <c r="AD462" s="4"/>
      <c r="AF462" s="12"/>
    </row>
    <row r="463" ht="15.75" customHeight="1">
      <c r="AD463" s="4"/>
      <c r="AF463" s="12"/>
    </row>
    <row r="464" ht="15.75" customHeight="1">
      <c r="AD464" s="4"/>
      <c r="AF464" s="12"/>
    </row>
    <row r="465" ht="15.75" customHeight="1">
      <c r="AD465" s="4"/>
      <c r="AF465" s="12"/>
    </row>
    <row r="466" ht="15.75" customHeight="1">
      <c r="AD466" s="4"/>
      <c r="AF466" s="12"/>
    </row>
    <row r="467" ht="15.75" customHeight="1">
      <c r="AD467" s="4"/>
      <c r="AF467" s="12"/>
    </row>
    <row r="468" ht="15.75" customHeight="1">
      <c r="AD468" s="4"/>
      <c r="AF468" s="12"/>
    </row>
    <row r="469" ht="15.75" customHeight="1">
      <c r="AD469" s="4"/>
      <c r="AF469" s="12"/>
    </row>
    <row r="470" ht="15.75" customHeight="1">
      <c r="AD470" s="4"/>
      <c r="AF470" s="12"/>
    </row>
    <row r="471" ht="15.75" customHeight="1">
      <c r="AD471" s="4"/>
      <c r="AF471" s="12"/>
    </row>
    <row r="472" ht="15.75" customHeight="1">
      <c r="AD472" s="4"/>
      <c r="AF472" s="12"/>
    </row>
    <row r="473" ht="15.75" customHeight="1">
      <c r="AD473" s="4"/>
      <c r="AF473" s="12"/>
    </row>
    <row r="474" ht="15.75" customHeight="1">
      <c r="AD474" s="4"/>
      <c r="AF474" s="12"/>
    </row>
    <row r="475" ht="15.75" customHeight="1">
      <c r="AD475" s="4"/>
      <c r="AF475" s="12"/>
    </row>
    <row r="476" ht="15.75" customHeight="1">
      <c r="AD476" s="4"/>
      <c r="AF476" s="12"/>
    </row>
    <row r="477" ht="15.75" customHeight="1">
      <c r="AD477" s="4"/>
      <c r="AF477" s="12"/>
    </row>
    <row r="478" ht="15.75" customHeight="1">
      <c r="AD478" s="4"/>
      <c r="AF478" s="12"/>
    </row>
    <row r="479" ht="15.75" customHeight="1">
      <c r="AD479" s="4"/>
      <c r="AF479" s="12"/>
    </row>
    <row r="480" ht="15.75" customHeight="1">
      <c r="AD480" s="4"/>
      <c r="AF480" s="12"/>
    </row>
    <row r="481" ht="15.75" customHeight="1">
      <c r="AD481" s="4"/>
      <c r="AF481" s="12"/>
    </row>
    <row r="482" ht="15.75" customHeight="1">
      <c r="AD482" s="4"/>
      <c r="AF482" s="12"/>
    </row>
    <row r="483" ht="15.75" customHeight="1">
      <c r="AD483" s="4"/>
      <c r="AF483" s="12"/>
    </row>
    <row r="484" ht="15.75" customHeight="1">
      <c r="AD484" s="4"/>
      <c r="AF484" s="12"/>
    </row>
    <row r="485" ht="15.75" customHeight="1">
      <c r="AD485" s="4"/>
      <c r="AF485" s="12"/>
    </row>
    <row r="486" ht="15.75" customHeight="1">
      <c r="AD486" s="4"/>
      <c r="AF486" s="12"/>
    </row>
    <row r="487" ht="15.75" customHeight="1">
      <c r="AD487" s="4"/>
      <c r="AF487" s="12"/>
    </row>
    <row r="488" ht="15.75" customHeight="1">
      <c r="AD488" s="4"/>
      <c r="AF488" s="12"/>
    </row>
    <row r="489" ht="15.75" customHeight="1">
      <c r="AD489" s="4"/>
      <c r="AF489" s="12"/>
    </row>
    <row r="490" ht="15.75" customHeight="1">
      <c r="AD490" s="4"/>
      <c r="AF490" s="12"/>
    </row>
    <row r="491" ht="15.75" customHeight="1">
      <c r="AD491" s="4"/>
      <c r="AF491" s="12"/>
    </row>
    <row r="492" ht="15.75" customHeight="1">
      <c r="AD492" s="4"/>
      <c r="AF492" s="12"/>
    </row>
    <row r="493" ht="15.75" customHeight="1">
      <c r="AD493" s="4"/>
      <c r="AF493" s="12"/>
    </row>
    <row r="494" ht="15.75" customHeight="1">
      <c r="AD494" s="4"/>
      <c r="AF494" s="12"/>
    </row>
    <row r="495" ht="15.75" customHeight="1">
      <c r="AD495" s="4"/>
      <c r="AF495" s="12"/>
    </row>
    <row r="496" ht="15.75" customHeight="1">
      <c r="AD496" s="4"/>
      <c r="AF496" s="12"/>
    </row>
    <row r="497" ht="15.75" customHeight="1">
      <c r="AD497" s="4"/>
      <c r="AF497" s="12"/>
    </row>
    <row r="498" ht="15.75" customHeight="1">
      <c r="AD498" s="4"/>
      <c r="AF498" s="12"/>
    </row>
    <row r="499" ht="15.75" customHeight="1">
      <c r="AD499" s="4"/>
      <c r="AF499" s="12"/>
    </row>
    <row r="500" ht="15.75" customHeight="1">
      <c r="AD500" s="4"/>
      <c r="AF500" s="12"/>
    </row>
    <row r="501" ht="15.75" customHeight="1">
      <c r="AD501" s="4"/>
      <c r="AF501" s="12"/>
    </row>
    <row r="502" ht="15.75" customHeight="1">
      <c r="AD502" s="4"/>
      <c r="AF502" s="12"/>
    </row>
    <row r="503" ht="15.75" customHeight="1">
      <c r="AD503" s="4"/>
      <c r="AF503" s="12"/>
    </row>
    <row r="504" ht="15.75" customHeight="1">
      <c r="AD504" s="4"/>
      <c r="AF504" s="12"/>
    </row>
    <row r="505" ht="15.75" customHeight="1">
      <c r="AD505" s="4"/>
      <c r="AF505" s="12"/>
    </row>
    <row r="506" ht="15.75" customHeight="1">
      <c r="AD506" s="4"/>
      <c r="AF506" s="12"/>
    </row>
    <row r="507" ht="15.75" customHeight="1">
      <c r="AD507" s="4"/>
      <c r="AF507" s="12"/>
    </row>
    <row r="508" ht="15.75" customHeight="1">
      <c r="AD508" s="4"/>
      <c r="AF508" s="12"/>
    </row>
    <row r="509" ht="15.75" customHeight="1">
      <c r="AD509" s="4"/>
      <c r="AF509" s="12"/>
    </row>
    <row r="510" ht="15.75" customHeight="1">
      <c r="AD510" s="4"/>
      <c r="AF510" s="12"/>
    </row>
    <row r="511" ht="15.75" customHeight="1">
      <c r="AD511" s="4"/>
      <c r="AF511" s="12"/>
    </row>
    <row r="512" ht="15.75" customHeight="1">
      <c r="AD512" s="4"/>
      <c r="AF512" s="12"/>
    </row>
    <row r="513" ht="15.75" customHeight="1">
      <c r="AD513" s="4"/>
      <c r="AF513" s="12"/>
    </row>
    <row r="514" ht="15.75" customHeight="1">
      <c r="AD514" s="4"/>
      <c r="AF514" s="12"/>
    </row>
    <row r="515" ht="15.75" customHeight="1">
      <c r="AD515" s="4"/>
      <c r="AF515" s="12"/>
    </row>
    <row r="516" ht="15.75" customHeight="1">
      <c r="AD516" s="4"/>
      <c r="AF516" s="12"/>
    </row>
    <row r="517" ht="15.75" customHeight="1">
      <c r="AD517" s="4"/>
      <c r="AF517" s="12"/>
    </row>
    <row r="518" ht="15.75" customHeight="1">
      <c r="AD518" s="4"/>
      <c r="AF518" s="12"/>
    </row>
    <row r="519" ht="15.75" customHeight="1">
      <c r="AD519" s="4"/>
      <c r="AF519" s="12"/>
    </row>
    <row r="520" ht="15.75" customHeight="1">
      <c r="AD520" s="4"/>
      <c r="AF520" s="12"/>
    </row>
    <row r="521" ht="15.75" customHeight="1">
      <c r="AD521" s="4"/>
      <c r="AF521" s="12"/>
    </row>
    <row r="522" ht="15.75" customHeight="1">
      <c r="AD522" s="4"/>
      <c r="AF522" s="12"/>
    </row>
    <row r="523" ht="15.75" customHeight="1">
      <c r="AD523" s="4"/>
      <c r="AF523" s="12"/>
    </row>
    <row r="524" ht="15.75" customHeight="1">
      <c r="AD524" s="4"/>
      <c r="AF524" s="12"/>
    </row>
    <row r="525" ht="15.75" customHeight="1">
      <c r="AD525" s="4"/>
      <c r="AF525" s="12"/>
    </row>
    <row r="526" ht="15.75" customHeight="1">
      <c r="AD526" s="4"/>
      <c r="AF526" s="12"/>
    </row>
    <row r="527" ht="15.75" customHeight="1">
      <c r="AD527" s="4"/>
      <c r="AF527" s="12"/>
    </row>
    <row r="528" ht="15.75" customHeight="1">
      <c r="AD528" s="4"/>
      <c r="AF528" s="12"/>
    </row>
    <row r="529" ht="15.75" customHeight="1">
      <c r="AD529" s="4"/>
      <c r="AF529" s="12"/>
    </row>
    <row r="530" ht="15.75" customHeight="1">
      <c r="AD530" s="4"/>
      <c r="AF530" s="12"/>
    </row>
    <row r="531" ht="15.75" customHeight="1">
      <c r="AD531" s="4"/>
      <c r="AF531" s="12"/>
    </row>
    <row r="532" ht="15.75" customHeight="1">
      <c r="AD532" s="4"/>
      <c r="AF532" s="12"/>
    </row>
    <row r="533" ht="15.75" customHeight="1">
      <c r="AD533" s="4"/>
      <c r="AF533" s="12"/>
    </row>
    <row r="534" ht="15.75" customHeight="1">
      <c r="AD534" s="4"/>
      <c r="AF534" s="12"/>
    </row>
    <row r="535" ht="15.75" customHeight="1">
      <c r="AD535" s="4"/>
      <c r="AF535" s="12"/>
    </row>
    <row r="536" ht="15.75" customHeight="1">
      <c r="AD536" s="4"/>
      <c r="AF536" s="12"/>
    </row>
    <row r="537" ht="15.75" customHeight="1">
      <c r="AD537" s="4"/>
      <c r="AF537" s="12"/>
    </row>
    <row r="538" ht="15.75" customHeight="1">
      <c r="AD538" s="4"/>
      <c r="AF538" s="12"/>
    </row>
    <row r="539" ht="15.75" customHeight="1">
      <c r="AD539" s="4"/>
      <c r="AF539" s="12"/>
    </row>
    <row r="540" ht="15.75" customHeight="1">
      <c r="AD540" s="4"/>
      <c r="AF540" s="12"/>
    </row>
    <row r="541" ht="15.75" customHeight="1">
      <c r="AD541" s="4"/>
      <c r="AF541" s="12"/>
    </row>
    <row r="542" ht="15.75" customHeight="1">
      <c r="AD542" s="4"/>
      <c r="AF542" s="12"/>
    </row>
    <row r="543" ht="15.75" customHeight="1">
      <c r="AD543" s="4"/>
      <c r="AF543" s="12"/>
    </row>
    <row r="544" ht="15.75" customHeight="1">
      <c r="AD544" s="4"/>
      <c r="AF544" s="12"/>
    </row>
    <row r="545" ht="15.75" customHeight="1">
      <c r="AD545" s="4"/>
      <c r="AF545" s="12"/>
    </row>
    <row r="546" ht="15.75" customHeight="1">
      <c r="AD546" s="4"/>
      <c r="AF546" s="12"/>
    </row>
    <row r="547" ht="15.75" customHeight="1">
      <c r="AD547" s="4"/>
    </row>
    <row r="548" ht="15.75" customHeight="1">
      <c r="AD548" s="4"/>
    </row>
    <row r="549" ht="15.75" customHeight="1">
      <c r="AD549" s="4"/>
    </row>
    <row r="550" ht="15.75" customHeight="1">
      <c r="AD550" s="4"/>
    </row>
    <row r="551" ht="15.75" customHeight="1">
      <c r="AD551" s="4"/>
    </row>
    <row r="552" ht="15.75" customHeight="1">
      <c r="AD552" s="4"/>
    </row>
    <row r="553" ht="15.75" customHeight="1">
      <c r="AD553" s="4"/>
    </row>
    <row r="554" ht="15.75" customHeight="1">
      <c r="AD554" s="4"/>
    </row>
    <row r="555" ht="15.75" customHeight="1">
      <c r="AD555" s="4"/>
    </row>
    <row r="556" ht="15.75" customHeight="1">
      <c r="AD556" s="4"/>
    </row>
    <row r="557" ht="15.75" customHeight="1">
      <c r="AD557" s="4"/>
    </row>
    <row r="558" ht="15.75" customHeight="1">
      <c r="AD558" s="4"/>
    </row>
    <row r="559" ht="15.75" customHeight="1">
      <c r="AD559" s="4"/>
    </row>
    <row r="560" ht="15.75" customHeight="1">
      <c r="AD560" s="4"/>
    </row>
    <row r="561" ht="15.75" customHeight="1">
      <c r="AD561" s="4"/>
    </row>
    <row r="562" ht="15.75" customHeight="1">
      <c r="AD562" s="4"/>
    </row>
    <row r="563" ht="15.75" customHeight="1">
      <c r="AD563" s="4"/>
    </row>
    <row r="564" ht="15.75" customHeight="1">
      <c r="AD564" s="4"/>
    </row>
    <row r="565" ht="15.75" customHeight="1">
      <c r="AD565" s="4"/>
    </row>
    <row r="566" ht="15.75" customHeight="1">
      <c r="AD566" s="4"/>
    </row>
    <row r="567" ht="15.75" customHeight="1">
      <c r="AD567" s="4"/>
    </row>
    <row r="568" ht="15.75" customHeight="1">
      <c r="AD568" s="4"/>
    </row>
    <row r="569" ht="15.75" customHeight="1">
      <c r="AD569" s="4"/>
    </row>
    <row r="570" ht="15.75" customHeight="1">
      <c r="AD570" s="4"/>
    </row>
    <row r="571" ht="15.75" customHeight="1">
      <c r="AD571" s="4"/>
    </row>
    <row r="572" ht="15.75" customHeight="1">
      <c r="AD572" s="4"/>
    </row>
    <row r="573" ht="15.75" customHeight="1">
      <c r="AD573" s="4"/>
    </row>
    <row r="574" ht="15.75" customHeight="1">
      <c r="AD574" s="4"/>
    </row>
    <row r="575" ht="15.75" customHeight="1">
      <c r="AD575" s="4"/>
    </row>
    <row r="576" ht="15.75" customHeight="1">
      <c r="AD576" s="4"/>
    </row>
    <row r="577" ht="15.75" customHeight="1">
      <c r="AD577" s="4"/>
    </row>
    <row r="578" ht="15.75" customHeight="1">
      <c r="AD578" s="4"/>
    </row>
    <row r="579" ht="15.75" customHeight="1">
      <c r="AD579" s="4"/>
    </row>
    <row r="580" ht="15.75" customHeight="1">
      <c r="AD580" s="4"/>
    </row>
    <row r="581" ht="15.75" customHeight="1">
      <c r="AD581" s="4"/>
    </row>
    <row r="582" ht="15.75" customHeight="1">
      <c r="AD582" s="4"/>
    </row>
    <row r="583" ht="15.75" customHeight="1">
      <c r="AD583" s="4"/>
    </row>
    <row r="584" ht="15.75" customHeight="1">
      <c r="AD584" s="4"/>
    </row>
    <row r="585" ht="15.75" customHeight="1">
      <c r="AD585" s="4"/>
    </row>
    <row r="586" ht="15.75" customHeight="1">
      <c r="AD586" s="4"/>
    </row>
    <row r="587" ht="15.75" customHeight="1">
      <c r="AD587" s="4"/>
    </row>
    <row r="588" ht="15.75" customHeight="1">
      <c r="AD588" s="4"/>
    </row>
    <row r="589" ht="15.75" customHeight="1">
      <c r="AD589" s="4"/>
    </row>
    <row r="590" ht="15.75" customHeight="1">
      <c r="AD590" s="4"/>
    </row>
    <row r="591" ht="15.75" customHeight="1">
      <c r="AD591" s="4"/>
    </row>
    <row r="592" ht="15.75" customHeight="1">
      <c r="AD592" s="4"/>
    </row>
    <row r="593" ht="15.75" customHeight="1">
      <c r="AD593" s="4"/>
    </row>
    <row r="594" ht="15.75" customHeight="1">
      <c r="AD594" s="4"/>
    </row>
    <row r="595" ht="15.75" customHeight="1">
      <c r="AD595" s="4"/>
    </row>
    <row r="596" ht="15.75" customHeight="1">
      <c r="AD596" s="4"/>
    </row>
    <row r="597" ht="15.75" customHeight="1">
      <c r="AD597" s="4"/>
    </row>
    <row r="598" ht="15.75" customHeight="1">
      <c r="AD598" s="4"/>
    </row>
    <row r="599" ht="15.75" customHeight="1">
      <c r="AD599" s="4"/>
    </row>
    <row r="600" ht="15.75" customHeight="1">
      <c r="AD600" s="4"/>
    </row>
    <row r="601" ht="15.75" customHeight="1">
      <c r="AD601" s="4"/>
    </row>
    <row r="602" ht="15.75" customHeight="1">
      <c r="AD602" s="4"/>
    </row>
    <row r="603" ht="15.75" customHeight="1">
      <c r="AD603" s="4"/>
    </row>
    <row r="604" ht="15.75" customHeight="1">
      <c r="AD604" s="4"/>
    </row>
    <row r="605" ht="15.75" customHeight="1">
      <c r="AD605" s="4"/>
    </row>
    <row r="606" ht="15.75" customHeight="1">
      <c r="AD606" s="4"/>
    </row>
    <row r="607" ht="15.75" customHeight="1">
      <c r="AD607" s="4"/>
    </row>
    <row r="608" ht="15.75" customHeight="1">
      <c r="AD608" s="4"/>
    </row>
    <row r="609" ht="15.75" customHeight="1">
      <c r="AD609" s="4"/>
    </row>
    <row r="610" ht="15.75" customHeight="1">
      <c r="AD610" s="4"/>
    </row>
    <row r="611" ht="15.75" customHeight="1">
      <c r="AD611" s="4"/>
    </row>
    <row r="612" ht="15.75" customHeight="1">
      <c r="AD612" s="4"/>
    </row>
    <row r="613" ht="15.75" customHeight="1">
      <c r="AD613" s="4"/>
    </row>
    <row r="614" ht="15.75" customHeight="1">
      <c r="AD614" s="4"/>
    </row>
    <row r="615" ht="15.75" customHeight="1">
      <c r="AD615" s="4"/>
    </row>
    <row r="616" ht="15.75" customHeight="1">
      <c r="AD616" s="4"/>
    </row>
    <row r="617" ht="15.75" customHeight="1">
      <c r="AD617" s="4"/>
    </row>
    <row r="618" ht="15.75" customHeight="1">
      <c r="AD618" s="4"/>
    </row>
    <row r="619" ht="15.75" customHeight="1">
      <c r="AD619" s="4"/>
    </row>
    <row r="620" ht="15.75" customHeight="1">
      <c r="AD620" s="4"/>
    </row>
    <row r="621" ht="15.75" customHeight="1">
      <c r="AD621" s="4"/>
    </row>
    <row r="622" ht="15.75" customHeight="1">
      <c r="AD622" s="4"/>
    </row>
    <row r="623" ht="15.75" customHeight="1">
      <c r="AD623" s="4"/>
    </row>
    <row r="624" ht="15.75" customHeight="1">
      <c r="AD624" s="4"/>
    </row>
    <row r="625" ht="15.75" customHeight="1">
      <c r="AD625" s="4"/>
    </row>
    <row r="626" ht="15.75" customHeight="1">
      <c r="AD626" s="4"/>
    </row>
    <row r="627" ht="15.75" customHeight="1">
      <c r="AD627" s="4"/>
    </row>
    <row r="628" ht="15.75" customHeight="1">
      <c r="AD628" s="4"/>
    </row>
    <row r="629" ht="15.75" customHeight="1">
      <c r="AD629" s="4"/>
    </row>
    <row r="630" ht="15.75" customHeight="1">
      <c r="AD630" s="4"/>
    </row>
    <row r="631" ht="15.75" customHeight="1">
      <c r="AD631" s="4"/>
    </row>
    <row r="632" ht="15.75" customHeight="1">
      <c r="AD632" s="4"/>
    </row>
    <row r="633" ht="15.75" customHeight="1">
      <c r="AD633" s="4"/>
    </row>
    <row r="634" ht="15.75" customHeight="1">
      <c r="AD634" s="4"/>
    </row>
    <row r="635" ht="15.75" customHeight="1">
      <c r="AD635" s="4"/>
    </row>
    <row r="636" ht="15.75" customHeight="1">
      <c r="AD636" s="4"/>
    </row>
    <row r="637" ht="15.75" customHeight="1">
      <c r="AD637" s="4"/>
    </row>
    <row r="638" ht="15.75" customHeight="1">
      <c r="AD638" s="4"/>
    </row>
    <row r="639" ht="15.75" customHeight="1">
      <c r="AD639" s="4"/>
    </row>
    <row r="640" ht="15.75" customHeight="1">
      <c r="AD640" s="4"/>
    </row>
    <row r="641" ht="15.75" customHeight="1">
      <c r="AD641" s="4"/>
    </row>
    <row r="642" ht="15.75" customHeight="1">
      <c r="AD642" s="4"/>
    </row>
    <row r="643" ht="15.75" customHeight="1">
      <c r="AD643" s="4"/>
    </row>
    <row r="644" ht="15.75" customHeight="1">
      <c r="AD644" s="4"/>
    </row>
    <row r="645" ht="15.75" customHeight="1">
      <c r="AD645" s="4"/>
    </row>
    <row r="646" ht="15.75" customHeight="1">
      <c r="AD646" s="4"/>
    </row>
    <row r="647" ht="15.75" customHeight="1">
      <c r="AD647" s="4"/>
    </row>
    <row r="648" ht="15.75" customHeight="1">
      <c r="AD648" s="4"/>
    </row>
    <row r="649" ht="15.75" customHeight="1">
      <c r="AD649" s="4"/>
    </row>
    <row r="650" ht="15.75" customHeight="1">
      <c r="AD650" s="4"/>
    </row>
    <row r="651" ht="15.75" customHeight="1">
      <c r="AD651" s="4"/>
    </row>
    <row r="652" ht="15.75" customHeight="1">
      <c r="AD652" s="4"/>
    </row>
    <row r="653" ht="15.75" customHeight="1">
      <c r="AD653" s="4"/>
    </row>
    <row r="654" ht="15.75" customHeight="1">
      <c r="AD654" s="4"/>
    </row>
    <row r="655" ht="15.75" customHeight="1">
      <c r="AD655" s="4"/>
    </row>
    <row r="656" ht="15.75" customHeight="1">
      <c r="AD656" s="4"/>
    </row>
    <row r="657" ht="15.75" customHeight="1">
      <c r="AD657" s="4"/>
    </row>
    <row r="658" ht="15.75" customHeight="1">
      <c r="AD658" s="4"/>
    </row>
    <row r="659" ht="15.75" customHeight="1">
      <c r="AD659" s="4"/>
    </row>
    <row r="660" ht="15.75" customHeight="1">
      <c r="AD660" s="4"/>
    </row>
    <row r="661" ht="15.75" customHeight="1">
      <c r="AD661" s="4"/>
    </row>
    <row r="662" ht="15.75" customHeight="1">
      <c r="AD662" s="4"/>
    </row>
    <row r="663" ht="15.75" customHeight="1">
      <c r="AD663" s="4"/>
    </row>
    <row r="664" ht="15.75" customHeight="1">
      <c r="AD664" s="4"/>
    </row>
    <row r="665" ht="15.75" customHeight="1">
      <c r="AD665" s="4"/>
    </row>
    <row r="666" ht="15.75" customHeight="1">
      <c r="AD666" s="4"/>
    </row>
    <row r="667" ht="15.75" customHeight="1">
      <c r="AD667" s="4"/>
    </row>
    <row r="668" ht="15.75" customHeight="1">
      <c r="AD668" s="4"/>
    </row>
    <row r="669" ht="15.75" customHeight="1">
      <c r="AD669" s="4"/>
    </row>
    <row r="670" ht="15.75" customHeight="1">
      <c r="AD670" s="4"/>
    </row>
    <row r="671" ht="15.75" customHeight="1">
      <c r="AD671" s="4"/>
    </row>
    <row r="672" ht="15.75" customHeight="1">
      <c r="AD672" s="4"/>
    </row>
    <row r="673" ht="15.75" customHeight="1">
      <c r="AD673" s="4"/>
    </row>
    <row r="674" ht="15.75" customHeight="1">
      <c r="AD674" s="4"/>
    </row>
    <row r="675" ht="15.75" customHeight="1">
      <c r="AD675" s="4"/>
    </row>
    <row r="676" ht="15.75" customHeight="1">
      <c r="AD676" s="4"/>
    </row>
    <row r="677" ht="15.75" customHeight="1">
      <c r="AD677" s="4"/>
    </row>
    <row r="678" ht="15.75" customHeight="1">
      <c r="AD678" s="4"/>
    </row>
    <row r="679" ht="15.75" customHeight="1">
      <c r="AD679" s="4"/>
    </row>
    <row r="680" ht="15.75" customHeight="1">
      <c r="AD680" s="4"/>
    </row>
    <row r="681" ht="15.75" customHeight="1">
      <c r="AD681" s="4"/>
    </row>
    <row r="682" ht="15.75" customHeight="1">
      <c r="AD682" s="4"/>
    </row>
    <row r="683" ht="15.75" customHeight="1">
      <c r="AD683" s="4"/>
    </row>
    <row r="684" ht="15.75" customHeight="1">
      <c r="AD684" s="4"/>
    </row>
    <row r="685" ht="15.75" customHeight="1">
      <c r="AD685" s="4"/>
    </row>
    <row r="686" ht="15.75" customHeight="1">
      <c r="AD686" s="4"/>
    </row>
    <row r="687" ht="15.75" customHeight="1">
      <c r="AD687" s="4"/>
    </row>
    <row r="688" ht="15.75" customHeight="1">
      <c r="AD688" s="4"/>
    </row>
    <row r="689" ht="15.75" customHeight="1">
      <c r="AD689" s="4"/>
    </row>
    <row r="690" ht="15.75" customHeight="1">
      <c r="AD690" s="4"/>
    </row>
    <row r="691" ht="15.75" customHeight="1">
      <c r="AD691" s="4"/>
    </row>
    <row r="692" ht="15.75" customHeight="1">
      <c r="AD692" s="4"/>
    </row>
    <row r="693" ht="15.75" customHeight="1">
      <c r="AD693" s="4"/>
    </row>
    <row r="694" ht="15.75" customHeight="1">
      <c r="AD694" s="4"/>
    </row>
    <row r="695" ht="15.75" customHeight="1">
      <c r="AD695" s="4"/>
    </row>
    <row r="696" ht="15.75" customHeight="1">
      <c r="AD696" s="4"/>
    </row>
    <row r="697" ht="15.75" customHeight="1">
      <c r="AD697" s="4"/>
    </row>
    <row r="698" ht="15.75" customHeight="1">
      <c r="AD698" s="4"/>
    </row>
    <row r="699" ht="15.75" customHeight="1">
      <c r="AD699" s="4"/>
    </row>
    <row r="700" ht="15.75" customHeight="1">
      <c r="AD700" s="4"/>
    </row>
    <row r="701" ht="15.75" customHeight="1">
      <c r="AD701" s="4"/>
    </row>
    <row r="702" ht="15.75" customHeight="1">
      <c r="AD702" s="4"/>
    </row>
    <row r="703" ht="15.75" customHeight="1">
      <c r="AD703" s="4"/>
    </row>
    <row r="704" ht="15.75" customHeight="1">
      <c r="AD704" s="4"/>
    </row>
    <row r="705" ht="15.75" customHeight="1">
      <c r="AD705" s="4"/>
    </row>
    <row r="706" ht="15.75" customHeight="1">
      <c r="AD706" s="4"/>
    </row>
    <row r="707" ht="15.75" customHeight="1">
      <c r="AD707" s="4"/>
    </row>
    <row r="708" ht="15.75" customHeight="1">
      <c r="AD708" s="4"/>
    </row>
    <row r="709" ht="15.75" customHeight="1">
      <c r="AD709" s="4"/>
    </row>
    <row r="710" ht="15.75" customHeight="1">
      <c r="AD710" s="4"/>
    </row>
    <row r="711" ht="15.75" customHeight="1">
      <c r="AD711" s="4"/>
    </row>
    <row r="712" ht="15.75" customHeight="1">
      <c r="AD712" s="4"/>
    </row>
    <row r="713" ht="15.75" customHeight="1">
      <c r="AD713" s="4"/>
    </row>
    <row r="714" ht="15.75" customHeight="1">
      <c r="AD714" s="4"/>
    </row>
    <row r="715" ht="15.75" customHeight="1">
      <c r="AD715" s="4"/>
    </row>
    <row r="716" ht="15.75" customHeight="1">
      <c r="AD716" s="4"/>
    </row>
    <row r="717" ht="15.75" customHeight="1">
      <c r="AD717" s="4"/>
    </row>
    <row r="718" ht="15.75" customHeight="1">
      <c r="AD718" s="4"/>
    </row>
    <row r="719" ht="15.75" customHeight="1">
      <c r="AD719" s="4"/>
    </row>
    <row r="720" ht="15.75" customHeight="1">
      <c r="AD720" s="4"/>
    </row>
    <row r="721" ht="15.75" customHeight="1">
      <c r="AD721" s="4"/>
    </row>
    <row r="722" ht="15.75" customHeight="1">
      <c r="AD722" s="4"/>
    </row>
    <row r="723" ht="15.75" customHeight="1">
      <c r="AD723" s="4"/>
    </row>
    <row r="724" ht="15.75" customHeight="1">
      <c r="AD724" s="4"/>
    </row>
    <row r="725" ht="15.75" customHeight="1">
      <c r="AD725" s="4"/>
    </row>
    <row r="726" ht="15.75" customHeight="1">
      <c r="AD726" s="4"/>
    </row>
    <row r="727" ht="15.75" customHeight="1">
      <c r="AD727" s="4"/>
    </row>
    <row r="728" ht="15.75" customHeight="1">
      <c r="AD728" s="4"/>
    </row>
    <row r="729" ht="15.75" customHeight="1">
      <c r="AD729" s="4"/>
    </row>
    <row r="730" ht="15.75" customHeight="1">
      <c r="AD730" s="4"/>
    </row>
    <row r="731" ht="15.75" customHeight="1">
      <c r="AD731" s="4"/>
    </row>
    <row r="732" ht="15.75" customHeight="1">
      <c r="AD732" s="4"/>
    </row>
    <row r="733" ht="15.75" customHeight="1">
      <c r="AD733" s="4"/>
    </row>
    <row r="734" ht="15.75" customHeight="1">
      <c r="AD734" s="4"/>
    </row>
    <row r="735" ht="15.75" customHeight="1">
      <c r="AD735" s="4"/>
    </row>
    <row r="736" ht="15.75" customHeight="1">
      <c r="AD736" s="4"/>
    </row>
    <row r="737" ht="15.75" customHeight="1">
      <c r="AD737" s="4"/>
    </row>
    <row r="738" ht="15.75" customHeight="1">
      <c r="AD738" s="4"/>
    </row>
    <row r="739" ht="15.75" customHeight="1">
      <c r="AD739" s="4"/>
    </row>
    <row r="740" ht="15.75" customHeight="1">
      <c r="AD740" s="4"/>
    </row>
    <row r="741" ht="15.75" customHeight="1">
      <c r="AD741" s="4"/>
    </row>
    <row r="742" ht="15.75" customHeight="1">
      <c r="AD742" s="4"/>
    </row>
    <row r="743" ht="15.75" customHeight="1">
      <c r="AD743" s="4"/>
    </row>
    <row r="744" ht="15.75" customHeight="1">
      <c r="AD744" s="4"/>
    </row>
    <row r="745" ht="15.75" customHeight="1">
      <c r="AD745" s="4"/>
    </row>
    <row r="746" ht="15.75" customHeight="1">
      <c r="AD746" s="4"/>
    </row>
    <row r="747" ht="15.75" customHeight="1">
      <c r="AD747" s="4"/>
    </row>
    <row r="748" ht="15.75" customHeight="1">
      <c r="AD748" s="4"/>
    </row>
    <row r="749" ht="15.75" customHeight="1">
      <c r="AD749" s="4"/>
    </row>
    <row r="750" ht="15.75" customHeight="1">
      <c r="AD750" s="4"/>
    </row>
    <row r="751" ht="15.75" customHeight="1">
      <c r="AD751" s="4"/>
    </row>
    <row r="752" ht="15.75" customHeight="1">
      <c r="AD752" s="4"/>
    </row>
    <row r="753" ht="15.75" customHeight="1">
      <c r="AD753" s="4"/>
    </row>
    <row r="754" ht="15.75" customHeight="1">
      <c r="AD754" s="4"/>
    </row>
    <row r="755" ht="15.75" customHeight="1">
      <c r="AD755" s="4"/>
    </row>
    <row r="756" ht="15.75" customHeight="1">
      <c r="AD756" s="4"/>
    </row>
    <row r="757" ht="15.75" customHeight="1">
      <c r="AD757" s="4"/>
    </row>
    <row r="758" ht="15.75" customHeight="1">
      <c r="AD758" s="4"/>
    </row>
    <row r="759" ht="15.75" customHeight="1">
      <c r="AD759" s="4"/>
    </row>
    <row r="760" ht="15.75" customHeight="1">
      <c r="AD760" s="4"/>
    </row>
    <row r="761" ht="15.75" customHeight="1">
      <c r="AD761" s="4"/>
    </row>
    <row r="762" ht="15.75" customHeight="1">
      <c r="AD762" s="4"/>
    </row>
    <row r="763" ht="15.75" customHeight="1">
      <c r="AD763" s="4"/>
    </row>
    <row r="764" ht="15.75" customHeight="1">
      <c r="AD764" s="4"/>
    </row>
    <row r="765" ht="15.75" customHeight="1">
      <c r="AD765" s="4"/>
    </row>
    <row r="766" ht="15.75" customHeight="1">
      <c r="AD766" s="4"/>
    </row>
    <row r="767" ht="15.75" customHeight="1">
      <c r="AD767" s="4"/>
    </row>
    <row r="768" ht="15.75" customHeight="1">
      <c r="AD768" s="4"/>
    </row>
    <row r="769" ht="15.75" customHeight="1">
      <c r="AD769" s="4"/>
    </row>
    <row r="770" ht="15.75" customHeight="1">
      <c r="AD770" s="4"/>
    </row>
    <row r="771" ht="15.75" customHeight="1">
      <c r="AD771" s="4"/>
    </row>
    <row r="772" ht="15.75" customHeight="1">
      <c r="AD772" s="4"/>
    </row>
    <row r="773" ht="15.75" customHeight="1">
      <c r="AD773" s="4"/>
    </row>
    <row r="774" ht="15.75" customHeight="1">
      <c r="AD774" s="4"/>
    </row>
    <row r="775" ht="15.75" customHeight="1">
      <c r="AD775" s="4"/>
    </row>
    <row r="776" ht="15.75" customHeight="1">
      <c r="AD776" s="4"/>
    </row>
    <row r="777" ht="15.75" customHeight="1">
      <c r="AD777" s="4"/>
    </row>
    <row r="778" ht="15.75" customHeight="1">
      <c r="AD778" s="4"/>
    </row>
    <row r="779" ht="15.75" customHeight="1">
      <c r="AD779" s="4"/>
    </row>
    <row r="780" ht="15.75" customHeight="1">
      <c r="AD780" s="4"/>
    </row>
    <row r="781" ht="15.75" customHeight="1">
      <c r="AD781" s="4"/>
    </row>
    <row r="782" ht="15.75" customHeight="1">
      <c r="AD782" s="4"/>
    </row>
    <row r="783" ht="15.75" customHeight="1">
      <c r="AD783" s="4"/>
    </row>
    <row r="784" ht="15.75" customHeight="1">
      <c r="AD784" s="4"/>
    </row>
    <row r="785" ht="15.75" customHeight="1">
      <c r="AD785" s="4"/>
    </row>
    <row r="786" ht="15.75" customHeight="1">
      <c r="AD786" s="4"/>
    </row>
    <row r="787" ht="15.75" customHeight="1">
      <c r="AD787" s="4"/>
    </row>
    <row r="788" ht="15.75" customHeight="1">
      <c r="AD788" s="4"/>
    </row>
    <row r="789" ht="15.75" customHeight="1">
      <c r="AD789" s="4"/>
    </row>
    <row r="790" ht="15.75" customHeight="1">
      <c r="AD790" s="4"/>
    </row>
    <row r="791" ht="15.75" customHeight="1">
      <c r="AD791" s="4"/>
    </row>
    <row r="792" ht="15.75" customHeight="1">
      <c r="AD792" s="4"/>
    </row>
    <row r="793" ht="15.75" customHeight="1">
      <c r="AD793" s="4"/>
    </row>
    <row r="794" ht="15.75" customHeight="1">
      <c r="AD794" s="4"/>
    </row>
    <row r="795" ht="15.75" customHeight="1">
      <c r="AD795" s="4"/>
    </row>
    <row r="796" ht="15.75" customHeight="1">
      <c r="AD796" s="4"/>
    </row>
    <row r="797" ht="15.75" customHeight="1">
      <c r="AD797" s="4"/>
    </row>
    <row r="798" ht="15.75" customHeight="1">
      <c r="AD798" s="4"/>
    </row>
    <row r="799" ht="15.75" customHeight="1">
      <c r="AD799" s="4"/>
    </row>
    <row r="800" ht="15.75" customHeight="1">
      <c r="AD800" s="4"/>
    </row>
    <row r="801" ht="15.75" customHeight="1">
      <c r="AD801" s="4"/>
    </row>
    <row r="802" ht="15.75" customHeight="1">
      <c r="AD802" s="4"/>
    </row>
    <row r="803" ht="15.75" customHeight="1">
      <c r="AD803" s="4"/>
    </row>
    <row r="804" ht="15.75" customHeight="1">
      <c r="AD804" s="4"/>
    </row>
    <row r="805" ht="15.75" customHeight="1">
      <c r="AD805" s="4"/>
    </row>
    <row r="806" ht="15.75" customHeight="1">
      <c r="AD806" s="4"/>
    </row>
    <row r="807" ht="15.75" customHeight="1">
      <c r="AD807" s="4"/>
    </row>
    <row r="808" ht="15.75" customHeight="1">
      <c r="AD808" s="4"/>
    </row>
    <row r="809" ht="15.75" customHeight="1">
      <c r="AD809" s="4"/>
    </row>
    <row r="810" ht="15.75" customHeight="1">
      <c r="AD810" s="4"/>
    </row>
    <row r="811" ht="15.75" customHeight="1">
      <c r="AD811" s="4"/>
    </row>
    <row r="812" ht="15.75" customHeight="1">
      <c r="AD812" s="4"/>
    </row>
    <row r="813" ht="15.75" customHeight="1">
      <c r="AD813" s="4"/>
    </row>
    <row r="814" ht="15.75" customHeight="1">
      <c r="AD814" s="4"/>
    </row>
    <row r="815" ht="15.75" customHeight="1">
      <c r="AD815" s="4"/>
    </row>
    <row r="816" ht="15.75" customHeight="1">
      <c r="AD816" s="4"/>
    </row>
    <row r="817" ht="15.75" customHeight="1">
      <c r="AD817" s="4"/>
    </row>
    <row r="818" ht="15.75" customHeight="1">
      <c r="AD818" s="4"/>
    </row>
    <row r="819" ht="15.75" customHeight="1">
      <c r="AD819" s="4"/>
    </row>
    <row r="820" ht="15.75" customHeight="1">
      <c r="AD820" s="4"/>
    </row>
    <row r="821" ht="15.75" customHeight="1">
      <c r="AD821" s="4"/>
    </row>
    <row r="822" ht="15.75" customHeight="1">
      <c r="AD822" s="4"/>
    </row>
    <row r="823" ht="15.75" customHeight="1">
      <c r="AD823" s="4"/>
    </row>
    <row r="824" ht="15.75" customHeight="1">
      <c r="AD824" s="4"/>
    </row>
    <row r="825" ht="15.75" customHeight="1">
      <c r="AD825" s="4"/>
    </row>
    <row r="826" ht="15.75" customHeight="1">
      <c r="AD826" s="4"/>
    </row>
    <row r="827" ht="15.75" customHeight="1">
      <c r="AD827" s="4"/>
    </row>
    <row r="828" ht="15.75" customHeight="1">
      <c r="AD828" s="4"/>
    </row>
    <row r="829" ht="15.75" customHeight="1">
      <c r="AD829" s="4"/>
    </row>
    <row r="830" ht="15.75" customHeight="1">
      <c r="AD830" s="4"/>
    </row>
    <row r="831" ht="15.75" customHeight="1">
      <c r="AD831" s="4"/>
    </row>
    <row r="832" ht="15.75" customHeight="1">
      <c r="AD832" s="4"/>
    </row>
    <row r="833" ht="15.75" customHeight="1">
      <c r="AD833" s="4"/>
    </row>
    <row r="834" ht="15.75" customHeight="1">
      <c r="AD834" s="4"/>
    </row>
    <row r="835" ht="15.75" customHeight="1">
      <c r="AD835" s="4"/>
    </row>
    <row r="836" ht="15.75" customHeight="1">
      <c r="AD836" s="4"/>
    </row>
    <row r="837" ht="15.75" customHeight="1">
      <c r="AD837" s="4"/>
    </row>
    <row r="838" ht="15.75" customHeight="1">
      <c r="AD838" s="4"/>
    </row>
    <row r="839" ht="15.75" customHeight="1">
      <c r="AD839" s="4"/>
    </row>
    <row r="840" ht="15.75" customHeight="1">
      <c r="AD840" s="4"/>
    </row>
    <row r="841" ht="15.75" customHeight="1">
      <c r="AD841" s="4"/>
    </row>
    <row r="842" ht="15.75" customHeight="1">
      <c r="AD842" s="4"/>
    </row>
    <row r="843" ht="15.75" customHeight="1">
      <c r="AD843" s="4"/>
    </row>
    <row r="844" ht="15.75" customHeight="1">
      <c r="AD844" s="4"/>
    </row>
    <row r="845" ht="15.75" customHeight="1">
      <c r="AD845" s="4"/>
    </row>
    <row r="846" ht="15.75" customHeight="1">
      <c r="AD846" s="4"/>
    </row>
    <row r="847" ht="15.75" customHeight="1">
      <c r="AD847" s="4"/>
    </row>
    <row r="848" ht="15.75" customHeight="1">
      <c r="AD848" s="4"/>
    </row>
    <row r="849" ht="15.75" customHeight="1">
      <c r="AD849" s="4"/>
    </row>
    <row r="850" ht="15.75" customHeight="1">
      <c r="AD850" s="4"/>
    </row>
    <row r="851" ht="15.75" customHeight="1">
      <c r="AD851" s="4"/>
    </row>
    <row r="852" ht="15.75" customHeight="1">
      <c r="AD852" s="4"/>
    </row>
    <row r="853" ht="15.75" customHeight="1">
      <c r="AD853" s="4"/>
    </row>
    <row r="854" ht="15.75" customHeight="1">
      <c r="AD854" s="4"/>
    </row>
    <row r="855" ht="15.75" customHeight="1">
      <c r="AD855" s="4"/>
    </row>
    <row r="856" ht="15.75" customHeight="1">
      <c r="AD856" s="4"/>
    </row>
    <row r="857" ht="15.75" customHeight="1">
      <c r="AD857" s="4"/>
    </row>
    <row r="858" ht="15.75" customHeight="1">
      <c r="AD858" s="4"/>
    </row>
    <row r="859" ht="15.75" customHeight="1">
      <c r="AD859" s="4"/>
    </row>
    <row r="860" ht="15.75" customHeight="1">
      <c r="AD860" s="4"/>
    </row>
    <row r="861" ht="15.75" customHeight="1">
      <c r="AD861" s="4"/>
    </row>
    <row r="862" ht="15.75" customHeight="1">
      <c r="AD862" s="4"/>
    </row>
    <row r="863" ht="15.75" customHeight="1">
      <c r="AD863" s="4"/>
    </row>
    <row r="864" ht="15.75" customHeight="1">
      <c r="AD864" s="4"/>
    </row>
    <row r="865" ht="15.75" customHeight="1">
      <c r="AD865" s="4"/>
    </row>
    <row r="866" ht="15.75" customHeight="1">
      <c r="AD866" s="4"/>
    </row>
    <row r="867" ht="15.75" customHeight="1">
      <c r="AD867" s="4"/>
    </row>
    <row r="868" ht="15.75" customHeight="1">
      <c r="AD868" s="4"/>
    </row>
    <row r="869" ht="15.75" customHeight="1">
      <c r="AD869" s="4"/>
    </row>
    <row r="870" ht="15.75" customHeight="1">
      <c r="AD870" s="4"/>
    </row>
    <row r="871" ht="15.75" customHeight="1">
      <c r="AD871" s="4"/>
    </row>
    <row r="872" ht="15.75" customHeight="1">
      <c r="AD872" s="4"/>
    </row>
    <row r="873" ht="15.75" customHeight="1">
      <c r="AD873" s="4"/>
    </row>
    <row r="874" ht="15.75" customHeight="1">
      <c r="AD874" s="4"/>
    </row>
    <row r="875" ht="15.75" customHeight="1">
      <c r="AD875" s="4"/>
    </row>
    <row r="876" ht="15.75" customHeight="1">
      <c r="AD876" s="4"/>
    </row>
    <row r="877" ht="15.75" customHeight="1">
      <c r="AD877" s="4"/>
    </row>
    <row r="878" ht="15.75" customHeight="1">
      <c r="AD878" s="4"/>
    </row>
    <row r="879" ht="15.75" customHeight="1">
      <c r="AD879" s="4"/>
    </row>
    <row r="880" ht="15.75" customHeight="1">
      <c r="AD880" s="4"/>
    </row>
    <row r="881" ht="15.75" customHeight="1">
      <c r="AD881" s="4"/>
    </row>
    <row r="882" ht="15.75" customHeight="1">
      <c r="AD882" s="4"/>
    </row>
    <row r="883" ht="15.75" customHeight="1">
      <c r="AD883" s="4"/>
    </row>
    <row r="884" ht="15.75" customHeight="1">
      <c r="AD884" s="4"/>
    </row>
    <row r="885" ht="15.75" customHeight="1">
      <c r="AD885" s="4"/>
    </row>
    <row r="886" ht="15.75" customHeight="1">
      <c r="AD886" s="4"/>
    </row>
    <row r="887" ht="15.75" customHeight="1">
      <c r="AD887" s="4"/>
    </row>
    <row r="888" ht="15.75" customHeight="1">
      <c r="AD888" s="4"/>
    </row>
    <row r="889" ht="15.75" customHeight="1">
      <c r="AD889" s="4"/>
    </row>
    <row r="890" ht="15.75" customHeight="1">
      <c r="AD890" s="4"/>
    </row>
    <row r="891" ht="15.75" customHeight="1">
      <c r="AD891" s="4"/>
    </row>
    <row r="892" ht="15.75" customHeight="1">
      <c r="AD892" s="4"/>
    </row>
    <row r="893" ht="15.75" customHeight="1">
      <c r="AD893" s="4"/>
    </row>
    <row r="894" ht="15.75" customHeight="1">
      <c r="AD894" s="4"/>
    </row>
    <row r="895" ht="15.75" customHeight="1">
      <c r="AD895" s="4"/>
    </row>
    <row r="896" ht="15.75" customHeight="1">
      <c r="AD896" s="4"/>
    </row>
    <row r="897" ht="15.75" customHeight="1">
      <c r="AD897" s="4"/>
    </row>
    <row r="898" ht="15.75" customHeight="1">
      <c r="AD898" s="4"/>
    </row>
    <row r="899" ht="15.75" customHeight="1">
      <c r="AD899" s="4"/>
    </row>
    <row r="900" ht="15.75" customHeight="1">
      <c r="AD900" s="4"/>
    </row>
    <row r="901" ht="15.75" customHeight="1">
      <c r="AD901" s="4"/>
    </row>
    <row r="902" ht="15.75" customHeight="1">
      <c r="AD902" s="4"/>
    </row>
    <row r="903" ht="15.75" customHeight="1">
      <c r="AD903" s="4"/>
    </row>
    <row r="904" ht="15.75" customHeight="1">
      <c r="AD904" s="4"/>
    </row>
    <row r="905" ht="15.75" customHeight="1">
      <c r="AD905" s="4"/>
    </row>
    <row r="906" ht="15.75" customHeight="1">
      <c r="AD906" s="4"/>
    </row>
    <row r="907" ht="15.75" customHeight="1">
      <c r="AD907" s="4"/>
    </row>
    <row r="908" ht="15.75" customHeight="1">
      <c r="AD908" s="4"/>
    </row>
    <row r="909" ht="15.75" customHeight="1">
      <c r="AD909" s="4"/>
    </row>
    <row r="910" ht="15.75" customHeight="1">
      <c r="AD910" s="4"/>
    </row>
    <row r="911" ht="15.75" customHeight="1">
      <c r="AD911" s="4"/>
    </row>
    <row r="912" ht="15.75" customHeight="1">
      <c r="AD912" s="4"/>
    </row>
    <row r="913" ht="15.75" customHeight="1">
      <c r="AD913" s="4"/>
    </row>
    <row r="914" ht="15.75" customHeight="1">
      <c r="AD914" s="4"/>
    </row>
    <row r="915" ht="15.75" customHeight="1">
      <c r="AD915" s="4"/>
    </row>
    <row r="916" ht="15.75" customHeight="1">
      <c r="AD916" s="4"/>
    </row>
    <row r="917" ht="15.75" customHeight="1">
      <c r="AD917" s="4"/>
    </row>
    <row r="918" ht="15.75" customHeight="1">
      <c r="AD918" s="4"/>
    </row>
    <row r="919" ht="15.75" customHeight="1">
      <c r="AD919" s="4"/>
    </row>
    <row r="920" ht="15.75" customHeight="1">
      <c r="AD920" s="4"/>
    </row>
    <row r="921" ht="15.75" customHeight="1">
      <c r="AD921" s="4"/>
    </row>
    <row r="922" ht="15.75" customHeight="1">
      <c r="AD922" s="4"/>
    </row>
    <row r="923" ht="15.75" customHeight="1">
      <c r="AD923" s="4"/>
    </row>
    <row r="924" ht="15.75" customHeight="1">
      <c r="AD924" s="4"/>
    </row>
    <row r="925" ht="15.75" customHeight="1">
      <c r="AD925" s="4"/>
    </row>
    <row r="926" ht="15.75" customHeight="1">
      <c r="AD926" s="4"/>
    </row>
    <row r="927" ht="15.75" customHeight="1">
      <c r="AD927" s="4"/>
    </row>
    <row r="928" ht="15.75" customHeight="1">
      <c r="AD928" s="4"/>
    </row>
    <row r="929" ht="15.75" customHeight="1">
      <c r="AD929" s="4"/>
    </row>
    <row r="930" ht="15.75" customHeight="1">
      <c r="AD930" s="4"/>
    </row>
    <row r="931" ht="15.75" customHeight="1">
      <c r="AD931" s="4"/>
    </row>
    <row r="932" ht="15.75" customHeight="1">
      <c r="AD932" s="4"/>
    </row>
    <row r="933" ht="15.75" customHeight="1">
      <c r="AD933" s="4"/>
    </row>
    <row r="934" ht="15.75" customHeight="1">
      <c r="AD934" s="4"/>
    </row>
    <row r="935" ht="15.75" customHeight="1">
      <c r="AD935" s="4"/>
    </row>
    <row r="936" ht="15.75" customHeight="1">
      <c r="AD936" s="4"/>
    </row>
    <row r="937" ht="15.75" customHeight="1">
      <c r="AD937" s="4"/>
    </row>
    <row r="938" ht="15.75" customHeight="1">
      <c r="AD938" s="4"/>
    </row>
    <row r="939" ht="15.75" customHeight="1">
      <c r="AD939" s="4"/>
    </row>
    <row r="940" ht="15.75" customHeight="1">
      <c r="AD940" s="4"/>
    </row>
    <row r="941" ht="15.75" customHeight="1">
      <c r="AD941" s="4"/>
    </row>
    <row r="942" ht="15.75" customHeight="1">
      <c r="AD942" s="4"/>
    </row>
    <row r="943" ht="15.75" customHeight="1">
      <c r="AD943" s="4"/>
    </row>
    <row r="944" ht="15.75" customHeight="1">
      <c r="AD944" s="4"/>
    </row>
    <row r="945" ht="15.75" customHeight="1">
      <c r="AD945" s="4"/>
    </row>
    <row r="946" ht="15.75" customHeight="1">
      <c r="AD946" s="4"/>
    </row>
    <row r="947" ht="15.75" customHeight="1">
      <c r="AD947" s="4"/>
    </row>
    <row r="948" ht="15.75" customHeight="1">
      <c r="AD948" s="4"/>
    </row>
    <row r="949" ht="15.75" customHeight="1">
      <c r="AD949" s="4"/>
    </row>
    <row r="950" ht="15.75" customHeight="1">
      <c r="AD950" s="4"/>
    </row>
    <row r="951" ht="15.75" customHeight="1">
      <c r="AD951" s="4"/>
    </row>
    <row r="952" ht="15.75" customHeight="1">
      <c r="AD952" s="4"/>
    </row>
    <row r="953" ht="15.75" customHeight="1">
      <c r="AD953" s="4"/>
    </row>
    <row r="954" ht="15.75" customHeight="1">
      <c r="AD954" s="4"/>
    </row>
    <row r="955" ht="15.75" customHeight="1">
      <c r="AD955" s="4"/>
    </row>
    <row r="956" ht="15.75" customHeight="1">
      <c r="AD956" s="4"/>
    </row>
    <row r="957" ht="15.75" customHeight="1">
      <c r="AD957" s="4"/>
    </row>
    <row r="958" ht="15.75" customHeight="1">
      <c r="AD958" s="4"/>
    </row>
    <row r="959" ht="15.75" customHeight="1">
      <c r="AD959" s="4"/>
    </row>
    <row r="960" ht="15.75" customHeight="1">
      <c r="AD960" s="4"/>
    </row>
    <row r="961" ht="15.75" customHeight="1">
      <c r="AD961" s="4"/>
    </row>
    <row r="962" ht="15.75" customHeight="1">
      <c r="AD962" s="4"/>
    </row>
    <row r="963" ht="15.75" customHeight="1">
      <c r="AD963" s="4"/>
    </row>
    <row r="964" ht="15.75" customHeight="1">
      <c r="AD964" s="4"/>
    </row>
    <row r="965" ht="15.75" customHeight="1">
      <c r="AD965" s="4"/>
    </row>
    <row r="966" ht="15.75" customHeight="1">
      <c r="AD966" s="4"/>
    </row>
    <row r="967" ht="15.75" customHeight="1">
      <c r="AD967" s="4"/>
    </row>
    <row r="968" ht="15.75" customHeight="1">
      <c r="AD968" s="4"/>
    </row>
    <row r="969" ht="15.75" customHeight="1">
      <c r="AD969" s="4"/>
    </row>
    <row r="970" ht="15.75" customHeight="1">
      <c r="AD970" s="4"/>
    </row>
    <row r="971" ht="15.75" customHeight="1">
      <c r="AD971" s="4"/>
    </row>
    <row r="972" ht="15.75" customHeight="1">
      <c r="AD972" s="4"/>
    </row>
    <row r="973" ht="15.75" customHeight="1">
      <c r="AD973" s="4"/>
    </row>
    <row r="974" ht="15.75" customHeight="1">
      <c r="AD974" s="4"/>
    </row>
    <row r="975" ht="15.75" customHeight="1">
      <c r="AD975" s="4"/>
    </row>
    <row r="976" ht="15.75" customHeight="1">
      <c r="AD976" s="4"/>
    </row>
    <row r="977" ht="15.75" customHeight="1">
      <c r="AD977" s="4"/>
    </row>
    <row r="978" ht="15.75" customHeight="1">
      <c r="AD978" s="4"/>
    </row>
    <row r="979" ht="15.75" customHeight="1">
      <c r="AD979" s="4"/>
    </row>
    <row r="980" ht="15.75" customHeight="1">
      <c r="AD980" s="4"/>
    </row>
    <row r="981" ht="15.75" customHeight="1">
      <c r="AD981" s="4"/>
    </row>
    <row r="982" ht="15.75" customHeight="1">
      <c r="AD982" s="4"/>
    </row>
    <row r="983" ht="15.75" customHeight="1">
      <c r="AD983" s="4"/>
    </row>
    <row r="984" ht="15.75" customHeight="1">
      <c r="AD984" s="4"/>
    </row>
    <row r="985" ht="15.75" customHeight="1">
      <c r="AD985" s="4"/>
    </row>
    <row r="986" ht="15.75" customHeight="1">
      <c r="AD986" s="4"/>
    </row>
    <row r="987" ht="15.75" customHeight="1">
      <c r="AD987" s="4"/>
    </row>
    <row r="988" ht="15.75" customHeight="1">
      <c r="AD988" s="4"/>
    </row>
    <row r="989" ht="15.75" customHeight="1">
      <c r="AD989" s="4"/>
    </row>
    <row r="990" ht="15.75" customHeight="1">
      <c r="AD990" s="4"/>
    </row>
    <row r="991" ht="15.75" customHeight="1">
      <c r="AD991" s="4"/>
    </row>
    <row r="992" ht="15.75" customHeight="1">
      <c r="AD992" s="4"/>
    </row>
    <row r="993" ht="15.75" customHeight="1">
      <c r="AD993" s="4"/>
    </row>
    <row r="994" ht="15.75" customHeight="1">
      <c r="AD994" s="4"/>
    </row>
    <row r="995" ht="15.75" customHeight="1">
      <c r="AD995" s="4"/>
    </row>
    <row r="996" ht="15.75" customHeight="1">
      <c r="AD996" s="4"/>
    </row>
    <row r="997" ht="15.75" customHeight="1">
      <c r="AD997" s="4"/>
    </row>
    <row r="998" ht="15.75" customHeight="1">
      <c r="AD998" s="4"/>
    </row>
    <row r="999" ht="15.75" customHeight="1">
      <c r="AD999" s="4"/>
    </row>
    <row r="1000" ht="15.75" customHeight="1">
      <c r="AD1000" s="4"/>
    </row>
  </sheetData>
  <autoFilter ref="$A$1:$AO$293"/>
  <conditionalFormatting sqref="A2:B293 C2:C546 D2:AC293 AD2:AD6 AD8:AD293">
    <cfRule type="cellIs" dxfId="0" priority="1" operator="equal">
      <formula>"#N/A N/A"</formula>
    </cfRule>
  </conditionalFormatting>
  <conditionalFormatting sqref="AD8:AD1000">
    <cfRule type="cellIs" dxfId="0" priority="2" operator="equal">
      <formula>""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25" max="26" width="26.71"/>
  </cols>
  <sheetData>
    <row r="1">
      <c r="A1" s="30" t="s">
        <v>0</v>
      </c>
      <c r="B1" s="30" t="s">
        <v>1</v>
      </c>
      <c r="C1" s="30" t="s">
        <v>5</v>
      </c>
      <c r="D1" s="30" t="s">
        <v>21</v>
      </c>
      <c r="E1" s="30" t="s">
        <v>1764</v>
      </c>
      <c r="F1" s="30" t="s">
        <v>8</v>
      </c>
      <c r="G1" s="30" t="s">
        <v>3</v>
      </c>
      <c r="H1" s="30" t="s">
        <v>2</v>
      </c>
      <c r="I1" s="30" t="s">
        <v>4</v>
      </c>
      <c r="J1" s="30" t="s">
        <v>19</v>
      </c>
      <c r="K1" s="30" t="s">
        <v>20</v>
      </c>
      <c r="L1" s="30" t="s">
        <v>22</v>
      </c>
      <c r="M1" s="30" t="s">
        <v>16</v>
      </c>
      <c r="N1" s="30" t="s">
        <v>1765</v>
      </c>
      <c r="O1" s="30" t="s">
        <v>7</v>
      </c>
      <c r="P1" s="30" t="s">
        <v>10</v>
      </c>
      <c r="Q1" s="30" t="s">
        <v>9</v>
      </c>
      <c r="R1" s="30" t="s">
        <v>11</v>
      </c>
      <c r="S1" s="30" t="s">
        <v>15</v>
      </c>
      <c r="T1" s="30" t="s">
        <v>18</v>
      </c>
      <c r="U1" s="30" t="s">
        <v>13</v>
      </c>
      <c r="V1" s="30" t="s">
        <v>17</v>
      </c>
      <c r="W1" s="30" t="s">
        <v>1766</v>
      </c>
      <c r="X1" s="30" t="s">
        <v>36</v>
      </c>
      <c r="Y1" s="31" t="s">
        <v>1767</v>
      </c>
      <c r="Z1" s="31" t="s">
        <v>39</v>
      </c>
    </row>
    <row r="2">
      <c r="A2" s="8">
        <v>1.0</v>
      </c>
      <c r="B2" s="8" t="s">
        <v>775</v>
      </c>
      <c r="C2" s="8" t="s">
        <v>778</v>
      </c>
      <c r="D2" s="8" t="s">
        <v>57</v>
      </c>
      <c r="E2" s="8" t="str">
        <f>VLOOKUP(G2,'CBs RAW'!$E$2:$H$427,4)</f>
        <v>#N/A N/A</v>
      </c>
      <c r="F2" s="8" t="s">
        <v>200</v>
      </c>
      <c r="G2" s="8" t="s">
        <v>1768</v>
      </c>
      <c r="H2" s="8" t="s">
        <v>1769</v>
      </c>
      <c r="I2" s="8" t="s">
        <v>1770</v>
      </c>
      <c r="J2" s="8" t="s">
        <v>55</v>
      </c>
      <c r="K2" s="8" t="s">
        <v>56</v>
      </c>
      <c r="L2" s="7">
        <v>3.21444E8</v>
      </c>
      <c r="M2" s="8" t="s">
        <v>52</v>
      </c>
      <c r="N2" s="8" t="s">
        <v>1771</v>
      </c>
      <c r="O2" s="8" t="s">
        <v>200</v>
      </c>
      <c r="P2" s="32">
        <v>42810.0</v>
      </c>
      <c r="Q2" s="7">
        <f>VLOOKUP(G2,'CBs RAW'!$E$2:$P$427,12)</f>
        <v>1.25</v>
      </c>
      <c r="R2" s="32">
        <v>45367.0</v>
      </c>
      <c r="S2" s="8" t="s">
        <v>226</v>
      </c>
      <c r="T2" s="8" t="s">
        <v>190</v>
      </c>
      <c r="U2" s="8" t="s">
        <v>49</v>
      </c>
      <c r="V2" s="8" t="s">
        <v>53</v>
      </c>
      <c r="W2" s="8" t="s">
        <v>1772</v>
      </c>
      <c r="X2" s="33">
        <f>VLOOKUP(G2,'CBs RAW'!$E$2:$W$427,19)</f>
        <v>1.34</v>
      </c>
      <c r="Y2" s="34">
        <f t="shared" ref="Y2:Y427" si="1">IF(X2="#N/A N/A",E2,X2)</f>
        <v>1.34</v>
      </c>
      <c r="Z2" s="4" t="str">
        <f t="shared" ref="Z2:Z427" si="2">B2&amp;U2&amp;K2&amp;V2&amp;M2</f>
        <v>A2A SpAAT MATURITYFIXEDEURSr Unsecured</v>
      </c>
    </row>
    <row r="3">
      <c r="A3" s="8">
        <v>2.0</v>
      </c>
      <c r="B3" s="8" t="s">
        <v>775</v>
      </c>
      <c r="C3" s="8" t="s">
        <v>778</v>
      </c>
      <c r="D3" s="8" t="s">
        <v>57</v>
      </c>
      <c r="E3" s="8" t="str">
        <f>VLOOKUP(G3,'CBs RAW'!$E$2:$H$427,4)</f>
        <v>#N/A N/A</v>
      </c>
      <c r="F3" s="8" t="s">
        <v>200</v>
      </c>
      <c r="G3" s="8" t="s">
        <v>1773</v>
      </c>
      <c r="H3" s="8" t="s">
        <v>1774</v>
      </c>
      <c r="I3" s="8" t="s">
        <v>1775</v>
      </c>
      <c r="J3" s="8" t="s">
        <v>55</v>
      </c>
      <c r="K3" s="8" t="s">
        <v>56</v>
      </c>
      <c r="L3" s="7">
        <v>3.55038E8</v>
      </c>
      <c r="M3" s="8" t="s">
        <v>52</v>
      </c>
      <c r="N3" s="8" t="s">
        <v>1776</v>
      </c>
      <c r="O3" s="8" t="s">
        <v>200</v>
      </c>
      <c r="P3" s="32">
        <v>43027.0</v>
      </c>
      <c r="Q3" s="7">
        <f>VLOOKUP(G3,'CBs RAW'!$E$2:$P$427,12)</f>
        <v>1.625</v>
      </c>
      <c r="R3" s="32">
        <v>46679.0</v>
      </c>
      <c r="S3" s="8" t="s">
        <v>226</v>
      </c>
      <c r="T3" s="8" t="s">
        <v>175</v>
      </c>
      <c r="U3" s="8" t="s">
        <v>115</v>
      </c>
      <c r="V3" s="8" t="s">
        <v>53</v>
      </c>
      <c r="W3" s="8" t="s">
        <v>1777</v>
      </c>
      <c r="X3" s="33">
        <f>VLOOKUP(G3,'CBs RAW'!$E$2:$W$427,19)</f>
        <v>1.68</v>
      </c>
      <c r="Y3" s="34">
        <f t="shared" si="1"/>
        <v>1.68</v>
      </c>
      <c r="Z3" s="4" t="str">
        <f t="shared" si="2"/>
        <v>A2A SpACALLABLEFIXEDEURSr Unsecured</v>
      </c>
    </row>
    <row r="4">
      <c r="A4" s="8">
        <v>3.0</v>
      </c>
      <c r="B4" s="8" t="s">
        <v>775</v>
      </c>
      <c r="C4" s="8" t="s">
        <v>778</v>
      </c>
      <c r="D4" s="8" t="s">
        <v>57</v>
      </c>
      <c r="E4" s="8" t="str">
        <f>VLOOKUP(G4,'CBs RAW'!$E$2:$H$427,4)</f>
        <v>#N/A N/A</v>
      </c>
      <c r="F4" s="8" t="s">
        <v>200</v>
      </c>
      <c r="G4" s="8" t="s">
        <v>1778</v>
      </c>
      <c r="H4" s="8" t="s">
        <v>1779</v>
      </c>
      <c r="I4" s="8" t="s">
        <v>1780</v>
      </c>
      <c r="J4" s="8" t="s">
        <v>55</v>
      </c>
      <c r="K4" s="8" t="s">
        <v>56</v>
      </c>
      <c r="L4" s="7">
        <v>5.8753E8</v>
      </c>
      <c r="M4" s="8" t="s">
        <v>52</v>
      </c>
      <c r="N4" s="8" t="s">
        <v>1776</v>
      </c>
      <c r="O4" s="8" t="s">
        <v>200</v>
      </c>
      <c r="P4" s="32">
        <v>44132.0</v>
      </c>
      <c r="Q4" s="7">
        <f>VLOOKUP(G4,'CBs RAW'!$E$2:$P$427,12)</f>
        <v>0.625</v>
      </c>
      <c r="R4" s="32">
        <v>48515.0</v>
      </c>
      <c r="S4" s="8" t="s">
        <v>226</v>
      </c>
      <c r="T4" s="8" t="s">
        <v>175</v>
      </c>
      <c r="U4" s="8" t="s">
        <v>115</v>
      </c>
      <c r="V4" s="8" t="s">
        <v>53</v>
      </c>
      <c r="W4" s="8" t="s">
        <v>1781</v>
      </c>
      <c r="X4" s="33">
        <f>VLOOKUP(G4,'CBs RAW'!$E$2:$W$427,19)</f>
        <v>0.609</v>
      </c>
      <c r="Y4" s="34">
        <f t="shared" si="1"/>
        <v>0.609</v>
      </c>
      <c r="Z4" s="4" t="str">
        <f t="shared" si="2"/>
        <v>A2A SpACALLABLEFIXEDEURSr Unsecured</v>
      </c>
    </row>
    <row r="5">
      <c r="A5" s="8">
        <v>4.0</v>
      </c>
      <c r="B5" s="8" t="s">
        <v>775</v>
      </c>
      <c r="C5" s="8" t="s">
        <v>778</v>
      </c>
      <c r="D5" s="8" t="s">
        <v>57</v>
      </c>
      <c r="E5" s="8" t="str">
        <f>VLOOKUP(G5,'CBs RAW'!$E$2:$H$427,4)</f>
        <v>#N/A N/A</v>
      </c>
      <c r="F5" s="8" t="s">
        <v>200</v>
      </c>
      <c r="G5" s="8" t="s">
        <v>1782</v>
      </c>
      <c r="H5" s="8" t="s">
        <v>1783</v>
      </c>
      <c r="I5" s="8" t="s">
        <v>1784</v>
      </c>
      <c r="J5" s="8" t="s">
        <v>55</v>
      </c>
      <c r="K5" s="8" t="s">
        <v>56</v>
      </c>
      <c r="L5" s="7">
        <v>4.07832E8</v>
      </c>
      <c r="M5" s="8" t="s">
        <v>52</v>
      </c>
      <c r="N5" s="8" t="s">
        <v>1771</v>
      </c>
      <c r="O5" s="8" t="s">
        <v>200</v>
      </c>
      <c r="P5" s="32">
        <v>41612.0</v>
      </c>
      <c r="Q5" s="7">
        <f>VLOOKUP(G5,'CBs RAW'!$E$2:$P$427,12)</f>
        <v>4</v>
      </c>
      <c r="R5" s="32">
        <v>45264.0</v>
      </c>
      <c r="S5" s="8" t="s">
        <v>226</v>
      </c>
      <c r="T5" s="8" t="s">
        <v>190</v>
      </c>
      <c r="U5" s="8" t="s">
        <v>49</v>
      </c>
      <c r="V5" s="8" t="s">
        <v>53</v>
      </c>
      <c r="W5" s="8" t="s">
        <v>1785</v>
      </c>
      <c r="X5" s="33" t="str">
        <f>VLOOKUP(G5,'CBs RAW'!$E$2:$W$427,19)</f>
        <v>#N/A N/A</v>
      </c>
      <c r="Y5" s="4" t="str">
        <f t="shared" si="1"/>
        <v>#N/A N/A</v>
      </c>
      <c r="Z5" s="4" t="str">
        <f t="shared" si="2"/>
        <v>A2A SpAAT MATURITYFIXEDEURSr Unsecured</v>
      </c>
    </row>
    <row r="6">
      <c r="A6" s="8">
        <v>5.0</v>
      </c>
      <c r="B6" s="8" t="s">
        <v>775</v>
      </c>
      <c r="C6" s="8" t="s">
        <v>778</v>
      </c>
      <c r="D6" s="8" t="s">
        <v>57</v>
      </c>
      <c r="E6" s="8" t="str">
        <f>VLOOKUP(G6,'CBs RAW'!$E$2:$H$427,4)</f>
        <v>#N/A N/A</v>
      </c>
      <c r="F6" s="8" t="s">
        <v>200</v>
      </c>
      <c r="G6" s="8" t="s">
        <v>1786</v>
      </c>
      <c r="H6" s="8" t="s">
        <v>1787</v>
      </c>
      <c r="I6" s="8" t="s">
        <v>1788</v>
      </c>
      <c r="J6" s="8" t="s">
        <v>55</v>
      </c>
      <c r="K6" s="8" t="s">
        <v>56</v>
      </c>
      <c r="L6" s="7">
        <v>3.40893E8</v>
      </c>
      <c r="M6" s="8" t="s">
        <v>52</v>
      </c>
      <c r="N6" s="8" t="s">
        <v>1771</v>
      </c>
      <c r="O6" s="8" t="s">
        <v>200</v>
      </c>
      <c r="P6" s="32">
        <v>42060.0</v>
      </c>
      <c r="Q6" s="7">
        <f>VLOOKUP(G6,'CBs RAW'!$E$2:$P$427,12)</f>
        <v>1.75</v>
      </c>
      <c r="R6" s="32">
        <v>45713.0</v>
      </c>
      <c r="S6" s="8" t="s">
        <v>226</v>
      </c>
      <c r="T6" s="8" t="s">
        <v>175</v>
      </c>
      <c r="U6" s="8" t="s">
        <v>115</v>
      </c>
      <c r="V6" s="8" t="s">
        <v>53</v>
      </c>
      <c r="W6" s="8" t="s">
        <v>1789</v>
      </c>
      <c r="X6" s="33">
        <f>VLOOKUP(G6,'CBs RAW'!$E$2:$W$427,19)</f>
        <v>1.63</v>
      </c>
      <c r="Y6" s="34">
        <f t="shared" si="1"/>
        <v>1.63</v>
      </c>
      <c r="Z6" s="4" t="str">
        <f t="shared" si="2"/>
        <v>A2A SpACALLABLEFIXEDEURSr Unsecured</v>
      </c>
    </row>
    <row r="7">
      <c r="A7" s="8">
        <v>6.0</v>
      </c>
      <c r="B7" s="8" t="s">
        <v>1158</v>
      </c>
      <c r="C7" s="8" t="s">
        <v>1161</v>
      </c>
      <c r="D7" s="8" t="s">
        <v>57</v>
      </c>
      <c r="E7" s="8">
        <f>VLOOKUP(G7,'CBs RAW'!$E$2:$H$427,4)</f>
        <v>1.373</v>
      </c>
      <c r="F7" s="8" t="s">
        <v>185</v>
      </c>
      <c r="G7" s="8" t="s">
        <v>1790</v>
      </c>
      <c r="H7" s="8" t="s">
        <v>1791</v>
      </c>
      <c r="I7" s="8" t="s">
        <v>1792</v>
      </c>
      <c r="J7" s="8" t="s">
        <v>117</v>
      </c>
      <c r="K7" s="8" t="s">
        <v>56</v>
      </c>
      <c r="L7" s="7">
        <v>6.44262E8</v>
      </c>
      <c r="M7" s="8" t="s">
        <v>52</v>
      </c>
      <c r="N7" s="8" t="s">
        <v>1793</v>
      </c>
      <c r="O7" s="8" t="s">
        <v>185</v>
      </c>
      <c r="P7" s="32">
        <v>42760.0</v>
      </c>
      <c r="Q7" s="7">
        <f>VLOOKUP(G7,'CBs RAW'!$E$2:$P$427,12)</f>
        <v>2.5</v>
      </c>
      <c r="R7" s="32">
        <v>45316.0</v>
      </c>
      <c r="S7" s="8" t="s">
        <v>174</v>
      </c>
      <c r="T7" s="8" t="s">
        <v>264</v>
      </c>
      <c r="U7" s="8" t="s">
        <v>49</v>
      </c>
      <c r="V7" s="8" t="s">
        <v>53</v>
      </c>
      <c r="W7" s="8" t="s">
        <v>1794</v>
      </c>
      <c r="X7" s="33">
        <f>VLOOKUP(G7,'CBs RAW'!$E$2:$W$427,19)</f>
        <v>1.932</v>
      </c>
      <c r="Y7" s="34">
        <f t="shared" si="1"/>
        <v>1.932</v>
      </c>
      <c r="Z7" s="4" t="str">
        <f t="shared" si="2"/>
        <v>Accor SAAT MATURITYFIXEDEURSr Unsecured</v>
      </c>
    </row>
    <row r="8">
      <c r="A8" s="8">
        <v>7.0</v>
      </c>
      <c r="B8" s="8" t="s">
        <v>1158</v>
      </c>
      <c r="C8" s="8" t="s">
        <v>1161</v>
      </c>
      <c r="D8" s="8" t="s">
        <v>57</v>
      </c>
      <c r="E8" s="8" t="str">
        <f>VLOOKUP(G8,'CBs RAW'!$E$2:$H$427,4)</f>
        <v>#N/A N/A</v>
      </c>
      <c r="F8" s="8" t="s">
        <v>185</v>
      </c>
      <c r="G8" s="8" t="s">
        <v>1795</v>
      </c>
      <c r="H8" s="8" t="s">
        <v>1796</v>
      </c>
      <c r="I8" s="8" t="s">
        <v>1797</v>
      </c>
      <c r="J8" s="8" t="s">
        <v>117</v>
      </c>
      <c r="K8" s="8" t="s">
        <v>56</v>
      </c>
      <c r="L8" s="7">
        <v>6.85872E8</v>
      </c>
      <c r="M8" s="8" t="s">
        <v>52</v>
      </c>
      <c r="N8" s="8" t="s">
        <v>1776</v>
      </c>
      <c r="O8" s="8" t="s">
        <v>185</v>
      </c>
      <c r="P8" s="32">
        <v>43500.0</v>
      </c>
      <c r="Q8" s="7">
        <f>VLOOKUP(G8,'CBs RAW'!$E$2:$P$427,12)</f>
        <v>3</v>
      </c>
      <c r="R8" s="32">
        <v>46057.0</v>
      </c>
      <c r="S8" s="8" t="s">
        <v>174</v>
      </c>
      <c r="T8" s="8" t="s">
        <v>264</v>
      </c>
      <c r="U8" s="8" t="s">
        <v>115</v>
      </c>
      <c r="V8" s="8" t="s">
        <v>53</v>
      </c>
      <c r="W8" s="8" t="s">
        <v>1798</v>
      </c>
      <c r="X8" s="33">
        <f>VLOOKUP(G8,'CBs RAW'!$E$2:$W$427,19)</f>
        <v>2.36</v>
      </c>
      <c r="Y8" s="34">
        <f t="shared" si="1"/>
        <v>2.36</v>
      </c>
      <c r="Z8" s="4" t="str">
        <f t="shared" si="2"/>
        <v>Accor SACALLABLEFIXEDEURSr Unsecured</v>
      </c>
    </row>
    <row r="9">
      <c r="A9" s="8">
        <v>8.0</v>
      </c>
      <c r="B9" s="8" t="s">
        <v>1158</v>
      </c>
      <c r="C9" s="8" t="s">
        <v>1161</v>
      </c>
      <c r="D9" s="8" t="s">
        <v>57</v>
      </c>
      <c r="E9" s="8" t="str">
        <f>VLOOKUP(G9,'CBs RAW'!$E$2:$H$427,4)</f>
        <v>#N/A N/A</v>
      </c>
      <c r="F9" s="8" t="s">
        <v>185</v>
      </c>
      <c r="G9" s="8" t="s">
        <v>1799</v>
      </c>
      <c r="H9" s="8" t="s">
        <v>1800</v>
      </c>
      <c r="I9" s="8" t="s">
        <v>1801</v>
      </c>
      <c r="J9" s="8" t="s">
        <v>117</v>
      </c>
      <c r="K9" s="8" t="s">
        <v>56</v>
      </c>
      <c r="L9" s="7">
        <v>6.06654945E8</v>
      </c>
      <c r="M9" s="8" t="s">
        <v>52</v>
      </c>
      <c r="N9" s="8" t="s">
        <v>1771</v>
      </c>
      <c r="O9" s="8" t="s">
        <v>185</v>
      </c>
      <c r="P9" s="32">
        <v>44172.0</v>
      </c>
      <c r="Q9" s="7">
        <f>VLOOKUP(G9,'CBs RAW'!$E$2:$P$427,12)</f>
        <v>0.7</v>
      </c>
      <c r="R9" s="32">
        <v>46728.0</v>
      </c>
      <c r="S9" s="8" t="s">
        <v>174</v>
      </c>
      <c r="T9" s="8" t="s">
        <v>54</v>
      </c>
      <c r="U9" s="8" t="s">
        <v>189</v>
      </c>
      <c r="V9" s="8" t="s">
        <v>53</v>
      </c>
      <c r="W9" s="8" t="s">
        <v>1802</v>
      </c>
      <c r="X9" s="33">
        <f>VLOOKUP(G9,'CBs RAW'!$E$2:$W$427,19)</f>
        <v>-1.063</v>
      </c>
      <c r="Y9" s="34">
        <f t="shared" si="1"/>
        <v>-1.063</v>
      </c>
      <c r="Z9" s="4" t="str">
        <f t="shared" si="2"/>
        <v>Accor SACONVERTIBLEFIXEDEURSr Unsecured</v>
      </c>
    </row>
    <row r="10">
      <c r="A10" s="8">
        <v>9.0</v>
      </c>
      <c r="B10" s="8" t="s">
        <v>1158</v>
      </c>
      <c r="C10" s="8" t="s">
        <v>1161</v>
      </c>
      <c r="D10" s="8" t="s">
        <v>57</v>
      </c>
      <c r="E10" s="8" t="str">
        <f>VLOOKUP(G10,'CBs RAW'!$E$2:$H$427,4)</f>
        <v>#N/A N/A</v>
      </c>
      <c r="F10" s="8" t="s">
        <v>185</v>
      </c>
      <c r="G10" s="8" t="s">
        <v>1803</v>
      </c>
      <c r="H10" s="8" t="s">
        <v>1804</v>
      </c>
      <c r="I10" s="8" t="s">
        <v>1805</v>
      </c>
      <c r="J10" s="8" t="s">
        <v>117</v>
      </c>
      <c r="K10" s="8" t="s">
        <v>1806</v>
      </c>
      <c r="L10" s="7">
        <v>1.683E8</v>
      </c>
      <c r="M10" s="8" t="s">
        <v>52</v>
      </c>
      <c r="N10" s="8" t="s">
        <v>174</v>
      </c>
      <c r="O10" s="8" t="s">
        <v>185</v>
      </c>
      <c r="P10" s="32">
        <v>41817.0</v>
      </c>
      <c r="Q10" s="7">
        <f>VLOOKUP(G10,'CBs RAW'!$E$2:$P$427,12)</f>
        <v>3</v>
      </c>
      <c r="R10" s="32">
        <v>44739.0</v>
      </c>
      <c r="S10" s="8" t="s">
        <v>226</v>
      </c>
      <c r="T10" s="8" t="s">
        <v>264</v>
      </c>
      <c r="U10" s="8" t="s">
        <v>49</v>
      </c>
      <c r="V10" s="8" t="s">
        <v>1807</v>
      </c>
      <c r="W10" s="8" t="s">
        <v>1808</v>
      </c>
      <c r="X10" s="33">
        <f>VLOOKUP(G10,'CBs RAW'!$E$2:$W$427,19)</f>
        <v>1.688</v>
      </c>
      <c r="Y10" s="34">
        <f t="shared" si="1"/>
        <v>1.688</v>
      </c>
      <c r="Z10" s="4" t="str">
        <f t="shared" si="2"/>
        <v>Accor SAAT MATURITYSTEP CPNCHFSr Unsecured</v>
      </c>
    </row>
    <row r="11">
      <c r="A11" s="8">
        <v>10.0</v>
      </c>
      <c r="B11" s="8" t="s">
        <v>1158</v>
      </c>
      <c r="C11" s="8" t="s">
        <v>1161</v>
      </c>
      <c r="D11" s="8" t="s">
        <v>57</v>
      </c>
      <c r="E11" s="8">
        <f>VLOOKUP(G11,'CBs RAW'!$E$2:$H$427,4)</f>
        <v>2.408</v>
      </c>
      <c r="F11" s="8" t="s">
        <v>185</v>
      </c>
      <c r="G11" s="8" t="s">
        <v>1809</v>
      </c>
      <c r="H11" s="8" t="s">
        <v>1810</v>
      </c>
      <c r="I11" s="8" t="s">
        <v>1811</v>
      </c>
      <c r="J11" s="8" t="s">
        <v>117</v>
      </c>
      <c r="K11" s="8" t="s">
        <v>56</v>
      </c>
      <c r="L11" s="7">
        <v>5.65215E8</v>
      </c>
      <c r="M11" s="8" t="s">
        <v>52</v>
      </c>
      <c r="N11" s="8" t="s">
        <v>1771</v>
      </c>
      <c r="O11" s="8" t="s">
        <v>185</v>
      </c>
      <c r="P11" s="32">
        <v>42264.0</v>
      </c>
      <c r="Q11" s="7">
        <f>VLOOKUP(G11,'CBs RAW'!$E$2:$P$427,12)</f>
        <v>3.625</v>
      </c>
      <c r="R11" s="32">
        <v>45186.0</v>
      </c>
      <c r="S11" s="8" t="s">
        <v>174</v>
      </c>
      <c r="T11" s="8" t="s">
        <v>264</v>
      </c>
      <c r="U11" s="8" t="s">
        <v>49</v>
      </c>
      <c r="V11" s="8" t="s">
        <v>53</v>
      </c>
      <c r="W11" s="8" t="s">
        <v>1812</v>
      </c>
      <c r="X11" s="33">
        <f>VLOOKUP(G11,'CBs RAW'!$E$2:$W$427,19)</f>
        <v>2.739</v>
      </c>
      <c r="Y11" s="34">
        <f t="shared" si="1"/>
        <v>2.739</v>
      </c>
      <c r="Z11" s="4" t="str">
        <f t="shared" si="2"/>
        <v>Accor SAAT MATURITYFIXEDEURSr Unsecured</v>
      </c>
    </row>
    <row r="12">
      <c r="A12" s="8">
        <v>11.0</v>
      </c>
      <c r="B12" s="8" t="s">
        <v>1580</v>
      </c>
      <c r="C12" s="8" t="s">
        <v>1583</v>
      </c>
      <c r="D12" s="8" t="s">
        <v>71</v>
      </c>
      <c r="E12" s="8">
        <f>VLOOKUP(G12,'CBs RAW'!$E$2:$H$427,4)</f>
        <v>5.75</v>
      </c>
      <c r="F12" s="8" t="s">
        <v>259</v>
      </c>
      <c r="G12" s="8" t="s">
        <v>1813</v>
      </c>
      <c r="H12" s="8" t="s">
        <v>1814</v>
      </c>
      <c r="I12" s="8" t="s">
        <v>1815</v>
      </c>
      <c r="J12" s="8" t="s">
        <v>55</v>
      </c>
      <c r="K12" s="8" t="s">
        <v>56</v>
      </c>
      <c r="L12" s="7">
        <v>4.0E8</v>
      </c>
      <c r="M12" s="8" t="s">
        <v>52</v>
      </c>
      <c r="N12" s="8" t="s">
        <v>1816</v>
      </c>
      <c r="O12" s="8" t="s">
        <v>170</v>
      </c>
      <c r="P12" s="32">
        <v>43018.0</v>
      </c>
      <c r="Q12" s="7">
        <f>VLOOKUP(G12,'CBs RAW'!$E$2:$P$427,12)</f>
        <v>5.75</v>
      </c>
      <c r="R12" s="32">
        <v>45575.0</v>
      </c>
      <c r="S12" s="8" t="s">
        <v>262</v>
      </c>
      <c r="T12" s="8" t="s">
        <v>885</v>
      </c>
      <c r="U12" s="8" t="s">
        <v>115</v>
      </c>
      <c r="V12" s="8" t="s">
        <v>263</v>
      </c>
      <c r="W12" s="8" t="s">
        <v>1817</v>
      </c>
      <c r="X12" s="33">
        <f>VLOOKUP(G12,'CBs RAW'!$E$2:$W$427,19)</f>
        <v>5.38</v>
      </c>
      <c r="Y12" s="34">
        <f t="shared" si="1"/>
        <v>5.38</v>
      </c>
      <c r="Z12" s="4" t="str">
        <f t="shared" si="2"/>
        <v>Aegea Finance SarlCALLABLEFIXEDUSDSr Unsecured</v>
      </c>
    </row>
    <row r="13">
      <c r="A13" s="8">
        <v>12.0</v>
      </c>
      <c r="B13" s="8" t="s">
        <v>1580</v>
      </c>
      <c r="C13" s="8" t="s">
        <v>1583</v>
      </c>
      <c r="D13" s="8" t="s">
        <v>71</v>
      </c>
      <c r="E13" s="8">
        <f>VLOOKUP(G13,'CBs RAW'!$E$2:$H$427,4)</f>
        <v>5.75</v>
      </c>
      <c r="F13" s="8" t="s">
        <v>259</v>
      </c>
      <c r="G13" s="8" t="s">
        <v>1818</v>
      </c>
      <c r="H13" s="8" t="s">
        <v>1819</v>
      </c>
      <c r="I13" s="8" t="s">
        <v>1820</v>
      </c>
      <c r="J13" s="8" t="s">
        <v>55</v>
      </c>
      <c r="K13" s="8" t="s">
        <v>56</v>
      </c>
      <c r="L13" s="7">
        <v>4.0E8</v>
      </c>
      <c r="M13" s="8" t="s">
        <v>52</v>
      </c>
      <c r="N13" s="8" t="s">
        <v>1816</v>
      </c>
      <c r="O13" s="8" t="s">
        <v>170</v>
      </c>
      <c r="P13" s="32">
        <v>43018.0</v>
      </c>
      <c r="Q13" s="7">
        <f>VLOOKUP(G13,'CBs RAW'!$E$2:$P$427,12)</f>
        <v>5.75</v>
      </c>
      <c r="R13" s="32">
        <v>45575.0</v>
      </c>
      <c r="S13" s="8" t="s">
        <v>271</v>
      </c>
      <c r="T13" s="8" t="s">
        <v>885</v>
      </c>
      <c r="U13" s="8" t="s">
        <v>115</v>
      </c>
      <c r="V13" s="8" t="s">
        <v>263</v>
      </c>
      <c r="W13" s="8" t="s">
        <v>1821</v>
      </c>
      <c r="X13" s="33">
        <f>VLOOKUP(G13,'CBs RAW'!$E$2:$W$427,19)</f>
        <v>5.35</v>
      </c>
      <c r="Y13" s="34">
        <f t="shared" si="1"/>
        <v>5.35</v>
      </c>
      <c r="Z13" s="4" t="str">
        <f t="shared" si="2"/>
        <v>Aegea Finance SarlCALLABLEFIXEDUSDSr Unsecured</v>
      </c>
    </row>
    <row r="14">
      <c r="A14" s="8">
        <v>13.0</v>
      </c>
      <c r="B14" s="8" t="s">
        <v>491</v>
      </c>
      <c r="C14" s="8" t="s">
        <v>494</v>
      </c>
      <c r="D14" s="8" t="s">
        <v>57</v>
      </c>
      <c r="E14" s="8">
        <f>VLOOKUP(G14,'CBs RAW'!$E$2:$H$427,4)</f>
        <v>1.701</v>
      </c>
      <c r="F14" s="8" t="s">
        <v>200</v>
      </c>
      <c r="G14" s="8" t="s">
        <v>1822</v>
      </c>
      <c r="H14" s="8" t="s">
        <v>1823</v>
      </c>
      <c r="I14" s="8" t="s">
        <v>1824</v>
      </c>
      <c r="J14" s="8" t="s">
        <v>55</v>
      </c>
      <c r="K14" s="8" t="s">
        <v>56</v>
      </c>
      <c r="L14" s="7">
        <v>5.6058E8</v>
      </c>
      <c r="M14" s="8" t="s">
        <v>52</v>
      </c>
      <c r="N14" s="8" t="s">
        <v>1825</v>
      </c>
      <c r="O14" s="8" t="s">
        <v>200</v>
      </c>
      <c r="P14" s="32">
        <v>42894.0</v>
      </c>
      <c r="Q14" s="7">
        <f>VLOOKUP(G14,'CBs RAW'!$E$2:$P$427,12)</f>
        <v>1.625</v>
      </c>
      <c r="R14" s="32">
        <v>46546.0</v>
      </c>
      <c r="S14" s="8" t="s">
        <v>226</v>
      </c>
      <c r="T14" s="8" t="s">
        <v>497</v>
      </c>
      <c r="U14" s="8" t="s">
        <v>115</v>
      </c>
      <c r="V14" s="8" t="s">
        <v>53</v>
      </c>
      <c r="W14" s="8" t="s">
        <v>1826</v>
      </c>
      <c r="X14" s="33">
        <f>VLOOKUP(G14,'CBs RAW'!$E$2:$W$427,19)</f>
        <v>1.647</v>
      </c>
      <c r="Y14" s="34">
        <f t="shared" si="1"/>
        <v>1.647</v>
      </c>
      <c r="Z14" s="4" t="str">
        <f t="shared" si="2"/>
        <v>Aeroporti di Roma SpACALLABLEFIXEDEURSr Unsecured</v>
      </c>
    </row>
    <row r="15">
      <c r="A15" s="8">
        <v>14.0</v>
      </c>
      <c r="B15" s="8" t="s">
        <v>1167</v>
      </c>
      <c r="C15" s="8" t="s">
        <v>1170</v>
      </c>
      <c r="D15" s="8" t="s">
        <v>57</v>
      </c>
      <c r="E15" s="8" t="str">
        <f>VLOOKUP(G15,'CBs RAW'!$E$2:$H$427,4)</f>
        <v>#N/A N/A</v>
      </c>
      <c r="F15" s="8" t="s">
        <v>200</v>
      </c>
      <c r="G15" s="8" t="s">
        <v>1827</v>
      </c>
      <c r="H15" s="8" t="s">
        <v>1828</v>
      </c>
      <c r="I15" s="8" t="s">
        <v>1829</v>
      </c>
      <c r="J15" s="8" t="s">
        <v>55</v>
      </c>
      <c r="K15" s="8" t="s">
        <v>56</v>
      </c>
      <c r="L15" s="7">
        <v>6.737665E8</v>
      </c>
      <c r="M15" s="8" t="s">
        <v>1830</v>
      </c>
      <c r="N15" s="8" t="s">
        <v>1831</v>
      </c>
      <c r="O15" s="8" t="s">
        <v>200</v>
      </c>
      <c r="P15" s="32">
        <v>43139.0</v>
      </c>
      <c r="Q15" s="7">
        <f>VLOOKUP(G15,'CBs RAW'!$E$2:$P$427,12)</f>
        <v>1.625</v>
      </c>
      <c r="R15" s="32">
        <v>46791.0</v>
      </c>
      <c r="S15" s="8" t="s">
        <v>226</v>
      </c>
      <c r="T15" s="8" t="s">
        <v>497</v>
      </c>
      <c r="U15" s="8" t="s">
        <v>115</v>
      </c>
      <c r="V15" s="8" t="s">
        <v>53</v>
      </c>
      <c r="W15" s="8" t="s">
        <v>1832</v>
      </c>
      <c r="X15" s="33">
        <f>VLOOKUP(G15,'CBs RAW'!$E$2:$W$427,19)</f>
        <v>1.756</v>
      </c>
      <c r="Y15" s="34">
        <f t="shared" si="1"/>
        <v>1.756</v>
      </c>
      <c r="Z15" s="4" t="str">
        <f t="shared" si="2"/>
        <v>ASTM SpACALLABLEFIXEDEUR1st lien</v>
      </c>
    </row>
    <row r="16">
      <c r="A16" s="8">
        <v>15.0</v>
      </c>
      <c r="B16" s="8" t="s">
        <v>1167</v>
      </c>
      <c r="C16" s="8" t="s">
        <v>1170</v>
      </c>
      <c r="D16" s="8" t="s">
        <v>57</v>
      </c>
      <c r="E16" s="8">
        <f>VLOOKUP(G16,'CBs RAW'!$E$2:$H$427,4)</f>
        <v>3.439</v>
      </c>
      <c r="F16" s="8" t="s">
        <v>200</v>
      </c>
      <c r="G16" s="8" t="s">
        <v>1833</v>
      </c>
      <c r="H16" s="8" t="s">
        <v>1834</v>
      </c>
      <c r="I16" s="8" t="s">
        <v>1835</v>
      </c>
      <c r="J16" s="8" t="s">
        <v>55</v>
      </c>
      <c r="K16" s="8" t="s">
        <v>56</v>
      </c>
      <c r="L16" s="7">
        <v>6.83485E8</v>
      </c>
      <c r="M16" s="8" t="s">
        <v>1830</v>
      </c>
      <c r="N16" s="8" t="s">
        <v>1831</v>
      </c>
      <c r="O16" s="8" t="s">
        <v>200</v>
      </c>
      <c r="P16" s="32">
        <v>41683.0</v>
      </c>
      <c r="Q16" s="7">
        <f>VLOOKUP(G16,'CBs RAW'!$E$2:$P$427,12)</f>
        <v>3.375</v>
      </c>
      <c r="R16" s="32">
        <v>45335.0</v>
      </c>
      <c r="S16" s="8" t="s">
        <v>226</v>
      </c>
      <c r="T16" s="8" t="s">
        <v>497</v>
      </c>
      <c r="U16" s="8" t="s">
        <v>49</v>
      </c>
      <c r="V16" s="8" t="s">
        <v>53</v>
      </c>
      <c r="W16" s="8" t="s">
        <v>1836</v>
      </c>
      <c r="X16" s="33">
        <f>VLOOKUP(G16,'CBs RAW'!$E$2:$W$427,19)</f>
        <v>3.354</v>
      </c>
      <c r="Y16" s="34">
        <f t="shared" si="1"/>
        <v>3.354</v>
      </c>
      <c r="Z16" s="4" t="str">
        <f t="shared" si="2"/>
        <v>ASTM SpAAT MATURITYFIXEDEUR1st lien</v>
      </c>
    </row>
    <row r="17">
      <c r="A17" s="8">
        <v>16.0</v>
      </c>
      <c r="B17" s="8" t="s">
        <v>1067</v>
      </c>
      <c r="C17" s="8" t="s">
        <v>1070</v>
      </c>
      <c r="D17" s="8" t="s">
        <v>57</v>
      </c>
      <c r="E17" s="8" t="str">
        <f>VLOOKUP(G17,'CBs RAW'!$E$2:$H$427,4)</f>
        <v>#N/A N/A</v>
      </c>
      <c r="F17" s="8" t="s">
        <v>185</v>
      </c>
      <c r="G17" s="8" t="s">
        <v>1837</v>
      </c>
      <c r="H17" s="8" t="s">
        <v>1838</v>
      </c>
      <c r="I17" s="8" t="s">
        <v>1839</v>
      </c>
      <c r="J17" s="8" t="s">
        <v>55</v>
      </c>
      <c r="K17" s="8" t="s">
        <v>56</v>
      </c>
      <c r="L17" s="7">
        <v>8.598E8</v>
      </c>
      <c r="M17" s="8" t="s">
        <v>52</v>
      </c>
      <c r="N17" s="8" t="s">
        <v>1840</v>
      </c>
      <c r="O17" s="8" t="s">
        <v>185</v>
      </c>
      <c r="P17" s="32">
        <v>43411.0</v>
      </c>
      <c r="Q17" s="7">
        <f>VLOOKUP(G17,'CBs RAW'!$E$2:$P$427,12)</f>
        <v>1.75</v>
      </c>
      <c r="R17" s="32">
        <v>45784.0</v>
      </c>
      <c r="S17" s="8" t="s">
        <v>174</v>
      </c>
      <c r="T17" s="8" t="s">
        <v>190</v>
      </c>
      <c r="U17" s="8" t="s">
        <v>115</v>
      </c>
      <c r="V17" s="8" t="s">
        <v>53</v>
      </c>
      <c r="W17" s="8" t="s">
        <v>1841</v>
      </c>
      <c r="X17" s="33">
        <f>VLOOKUP(G17,'CBs RAW'!$E$2:$W$427,19)</f>
        <v>1.725</v>
      </c>
      <c r="Y17" s="34">
        <f t="shared" si="1"/>
        <v>1.725</v>
      </c>
      <c r="Z17" s="4" t="str">
        <f t="shared" si="2"/>
        <v>Atos SECALLABLEFIXEDEURSr Unsecured</v>
      </c>
    </row>
    <row r="18">
      <c r="A18" s="8">
        <v>17.0</v>
      </c>
      <c r="B18" s="8" t="s">
        <v>1067</v>
      </c>
      <c r="C18" s="8" t="s">
        <v>1070</v>
      </c>
      <c r="D18" s="8" t="s">
        <v>57</v>
      </c>
      <c r="E18" s="8" t="str">
        <f>VLOOKUP(G18,'CBs RAW'!$E$2:$H$427,4)</f>
        <v>#N/A N/A</v>
      </c>
      <c r="F18" s="8" t="s">
        <v>185</v>
      </c>
      <c r="G18" s="8" t="s">
        <v>1842</v>
      </c>
      <c r="H18" s="8" t="s">
        <v>1843</v>
      </c>
      <c r="I18" s="8" t="s">
        <v>1844</v>
      </c>
      <c r="J18" s="8" t="s">
        <v>55</v>
      </c>
      <c r="K18" s="8" t="s">
        <v>56</v>
      </c>
      <c r="L18" s="7">
        <v>8.0248E8</v>
      </c>
      <c r="M18" s="8" t="s">
        <v>52</v>
      </c>
      <c r="N18" s="8" t="s">
        <v>1840</v>
      </c>
      <c r="O18" s="8" t="s">
        <v>185</v>
      </c>
      <c r="P18" s="32">
        <v>43411.0</v>
      </c>
      <c r="Q18" s="7">
        <f>VLOOKUP(G18,'CBs RAW'!$E$2:$P$427,12)</f>
        <v>0.75</v>
      </c>
      <c r="R18" s="32">
        <v>44688.0</v>
      </c>
      <c r="S18" s="8" t="s">
        <v>174</v>
      </c>
      <c r="T18" s="8" t="s">
        <v>190</v>
      </c>
      <c r="U18" s="8" t="s">
        <v>115</v>
      </c>
      <c r="V18" s="8" t="s">
        <v>53</v>
      </c>
      <c r="W18" s="8" t="s">
        <v>1845</v>
      </c>
      <c r="X18" s="33">
        <f>VLOOKUP(G18,'CBs RAW'!$E$2:$W$427,19)</f>
        <v>0.666</v>
      </c>
      <c r="Y18" s="34">
        <f t="shared" si="1"/>
        <v>0.666</v>
      </c>
      <c r="Z18" s="4" t="str">
        <f t="shared" si="2"/>
        <v>Atos SECALLABLEFIXEDEURSr Unsecured</v>
      </c>
    </row>
    <row r="19">
      <c r="A19" s="8">
        <v>18.0</v>
      </c>
      <c r="B19" s="8" t="s">
        <v>1067</v>
      </c>
      <c r="C19" s="8" t="s">
        <v>1070</v>
      </c>
      <c r="D19" s="8" t="s">
        <v>57</v>
      </c>
      <c r="E19" s="8" t="str">
        <f>VLOOKUP(G19,'CBs RAW'!$E$2:$H$427,4)</f>
        <v>#N/A N/A</v>
      </c>
      <c r="F19" s="8" t="s">
        <v>185</v>
      </c>
      <c r="G19" s="8" t="s">
        <v>1846</v>
      </c>
      <c r="H19" s="8" t="s">
        <v>1847</v>
      </c>
      <c r="I19" s="8" t="s">
        <v>1848</v>
      </c>
      <c r="J19" s="8" t="s">
        <v>55</v>
      </c>
      <c r="K19" s="8" t="s">
        <v>56</v>
      </c>
      <c r="L19" s="7">
        <v>4.0124E8</v>
      </c>
      <c r="M19" s="8" t="s">
        <v>52</v>
      </c>
      <c r="N19" s="8" t="s">
        <v>1776</v>
      </c>
      <c r="O19" s="8" t="s">
        <v>185</v>
      </c>
      <c r="P19" s="32">
        <v>43411.0</v>
      </c>
      <c r="Q19" s="7">
        <f>VLOOKUP(G19,'CBs RAW'!$E$2:$P$427,12)</f>
        <v>2.5</v>
      </c>
      <c r="R19" s="32">
        <v>47064.0</v>
      </c>
      <c r="S19" s="8" t="s">
        <v>174</v>
      </c>
      <c r="T19" s="8" t="s">
        <v>190</v>
      </c>
      <c r="U19" s="8" t="s">
        <v>115</v>
      </c>
      <c r="V19" s="8" t="s">
        <v>53</v>
      </c>
      <c r="W19" s="8" t="s">
        <v>1849</v>
      </c>
      <c r="X19" s="33">
        <f>VLOOKUP(G19,'CBs RAW'!$E$2:$W$427,19)</f>
        <v>2.456</v>
      </c>
      <c r="Y19" s="34">
        <f t="shared" si="1"/>
        <v>2.456</v>
      </c>
      <c r="Z19" s="4" t="str">
        <f t="shared" si="2"/>
        <v>Atos SECALLABLEFIXEDEURSr Unsecured</v>
      </c>
    </row>
    <row r="20">
      <c r="A20" s="8">
        <v>19.0</v>
      </c>
      <c r="B20" s="8" t="s">
        <v>1067</v>
      </c>
      <c r="C20" s="8" t="s">
        <v>1070</v>
      </c>
      <c r="D20" s="8" t="s">
        <v>57</v>
      </c>
      <c r="E20" s="8" t="str">
        <f>VLOOKUP(G20,'CBs RAW'!$E$2:$H$427,4)</f>
        <v>#N/A N/A</v>
      </c>
      <c r="F20" s="8" t="s">
        <v>185</v>
      </c>
      <c r="G20" s="8" t="s">
        <v>1850</v>
      </c>
      <c r="H20" s="8" t="s">
        <v>1851</v>
      </c>
      <c r="I20" s="8" t="s">
        <v>1852</v>
      </c>
      <c r="J20" s="8" t="s">
        <v>55</v>
      </c>
      <c r="K20" s="8" t="s">
        <v>56</v>
      </c>
      <c r="L20" s="7">
        <v>3.34839E8</v>
      </c>
      <c r="M20" s="8" t="s">
        <v>52</v>
      </c>
      <c r="N20" s="8" t="s">
        <v>1771</v>
      </c>
      <c r="O20" s="8" t="s">
        <v>185</v>
      </c>
      <c r="P20" s="32">
        <v>42649.0</v>
      </c>
      <c r="Q20" s="7">
        <f>VLOOKUP(G20,'CBs RAW'!$E$2:$P$427,12)</f>
        <v>1.444</v>
      </c>
      <c r="R20" s="32">
        <v>45205.0</v>
      </c>
      <c r="S20" s="8" t="s">
        <v>174</v>
      </c>
      <c r="T20" s="8" t="s">
        <v>54</v>
      </c>
      <c r="U20" s="8" t="s">
        <v>115</v>
      </c>
      <c r="V20" s="8" t="s">
        <v>53</v>
      </c>
      <c r="W20" s="8" t="s">
        <v>1853</v>
      </c>
      <c r="X20" s="33" t="str">
        <f>VLOOKUP(G20,'CBs RAW'!$E$2:$W$427,19)</f>
        <v>#N/A N/A</v>
      </c>
      <c r="Y20" s="4" t="str">
        <f t="shared" si="1"/>
        <v>#N/A N/A</v>
      </c>
      <c r="Z20" s="4" t="str">
        <f t="shared" si="2"/>
        <v>Atos SECALLABLEFIXEDEURSr Unsecured</v>
      </c>
    </row>
    <row r="21">
      <c r="A21" s="8">
        <v>20.0</v>
      </c>
      <c r="B21" s="8" t="s">
        <v>1067</v>
      </c>
      <c r="C21" s="8" t="s">
        <v>1070</v>
      </c>
      <c r="D21" s="8" t="s">
        <v>174</v>
      </c>
      <c r="E21" s="8" t="str">
        <f>VLOOKUP(G21,'CBs RAW'!$E$2:$H$427,4)</f>
        <v>#N/A N/A</v>
      </c>
      <c r="F21" s="8" t="s">
        <v>185</v>
      </c>
      <c r="G21" s="8" t="s">
        <v>1854</v>
      </c>
      <c r="H21" s="8" t="s">
        <v>1855</v>
      </c>
      <c r="I21" s="8" t="s">
        <v>1856</v>
      </c>
      <c r="J21" s="8" t="s">
        <v>55</v>
      </c>
      <c r="K21" s="8" t="s">
        <v>676</v>
      </c>
      <c r="L21" s="7">
        <v>5.53305E8</v>
      </c>
      <c r="M21" s="8" t="s">
        <v>52</v>
      </c>
      <c r="N21" s="8" t="s">
        <v>1776</v>
      </c>
      <c r="O21" s="8" t="s">
        <v>185</v>
      </c>
      <c r="P21" s="32">
        <v>43775.0</v>
      </c>
      <c r="Q21" s="7">
        <f>VLOOKUP(G21,'CBs RAW'!$E$2:$P$427,12)</f>
        <v>0</v>
      </c>
      <c r="R21" s="32">
        <v>45602.0</v>
      </c>
      <c r="S21" s="8" t="s">
        <v>174</v>
      </c>
      <c r="T21" s="8" t="s">
        <v>54</v>
      </c>
      <c r="U21" s="8" t="s">
        <v>189</v>
      </c>
      <c r="V21" s="8" t="s">
        <v>53</v>
      </c>
      <c r="W21" s="8" t="s">
        <v>1857</v>
      </c>
      <c r="X21" s="33">
        <f>VLOOKUP(G21,'CBs RAW'!$E$2:$W$427,19)</f>
        <v>-2.198</v>
      </c>
      <c r="Y21" s="34">
        <f t="shared" si="1"/>
        <v>-2.198</v>
      </c>
      <c r="Z21" s="4" t="str">
        <f t="shared" si="2"/>
        <v>Atos SECONVERTIBLEZERO COUPONEURSr Unsecured</v>
      </c>
    </row>
    <row r="22">
      <c r="A22" s="8">
        <v>21.0</v>
      </c>
      <c r="B22" s="8" t="s">
        <v>1067</v>
      </c>
      <c r="C22" s="8" t="s">
        <v>1070</v>
      </c>
      <c r="D22" s="8" t="s">
        <v>57</v>
      </c>
      <c r="E22" s="8" t="str">
        <f>VLOOKUP(G22,'CBs RAW'!$E$2:$H$427,4)</f>
        <v>#N/A N/A</v>
      </c>
      <c r="F22" s="8" t="s">
        <v>185</v>
      </c>
      <c r="G22" s="8" t="s">
        <v>1858</v>
      </c>
      <c r="H22" s="8" t="s">
        <v>1859</v>
      </c>
      <c r="I22" s="8" t="s">
        <v>1860</v>
      </c>
      <c r="J22" s="8" t="s">
        <v>55</v>
      </c>
      <c r="K22" s="8" t="s">
        <v>56</v>
      </c>
      <c r="L22" s="7">
        <v>5.64815E7</v>
      </c>
      <c r="M22" s="8" t="s">
        <v>52</v>
      </c>
      <c r="N22" s="8" t="s">
        <v>174</v>
      </c>
      <c r="O22" s="8" t="s">
        <v>185</v>
      </c>
      <c r="P22" s="32">
        <v>43572.0</v>
      </c>
      <c r="Q22" s="7">
        <f>VLOOKUP(G22,'CBs RAW'!$E$2:$P$427,12)</f>
        <v>1.125</v>
      </c>
      <c r="R22" s="32">
        <v>46129.0</v>
      </c>
      <c r="S22" s="8" t="s">
        <v>174</v>
      </c>
      <c r="T22" s="8" t="s">
        <v>54</v>
      </c>
      <c r="U22" s="8" t="s">
        <v>49</v>
      </c>
      <c r="V22" s="8" t="s">
        <v>53</v>
      </c>
      <c r="W22" s="8" t="s">
        <v>1861</v>
      </c>
      <c r="X22" s="33" t="str">
        <f>VLOOKUP(G22,'CBs RAW'!$E$2:$W$427,19)</f>
        <v>#N/A N/A</v>
      </c>
      <c r="Y22" s="4" t="str">
        <f t="shared" si="1"/>
        <v>#N/A N/A</v>
      </c>
      <c r="Z22" s="4" t="str">
        <f t="shared" si="2"/>
        <v>Atos SEAT MATURITYFIXEDEURSr Unsecured</v>
      </c>
    </row>
    <row r="23">
      <c r="A23" s="8">
        <v>22.0</v>
      </c>
      <c r="B23" s="8" t="s">
        <v>1432</v>
      </c>
      <c r="C23" s="8" t="s">
        <v>1435</v>
      </c>
      <c r="D23" s="8" t="s">
        <v>57</v>
      </c>
      <c r="E23" s="8" t="str">
        <f>VLOOKUP(G23,'CBs RAW'!$E$2:$H$427,4)</f>
        <v>#N/A N/A</v>
      </c>
      <c r="F23" s="8" t="s">
        <v>368</v>
      </c>
      <c r="G23" s="8" t="s">
        <v>1862</v>
      </c>
      <c r="H23" s="8" t="s">
        <v>1863</v>
      </c>
      <c r="I23" s="8" t="s">
        <v>1864</v>
      </c>
      <c r="J23" s="8" t="s">
        <v>55</v>
      </c>
      <c r="K23" s="8" t="s">
        <v>56</v>
      </c>
      <c r="L23" s="7">
        <v>5.97265E7</v>
      </c>
      <c r="M23" s="8" t="s">
        <v>52</v>
      </c>
      <c r="N23" s="8" t="s">
        <v>174</v>
      </c>
      <c r="O23" s="8" t="s">
        <v>368</v>
      </c>
      <c r="P23" s="32">
        <v>43410.0</v>
      </c>
      <c r="Q23" s="7">
        <f>VLOOKUP(G23,'CBs RAW'!$E$2:$P$427,12)</f>
        <v>3.845</v>
      </c>
      <c r="R23" s="32">
        <v>47063.0</v>
      </c>
      <c r="S23" s="8" t="s">
        <v>174</v>
      </c>
      <c r="T23" s="8" t="s">
        <v>54</v>
      </c>
      <c r="U23" s="8" t="s">
        <v>49</v>
      </c>
      <c r="V23" s="8" t="s">
        <v>610</v>
      </c>
      <c r="W23" s="8" t="s">
        <v>1865</v>
      </c>
      <c r="X23" s="33">
        <f>VLOOKUP(G23,'CBs RAW'!$E$2:$W$427,19)</f>
        <v>3.841</v>
      </c>
      <c r="Y23" s="34">
        <f t="shared" si="1"/>
        <v>3.841</v>
      </c>
      <c r="Z23" s="4" t="str">
        <f t="shared" si="2"/>
        <v>Atrium Ljungberg ABAT MATURITYFIXEDNOKSr Unsecured</v>
      </c>
    </row>
    <row r="24">
      <c r="A24" s="8">
        <v>23.0</v>
      </c>
      <c r="B24" s="8" t="s">
        <v>1432</v>
      </c>
      <c r="C24" s="8" t="s">
        <v>1435</v>
      </c>
      <c r="D24" s="8" t="s">
        <v>57</v>
      </c>
      <c r="E24" s="8" t="str">
        <f>VLOOKUP(G24,'CBs RAW'!$E$2:$H$427,4)</f>
        <v>#N/A N/A</v>
      </c>
      <c r="F24" s="8" t="s">
        <v>368</v>
      </c>
      <c r="G24" s="8" t="s">
        <v>1866</v>
      </c>
      <c r="H24" s="8" t="s">
        <v>1867</v>
      </c>
      <c r="I24" s="8" t="s">
        <v>1868</v>
      </c>
      <c r="J24" s="8" t="s">
        <v>55</v>
      </c>
      <c r="K24" s="8" t="s">
        <v>56</v>
      </c>
      <c r="L24" s="7">
        <v>5.82935E7</v>
      </c>
      <c r="M24" s="8" t="s">
        <v>52</v>
      </c>
      <c r="N24" s="8" t="s">
        <v>1771</v>
      </c>
      <c r="O24" s="8" t="s">
        <v>368</v>
      </c>
      <c r="P24" s="32">
        <v>43522.0</v>
      </c>
      <c r="Q24" s="7">
        <f>VLOOKUP(G24,'CBs RAW'!$E$2:$P$427,12)</f>
        <v>3.225</v>
      </c>
      <c r="R24" s="32">
        <v>45348.0</v>
      </c>
      <c r="S24" s="8" t="s">
        <v>686</v>
      </c>
      <c r="T24" s="8" t="s">
        <v>54</v>
      </c>
      <c r="U24" s="8" t="s">
        <v>49</v>
      </c>
      <c r="V24" s="8" t="s">
        <v>610</v>
      </c>
      <c r="W24" s="8" t="s">
        <v>1869</v>
      </c>
      <c r="X24" s="33">
        <f>VLOOKUP(G24,'CBs RAW'!$E$2:$W$427,19)</f>
        <v>2.269</v>
      </c>
      <c r="Y24" s="34">
        <f t="shared" si="1"/>
        <v>2.269</v>
      </c>
      <c r="Z24" s="4" t="str">
        <f t="shared" si="2"/>
        <v>Atrium Ljungberg ABAT MATURITYFIXEDNOKSr Unsecured</v>
      </c>
    </row>
    <row r="25">
      <c r="A25" s="8">
        <v>24.0</v>
      </c>
      <c r="B25" s="8" t="s">
        <v>1432</v>
      </c>
      <c r="C25" s="8" t="s">
        <v>1435</v>
      </c>
      <c r="D25" s="8" t="s">
        <v>392</v>
      </c>
      <c r="E25" s="8" t="str">
        <f>VLOOKUP(G25,'CBs RAW'!$E$2:$H$427,4)</f>
        <v>#N/A N/A</v>
      </c>
      <c r="F25" s="8" t="s">
        <v>368</v>
      </c>
      <c r="G25" s="8" t="s">
        <v>1870</v>
      </c>
      <c r="H25" s="8" t="s">
        <v>1871</v>
      </c>
      <c r="I25" s="8" t="s">
        <v>1872</v>
      </c>
      <c r="J25" s="8" t="s">
        <v>55</v>
      </c>
      <c r="K25" s="8" t="s">
        <v>70</v>
      </c>
      <c r="L25" s="7">
        <v>5.3677E7</v>
      </c>
      <c r="M25" s="8" t="s">
        <v>52</v>
      </c>
      <c r="N25" s="8" t="s">
        <v>174</v>
      </c>
      <c r="O25" s="8" t="s">
        <v>368</v>
      </c>
      <c r="P25" s="32">
        <v>43879.0</v>
      </c>
      <c r="Q25" s="7">
        <f>VLOOKUP(G25,'CBs RAW'!$E$2:$P$427,12)</f>
        <v>2.09</v>
      </c>
      <c r="R25" s="32">
        <v>46071.0</v>
      </c>
      <c r="S25" s="8" t="s">
        <v>174</v>
      </c>
      <c r="T25" s="8" t="s">
        <v>54</v>
      </c>
      <c r="U25" s="8" t="s">
        <v>49</v>
      </c>
      <c r="V25" s="8" t="s">
        <v>610</v>
      </c>
      <c r="W25" s="8" t="s">
        <v>1873</v>
      </c>
      <c r="X25" s="33">
        <f>VLOOKUP(G25,'CBs RAW'!$E$2:$W$427,19)</f>
        <v>2.548</v>
      </c>
      <c r="Y25" s="34">
        <f t="shared" si="1"/>
        <v>2.548</v>
      </c>
      <c r="Z25" s="4" t="str">
        <f t="shared" si="2"/>
        <v>Atrium Ljungberg ABAT MATURITYFLOATINGNOKSr Unsecured</v>
      </c>
    </row>
    <row r="26">
      <c r="A26" s="8">
        <v>25.0</v>
      </c>
      <c r="B26" s="8" t="s">
        <v>1432</v>
      </c>
      <c r="C26" s="8" t="s">
        <v>1435</v>
      </c>
      <c r="D26" s="8" t="s">
        <v>392</v>
      </c>
      <c r="E26" s="8" t="str">
        <f>VLOOKUP(G26,'CBs RAW'!$E$2:$H$427,4)</f>
        <v>#N/A N/A</v>
      </c>
      <c r="F26" s="8" t="s">
        <v>368</v>
      </c>
      <c r="G26" s="8" t="s">
        <v>1874</v>
      </c>
      <c r="H26" s="8" t="s">
        <v>1875</v>
      </c>
      <c r="I26" s="8" t="s">
        <v>1876</v>
      </c>
      <c r="J26" s="8" t="s">
        <v>55</v>
      </c>
      <c r="K26" s="8" t="s">
        <v>70</v>
      </c>
      <c r="L26" s="7">
        <v>2.30074E7</v>
      </c>
      <c r="M26" s="8" t="s">
        <v>52</v>
      </c>
      <c r="N26" s="8" t="s">
        <v>1771</v>
      </c>
      <c r="O26" s="8" t="s">
        <v>368</v>
      </c>
      <c r="P26" s="32">
        <v>44284.0</v>
      </c>
      <c r="Q26" s="7">
        <f>VLOOKUP(G26,'CBs RAW'!$E$2:$P$427,12)</f>
        <v>0.646</v>
      </c>
      <c r="R26" s="32">
        <v>45014.0</v>
      </c>
      <c r="S26" s="8" t="s">
        <v>686</v>
      </c>
      <c r="T26" s="8" t="s">
        <v>54</v>
      </c>
      <c r="U26" s="8" t="s">
        <v>49</v>
      </c>
      <c r="V26" s="8" t="s">
        <v>687</v>
      </c>
      <c r="W26" s="8" t="s">
        <v>1877</v>
      </c>
      <c r="X26" s="33" t="str">
        <f>VLOOKUP(G26,'CBs RAW'!$E$2:$W$427,19)</f>
        <v>#N/A N/A</v>
      </c>
      <c r="Y26" s="4" t="str">
        <f t="shared" si="1"/>
        <v>#N/A N/A</v>
      </c>
      <c r="Z26" s="4" t="str">
        <f t="shared" si="2"/>
        <v>Atrium Ljungberg ABAT MATURITYFLOATINGSEKSr Unsecured</v>
      </c>
    </row>
    <row r="27">
      <c r="A27" s="8">
        <v>26.0</v>
      </c>
      <c r="B27" s="8" t="s">
        <v>1432</v>
      </c>
      <c r="C27" s="8" t="s">
        <v>1435</v>
      </c>
      <c r="D27" s="8" t="s">
        <v>392</v>
      </c>
      <c r="E27" s="8" t="str">
        <f>VLOOKUP(G27,'CBs RAW'!$E$2:$H$427,4)</f>
        <v>#N/A N/A</v>
      </c>
      <c r="F27" s="8" t="s">
        <v>368</v>
      </c>
      <c r="G27" s="8" t="s">
        <v>1878</v>
      </c>
      <c r="H27" s="8" t="s">
        <v>1879</v>
      </c>
      <c r="I27" s="8" t="s">
        <v>1880</v>
      </c>
      <c r="J27" s="8" t="s">
        <v>55</v>
      </c>
      <c r="K27" s="8" t="s">
        <v>70</v>
      </c>
      <c r="L27" s="7">
        <v>5.17825E7</v>
      </c>
      <c r="M27" s="8" t="s">
        <v>52</v>
      </c>
      <c r="N27" s="8" t="s">
        <v>174</v>
      </c>
      <c r="O27" s="8" t="s">
        <v>368</v>
      </c>
      <c r="P27" s="32">
        <v>43606.0</v>
      </c>
      <c r="Q27" s="7">
        <f>VLOOKUP(G27,'CBs RAW'!$E$2:$P$427,12)</f>
        <v>0.906</v>
      </c>
      <c r="R27" s="32">
        <v>44886.0</v>
      </c>
      <c r="S27" s="8" t="s">
        <v>686</v>
      </c>
      <c r="T27" s="8" t="s">
        <v>54</v>
      </c>
      <c r="U27" s="8" t="s">
        <v>49</v>
      </c>
      <c r="V27" s="8" t="s">
        <v>687</v>
      </c>
      <c r="W27" s="8" t="s">
        <v>1881</v>
      </c>
      <c r="X27" s="33">
        <f>VLOOKUP(G27,'CBs RAW'!$E$2:$W$427,19)</f>
        <v>0.874</v>
      </c>
      <c r="Y27" s="34">
        <f t="shared" si="1"/>
        <v>0.874</v>
      </c>
      <c r="Z27" s="4" t="str">
        <f t="shared" si="2"/>
        <v>Atrium Ljungberg ABAT MATURITYFLOATINGSEKSr Unsecured</v>
      </c>
    </row>
    <row r="28">
      <c r="A28" s="8">
        <v>27.0</v>
      </c>
      <c r="B28" s="8" t="s">
        <v>1292</v>
      </c>
      <c r="C28" s="8" t="s">
        <v>1295</v>
      </c>
      <c r="D28" s="8" t="s">
        <v>71</v>
      </c>
      <c r="E28" s="8" t="str">
        <f>VLOOKUP(G28,'CBs RAW'!$E$2:$H$427,4)</f>
        <v>#N/A N/A</v>
      </c>
      <c r="F28" s="8" t="s">
        <v>45</v>
      </c>
      <c r="G28" s="8" t="s">
        <v>1882</v>
      </c>
      <c r="H28" s="8" t="s">
        <v>174</v>
      </c>
      <c r="I28" s="8" t="s">
        <v>1883</v>
      </c>
      <c r="J28" s="8" t="s">
        <v>55</v>
      </c>
      <c r="K28" s="8" t="s">
        <v>70</v>
      </c>
      <c r="L28" s="7">
        <v>6.732234E7</v>
      </c>
      <c r="M28" s="8" t="s">
        <v>52</v>
      </c>
      <c r="N28" s="8" t="s">
        <v>174</v>
      </c>
      <c r="O28" s="8" t="s">
        <v>45</v>
      </c>
      <c r="P28" s="32">
        <v>43300.0</v>
      </c>
      <c r="Q28" s="7">
        <f>VLOOKUP(G28,'CBs RAW'!$E$2:$P$427,12)</f>
        <v>0</v>
      </c>
      <c r="R28" s="32">
        <v>45126.0</v>
      </c>
      <c r="S28" s="8" t="s">
        <v>76</v>
      </c>
      <c r="T28" s="8" t="s">
        <v>54</v>
      </c>
      <c r="U28" s="8" t="s">
        <v>49</v>
      </c>
      <c r="V28" s="8" t="s">
        <v>53</v>
      </c>
      <c r="W28" s="8" t="s">
        <v>1884</v>
      </c>
      <c r="X28" s="33" t="str">
        <f>VLOOKUP(G28,'CBs RAW'!$E$2:$W$427,19)</f>
        <v>#N/A N/A</v>
      </c>
      <c r="Y28" s="4" t="str">
        <f t="shared" si="1"/>
        <v>#N/A N/A</v>
      </c>
      <c r="Z28" s="4" t="str">
        <f t="shared" si="2"/>
        <v>BayWa AGAT MATURITYFLOATINGEURSr Unsecured</v>
      </c>
    </row>
    <row r="29">
      <c r="A29" s="8">
        <v>28.0</v>
      </c>
      <c r="B29" s="8" t="s">
        <v>1292</v>
      </c>
      <c r="C29" s="8" t="s">
        <v>1295</v>
      </c>
      <c r="D29" s="8" t="s">
        <v>71</v>
      </c>
      <c r="E29" s="8" t="str">
        <f>VLOOKUP(G29,'CBs RAW'!$E$2:$H$427,4)</f>
        <v>#N/A N/A</v>
      </c>
      <c r="F29" s="8" t="s">
        <v>45</v>
      </c>
      <c r="G29" s="8" t="s">
        <v>1885</v>
      </c>
      <c r="H29" s="8" t="s">
        <v>174</v>
      </c>
      <c r="I29" s="8" t="s">
        <v>1886</v>
      </c>
      <c r="J29" s="8" t="s">
        <v>55</v>
      </c>
      <c r="K29" s="8" t="s">
        <v>70</v>
      </c>
      <c r="L29" s="7">
        <v>6.732234E7</v>
      </c>
      <c r="M29" s="8" t="s">
        <v>52</v>
      </c>
      <c r="N29" s="8" t="s">
        <v>174</v>
      </c>
      <c r="O29" s="8" t="s">
        <v>45</v>
      </c>
      <c r="P29" s="32">
        <v>43300.0</v>
      </c>
      <c r="Q29" s="7">
        <f>VLOOKUP(G29,'CBs RAW'!$E$2:$P$427,12)</f>
        <v>0</v>
      </c>
      <c r="R29" s="32">
        <v>45857.0</v>
      </c>
      <c r="S29" s="8" t="s">
        <v>69</v>
      </c>
      <c r="T29" s="8" t="s">
        <v>54</v>
      </c>
      <c r="U29" s="8" t="s">
        <v>49</v>
      </c>
      <c r="V29" s="8" t="s">
        <v>53</v>
      </c>
      <c r="W29" s="8" t="s">
        <v>1887</v>
      </c>
      <c r="X29" s="33" t="str">
        <f>VLOOKUP(G29,'CBs RAW'!$E$2:$W$427,19)</f>
        <v>#N/A N/A</v>
      </c>
      <c r="Y29" s="4" t="str">
        <f t="shared" si="1"/>
        <v>#N/A N/A</v>
      </c>
      <c r="Z29" s="4" t="str">
        <f t="shared" si="2"/>
        <v>BayWa AGAT MATURITYFLOATINGEURSr Unsecured</v>
      </c>
    </row>
    <row r="30">
      <c r="A30" s="8">
        <v>29.0</v>
      </c>
      <c r="B30" s="8" t="s">
        <v>1292</v>
      </c>
      <c r="C30" s="8" t="s">
        <v>1295</v>
      </c>
      <c r="D30" s="8" t="s">
        <v>71</v>
      </c>
      <c r="E30" s="8" t="str">
        <f>VLOOKUP(G30,'CBs RAW'!$E$2:$H$427,4)</f>
        <v>#N/A N/A</v>
      </c>
      <c r="F30" s="8" t="s">
        <v>45</v>
      </c>
      <c r="G30" s="8" t="s">
        <v>1888</v>
      </c>
      <c r="H30" s="8" t="s">
        <v>174</v>
      </c>
      <c r="I30" s="8" t="s">
        <v>1889</v>
      </c>
      <c r="J30" s="8" t="s">
        <v>55</v>
      </c>
      <c r="K30" s="8" t="s">
        <v>70</v>
      </c>
      <c r="L30" s="7">
        <v>7.96047E7</v>
      </c>
      <c r="M30" s="8" t="s">
        <v>52</v>
      </c>
      <c r="N30" s="8" t="s">
        <v>1840</v>
      </c>
      <c r="O30" s="8" t="s">
        <v>45</v>
      </c>
      <c r="P30" s="32">
        <v>43398.0</v>
      </c>
      <c r="Q30" s="7">
        <f>VLOOKUP(G30,'CBs RAW'!$E$2:$P$427,12)</f>
        <v>0</v>
      </c>
      <c r="R30" s="32">
        <v>45224.0</v>
      </c>
      <c r="S30" s="8" t="s">
        <v>76</v>
      </c>
      <c r="T30" s="8" t="s">
        <v>54</v>
      </c>
      <c r="U30" s="8" t="s">
        <v>49</v>
      </c>
      <c r="V30" s="8" t="s">
        <v>53</v>
      </c>
      <c r="W30" s="8" t="s">
        <v>1890</v>
      </c>
      <c r="X30" s="33" t="str">
        <f>VLOOKUP(G30,'CBs RAW'!$E$2:$W$427,19)</f>
        <v>#N/A N/A</v>
      </c>
      <c r="Y30" s="4" t="str">
        <f t="shared" si="1"/>
        <v>#N/A N/A</v>
      </c>
      <c r="Z30" s="4" t="str">
        <f t="shared" si="2"/>
        <v>BayWa AGAT MATURITYFLOATINGEURSr Unsecured</v>
      </c>
    </row>
    <row r="31">
      <c r="A31" s="8">
        <v>30.0</v>
      </c>
      <c r="B31" s="8" t="s">
        <v>1292</v>
      </c>
      <c r="C31" s="8" t="s">
        <v>1295</v>
      </c>
      <c r="D31" s="8" t="s">
        <v>71</v>
      </c>
      <c r="E31" s="8" t="str">
        <f>VLOOKUP(G31,'CBs RAW'!$E$2:$H$427,4)</f>
        <v>#N/A N/A</v>
      </c>
      <c r="F31" s="8" t="s">
        <v>45</v>
      </c>
      <c r="G31" s="8" t="s">
        <v>1891</v>
      </c>
      <c r="H31" s="8" t="s">
        <v>174</v>
      </c>
      <c r="I31" s="8" t="s">
        <v>1892</v>
      </c>
      <c r="J31" s="8" t="s">
        <v>55</v>
      </c>
      <c r="K31" s="8" t="s">
        <v>70</v>
      </c>
      <c r="L31" s="7">
        <v>7.96047E7</v>
      </c>
      <c r="M31" s="8" t="s">
        <v>52</v>
      </c>
      <c r="N31" s="8" t="s">
        <v>1840</v>
      </c>
      <c r="O31" s="8" t="s">
        <v>45</v>
      </c>
      <c r="P31" s="32">
        <v>43398.0</v>
      </c>
      <c r="Q31" s="7">
        <f>VLOOKUP(G31,'CBs RAW'!$E$2:$P$427,12)</f>
        <v>0</v>
      </c>
      <c r="R31" s="32">
        <v>45955.0</v>
      </c>
      <c r="S31" s="8" t="s">
        <v>69</v>
      </c>
      <c r="T31" s="8" t="s">
        <v>54</v>
      </c>
      <c r="U31" s="8" t="s">
        <v>49</v>
      </c>
      <c r="V31" s="8" t="s">
        <v>53</v>
      </c>
      <c r="W31" s="8" t="s">
        <v>1893</v>
      </c>
      <c r="X31" s="33" t="str">
        <f>VLOOKUP(G31,'CBs RAW'!$E$2:$W$427,19)</f>
        <v>#N/A N/A</v>
      </c>
      <c r="Y31" s="4" t="str">
        <f t="shared" si="1"/>
        <v>#N/A N/A</v>
      </c>
      <c r="Z31" s="4" t="str">
        <f t="shared" si="2"/>
        <v>BayWa AGAT MATURITYFLOATINGEURSr Unsecured</v>
      </c>
    </row>
    <row r="32">
      <c r="A32" s="8">
        <v>31.0</v>
      </c>
      <c r="B32" s="8" t="s">
        <v>1292</v>
      </c>
      <c r="C32" s="8" t="s">
        <v>1295</v>
      </c>
      <c r="D32" s="8" t="s">
        <v>71</v>
      </c>
      <c r="E32" s="8" t="str">
        <f>VLOOKUP(G32,'CBs RAW'!$E$2:$H$427,4)</f>
        <v>#N/A N/A</v>
      </c>
      <c r="F32" s="8" t="s">
        <v>45</v>
      </c>
      <c r="G32" s="8" t="s">
        <v>1894</v>
      </c>
      <c r="H32" s="8" t="s">
        <v>174</v>
      </c>
      <c r="I32" s="8" t="s">
        <v>1895</v>
      </c>
      <c r="J32" s="8" t="s">
        <v>55</v>
      </c>
      <c r="K32" s="8" t="s">
        <v>70</v>
      </c>
      <c r="L32" s="7">
        <v>7.96047E7</v>
      </c>
      <c r="M32" s="8" t="s">
        <v>52</v>
      </c>
      <c r="N32" s="8" t="s">
        <v>1840</v>
      </c>
      <c r="O32" s="8" t="s">
        <v>45</v>
      </c>
      <c r="P32" s="32">
        <v>43398.0</v>
      </c>
      <c r="Q32" s="7">
        <f>VLOOKUP(G32,'CBs RAW'!$E$2:$P$427,12)</f>
        <v>0</v>
      </c>
      <c r="R32" s="32">
        <v>47051.0</v>
      </c>
      <c r="S32" s="8" t="s">
        <v>51</v>
      </c>
      <c r="T32" s="8" t="s">
        <v>54</v>
      </c>
      <c r="U32" s="8" t="s">
        <v>49</v>
      </c>
      <c r="V32" s="8" t="s">
        <v>53</v>
      </c>
      <c r="W32" s="8" t="s">
        <v>1896</v>
      </c>
      <c r="X32" s="33" t="str">
        <f>VLOOKUP(G32,'CBs RAW'!$E$2:$W$427,19)</f>
        <v>#N/A N/A</v>
      </c>
      <c r="Y32" s="4" t="str">
        <f t="shared" si="1"/>
        <v>#N/A N/A</v>
      </c>
      <c r="Z32" s="4" t="str">
        <f t="shared" si="2"/>
        <v>BayWa AGAT MATURITYFLOATINGEURSr Unsecured</v>
      </c>
    </row>
    <row r="33">
      <c r="A33" s="8">
        <v>32.0</v>
      </c>
      <c r="B33" s="8" t="s">
        <v>477</v>
      </c>
      <c r="C33" s="8" t="s">
        <v>480</v>
      </c>
      <c r="D33" s="8" t="s">
        <v>57</v>
      </c>
      <c r="E33" s="8" t="str">
        <f>VLOOKUP(G33,'CBs RAW'!$E$2:$H$427,4)</f>
        <v>#N/A N/A</v>
      </c>
      <c r="F33" s="8" t="s">
        <v>45</v>
      </c>
      <c r="G33" s="8" t="s">
        <v>1897</v>
      </c>
      <c r="H33" s="8" t="s">
        <v>1898</v>
      </c>
      <c r="I33" s="8" t="s">
        <v>1899</v>
      </c>
      <c r="J33" s="8" t="s">
        <v>55</v>
      </c>
      <c r="K33" s="8" t="s">
        <v>56</v>
      </c>
      <c r="L33" s="7">
        <v>5.27325E8</v>
      </c>
      <c r="M33" s="8" t="s">
        <v>459</v>
      </c>
      <c r="N33" s="8" t="s">
        <v>174</v>
      </c>
      <c r="O33" s="8" t="s">
        <v>45</v>
      </c>
      <c r="P33" s="32">
        <v>42788.0</v>
      </c>
      <c r="Q33" s="7">
        <f>VLOOKUP(G33,'CBs RAW'!$E$2:$P$427,12)</f>
        <v>0.375</v>
      </c>
      <c r="R33" s="32">
        <v>45709.0</v>
      </c>
      <c r="S33" s="8">
        <v>200.0</v>
      </c>
      <c r="T33" s="8" t="s">
        <v>190</v>
      </c>
      <c r="U33" s="8" t="s">
        <v>49</v>
      </c>
      <c r="V33" s="8" t="s">
        <v>53</v>
      </c>
      <c r="W33" s="8" t="s">
        <v>1900</v>
      </c>
      <c r="X33" s="33">
        <f>VLOOKUP(G33,'CBs RAW'!$E$2:$W$427,19)</f>
        <v>0.381</v>
      </c>
      <c r="Y33" s="34">
        <f t="shared" si="1"/>
        <v>0.381</v>
      </c>
      <c r="Z33" s="4" t="str">
        <f t="shared" si="2"/>
        <v>Berlin Hyp AGAT MATURITYFIXEDEURSecured</v>
      </c>
    </row>
    <row r="34">
      <c r="A34" s="8">
        <v>33.0</v>
      </c>
      <c r="B34" s="8" t="s">
        <v>477</v>
      </c>
      <c r="C34" s="8" t="s">
        <v>480</v>
      </c>
      <c r="D34" s="8" t="s">
        <v>57</v>
      </c>
      <c r="E34" s="8" t="str">
        <f>VLOOKUP(G34,'CBs RAW'!$E$2:$H$427,4)</f>
        <v>#N/A N/A</v>
      </c>
      <c r="F34" s="8" t="s">
        <v>45</v>
      </c>
      <c r="G34" s="8" t="s">
        <v>1901</v>
      </c>
      <c r="H34" s="8" t="s">
        <v>1902</v>
      </c>
      <c r="I34" s="8" t="s">
        <v>1903</v>
      </c>
      <c r="J34" s="8" t="s">
        <v>55</v>
      </c>
      <c r="K34" s="8" t="s">
        <v>56</v>
      </c>
      <c r="L34" s="7">
        <v>5.95155E8</v>
      </c>
      <c r="M34" s="8" t="s">
        <v>459</v>
      </c>
      <c r="N34" s="8" t="s">
        <v>1771</v>
      </c>
      <c r="O34" s="8" t="s">
        <v>45</v>
      </c>
      <c r="P34" s="32">
        <v>42983.0</v>
      </c>
      <c r="Q34" s="7">
        <f>VLOOKUP(G34,'CBs RAW'!$E$2:$P$427,12)</f>
        <v>0.125</v>
      </c>
      <c r="R34" s="32">
        <v>45296.0</v>
      </c>
      <c r="S34" s="8">
        <v>203.0</v>
      </c>
      <c r="T34" s="8" t="s">
        <v>190</v>
      </c>
      <c r="U34" s="8" t="s">
        <v>49</v>
      </c>
      <c r="V34" s="8" t="s">
        <v>53</v>
      </c>
      <c r="W34" s="8" t="s">
        <v>1904</v>
      </c>
      <c r="X34" s="33">
        <f>VLOOKUP(G34,'CBs RAW'!$E$2:$W$427,19)</f>
        <v>0.153</v>
      </c>
      <c r="Y34" s="34">
        <f t="shared" si="1"/>
        <v>0.153</v>
      </c>
      <c r="Z34" s="4" t="str">
        <f t="shared" si="2"/>
        <v>Berlin Hyp AGAT MATURITYFIXEDEURSecured</v>
      </c>
    </row>
    <row r="35">
      <c r="A35" s="8">
        <v>34.0</v>
      </c>
      <c r="B35" s="8" t="s">
        <v>477</v>
      </c>
      <c r="C35" s="8" t="s">
        <v>480</v>
      </c>
      <c r="D35" s="8" t="s">
        <v>392</v>
      </c>
      <c r="E35" s="8" t="str">
        <f>VLOOKUP(G35,'CBs RAW'!$E$2:$H$427,4)</f>
        <v>#N/A N/A</v>
      </c>
      <c r="F35" s="8" t="s">
        <v>45</v>
      </c>
      <c r="G35" s="8" t="s">
        <v>1905</v>
      </c>
      <c r="H35" s="8" t="s">
        <v>1906</v>
      </c>
      <c r="I35" s="8" t="s">
        <v>1907</v>
      </c>
      <c r="J35" s="8" t="s">
        <v>55</v>
      </c>
      <c r="K35" s="8" t="s">
        <v>70</v>
      </c>
      <c r="L35" s="7">
        <v>6.2358E7</v>
      </c>
      <c r="M35" s="8" t="s">
        <v>459</v>
      </c>
      <c r="N35" s="8" t="s">
        <v>1771</v>
      </c>
      <c r="O35" s="8" t="s">
        <v>45</v>
      </c>
      <c r="P35" s="32">
        <v>43146.0</v>
      </c>
      <c r="Q35" s="7">
        <f>VLOOKUP(G35,'CBs RAW'!$E$2:$P$427,12)</f>
        <v>0</v>
      </c>
      <c r="R35" s="32">
        <v>44972.0</v>
      </c>
      <c r="S35" s="8" t="s">
        <v>226</v>
      </c>
      <c r="T35" s="8" t="s">
        <v>190</v>
      </c>
      <c r="U35" s="8" t="s">
        <v>49</v>
      </c>
      <c r="V35" s="8" t="s">
        <v>53</v>
      </c>
      <c r="W35" s="8" t="s">
        <v>1908</v>
      </c>
      <c r="X35" s="33" t="str">
        <f>VLOOKUP(G35,'CBs RAW'!$E$2:$W$427,19)</f>
        <v>#N/A N/A</v>
      </c>
      <c r="Y35" s="4" t="str">
        <f t="shared" si="1"/>
        <v>#N/A N/A</v>
      </c>
      <c r="Z35" s="4" t="str">
        <f t="shared" si="2"/>
        <v>Berlin Hyp AGAT MATURITYFLOATINGEURSecured</v>
      </c>
    </row>
    <row r="36">
      <c r="A36" s="8">
        <v>35.0</v>
      </c>
      <c r="B36" s="8" t="s">
        <v>477</v>
      </c>
      <c r="C36" s="8" t="s">
        <v>480</v>
      </c>
      <c r="D36" s="8" t="s">
        <v>57</v>
      </c>
      <c r="E36" s="8" t="str">
        <f>VLOOKUP(G36,'CBs RAW'!$E$2:$H$427,4)</f>
        <v>#N/A N/A</v>
      </c>
      <c r="F36" s="8" t="s">
        <v>45</v>
      </c>
      <c r="G36" s="8" t="s">
        <v>1909</v>
      </c>
      <c r="H36" s="8" t="s">
        <v>1910</v>
      </c>
      <c r="I36" s="8" t="s">
        <v>1911</v>
      </c>
      <c r="J36" s="8" t="s">
        <v>55</v>
      </c>
      <c r="K36" s="8" t="s">
        <v>56</v>
      </c>
      <c r="L36" s="7">
        <v>6.15385E8</v>
      </c>
      <c r="M36" s="8" t="s">
        <v>459</v>
      </c>
      <c r="N36" s="8" t="s">
        <v>174</v>
      </c>
      <c r="O36" s="8" t="s">
        <v>45</v>
      </c>
      <c r="P36" s="32">
        <v>43157.0</v>
      </c>
      <c r="Q36" s="7">
        <f>VLOOKUP(G36,'CBs RAW'!$E$2:$P$427,12)</f>
        <v>0.75</v>
      </c>
      <c r="R36" s="32">
        <v>46079.0</v>
      </c>
      <c r="S36" s="8">
        <v>207.0</v>
      </c>
      <c r="T36" s="8" t="s">
        <v>190</v>
      </c>
      <c r="U36" s="8" t="s">
        <v>49</v>
      </c>
      <c r="V36" s="8" t="s">
        <v>53</v>
      </c>
      <c r="W36" s="8" t="s">
        <v>1912</v>
      </c>
      <c r="X36" s="33">
        <f>VLOOKUP(G36,'CBs RAW'!$E$2:$W$427,19)</f>
        <v>0.7</v>
      </c>
      <c r="Y36" s="34">
        <f t="shared" si="1"/>
        <v>0.7</v>
      </c>
      <c r="Z36" s="4" t="str">
        <f t="shared" si="2"/>
        <v>Berlin Hyp AGAT MATURITYFIXEDEURSecured</v>
      </c>
    </row>
    <row r="37">
      <c r="A37" s="8">
        <v>36.0</v>
      </c>
      <c r="B37" s="8" t="s">
        <v>477</v>
      </c>
      <c r="C37" s="8" t="s">
        <v>480</v>
      </c>
      <c r="D37" s="8" t="s">
        <v>57</v>
      </c>
      <c r="E37" s="8" t="str">
        <f>VLOOKUP(G37,'CBs RAW'!$E$2:$H$427,4)</f>
        <v>#N/A N/A</v>
      </c>
      <c r="F37" s="8" t="s">
        <v>45</v>
      </c>
      <c r="G37" s="8" t="s">
        <v>1913</v>
      </c>
      <c r="H37" s="8" t="s">
        <v>1914</v>
      </c>
      <c r="I37" s="8" t="s">
        <v>1915</v>
      </c>
      <c r="J37" s="8" t="s">
        <v>55</v>
      </c>
      <c r="K37" s="8" t="s">
        <v>56</v>
      </c>
      <c r="L37" s="7">
        <v>8.747925E8</v>
      </c>
      <c r="M37" s="8" t="s">
        <v>459</v>
      </c>
      <c r="N37" s="8" t="s">
        <v>1771</v>
      </c>
      <c r="O37" s="8" t="s">
        <v>45</v>
      </c>
      <c r="P37" s="32">
        <v>43250.0</v>
      </c>
      <c r="Q37" s="7">
        <f>VLOOKUP(G37,'CBs RAW'!$E$2:$P$427,12)</f>
        <v>0.25</v>
      </c>
      <c r="R37" s="32">
        <v>45076.0</v>
      </c>
      <c r="S37" s="8" t="s">
        <v>226</v>
      </c>
      <c r="T37" s="8" t="s">
        <v>190</v>
      </c>
      <c r="U37" s="8" t="s">
        <v>49</v>
      </c>
      <c r="V37" s="8" t="s">
        <v>53</v>
      </c>
      <c r="W37" s="8" t="s">
        <v>1916</v>
      </c>
      <c r="X37" s="33">
        <f>VLOOKUP(G37,'CBs RAW'!$E$2:$W$427,19)</f>
        <v>0.189</v>
      </c>
      <c r="Y37" s="34">
        <f t="shared" si="1"/>
        <v>0.189</v>
      </c>
      <c r="Z37" s="4" t="str">
        <f t="shared" si="2"/>
        <v>Berlin Hyp AGAT MATURITYFIXEDEURSecured</v>
      </c>
    </row>
    <row r="38">
      <c r="A38" s="8">
        <v>37.0</v>
      </c>
      <c r="B38" s="8" t="s">
        <v>477</v>
      </c>
      <c r="C38" s="8" t="s">
        <v>480</v>
      </c>
      <c r="D38" s="8" t="s">
        <v>57</v>
      </c>
      <c r="E38" s="8" t="str">
        <f>VLOOKUP(G38,'CBs RAW'!$E$2:$H$427,4)</f>
        <v>#N/A N/A</v>
      </c>
      <c r="F38" s="8" t="s">
        <v>45</v>
      </c>
      <c r="G38" s="8" t="s">
        <v>1917</v>
      </c>
      <c r="H38" s="8" t="s">
        <v>1918</v>
      </c>
      <c r="I38" s="8" t="s">
        <v>1919</v>
      </c>
      <c r="J38" s="8" t="s">
        <v>55</v>
      </c>
      <c r="K38" s="8" t="s">
        <v>56</v>
      </c>
      <c r="L38" s="7">
        <v>8.81025E8</v>
      </c>
      <c r="M38" s="8" t="s">
        <v>459</v>
      </c>
      <c r="N38" s="8" t="s">
        <v>1771</v>
      </c>
      <c r="O38" s="8" t="s">
        <v>45</v>
      </c>
      <c r="P38" s="32">
        <v>43290.0</v>
      </c>
      <c r="Q38" s="7">
        <f>VLOOKUP(G38,'CBs RAW'!$E$2:$P$427,12)</f>
        <v>0</v>
      </c>
      <c r="R38" s="32">
        <v>44844.0</v>
      </c>
      <c r="S38" s="8" t="s">
        <v>226</v>
      </c>
      <c r="T38" s="8" t="s">
        <v>190</v>
      </c>
      <c r="U38" s="8" t="s">
        <v>49</v>
      </c>
      <c r="V38" s="8" t="s">
        <v>53</v>
      </c>
      <c r="W38" s="8" t="s">
        <v>1920</v>
      </c>
      <c r="X38" s="33">
        <f>VLOOKUP(G38,'CBs RAW'!$E$2:$W$427,19)</f>
        <v>0.025</v>
      </c>
      <c r="Y38" s="34">
        <f t="shared" si="1"/>
        <v>0.025</v>
      </c>
      <c r="Z38" s="4" t="str">
        <f t="shared" si="2"/>
        <v>Berlin Hyp AGAT MATURITYFIXEDEURSecured</v>
      </c>
    </row>
    <row r="39">
      <c r="A39" s="8">
        <v>38.0</v>
      </c>
      <c r="B39" s="8" t="s">
        <v>477</v>
      </c>
      <c r="C39" s="8" t="s">
        <v>480</v>
      </c>
      <c r="D39" s="8" t="s">
        <v>57</v>
      </c>
      <c r="E39" s="8">
        <f>VLOOKUP(G39,'CBs RAW'!$E$2:$H$427,4)</f>
        <v>0.39</v>
      </c>
      <c r="F39" s="8" t="s">
        <v>45</v>
      </c>
      <c r="G39" s="8" t="s">
        <v>1921</v>
      </c>
      <c r="H39" s="8" t="s">
        <v>1922</v>
      </c>
      <c r="I39" s="8" t="s">
        <v>1923</v>
      </c>
      <c r="J39" s="8" t="s">
        <v>55</v>
      </c>
      <c r="K39" s="8" t="s">
        <v>56</v>
      </c>
      <c r="L39" s="7">
        <v>5.84405E8</v>
      </c>
      <c r="M39" s="8" t="s">
        <v>483</v>
      </c>
      <c r="N39" s="8" t="s">
        <v>174</v>
      </c>
      <c r="O39" s="8" t="s">
        <v>45</v>
      </c>
      <c r="P39" s="32">
        <v>43339.0</v>
      </c>
      <c r="Q39" s="7">
        <f>VLOOKUP(G39,'CBs RAW'!$E$2:$P$427,12)</f>
        <v>0.375</v>
      </c>
      <c r="R39" s="32">
        <v>45166.0</v>
      </c>
      <c r="S39" s="8" t="s">
        <v>226</v>
      </c>
      <c r="T39" s="8" t="s">
        <v>484</v>
      </c>
      <c r="U39" s="8" t="s">
        <v>49</v>
      </c>
      <c r="V39" s="8" t="s">
        <v>53</v>
      </c>
      <c r="W39" s="8" t="s">
        <v>1924</v>
      </c>
      <c r="X39" s="33">
        <f>VLOOKUP(G39,'CBs RAW'!$E$2:$W$427,19)</f>
        <v>0.445</v>
      </c>
      <c r="Y39" s="34">
        <f t="shared" si="1"/>
        <v>0.445</v>
      </c>
      <c r="Z39" s="4" t="str">
        <f t="shared" si="2"/>
        <v>Berlin Hyp AGAT MATURITYFIXEDEURSr Preferred</v>
      </c>
    </row>
    <row r="40">
      <c r="A40" s="8">
        <v>39.0</v>
      </c>
      <c r="B40" s="8" t="s">
        <v>477</v>
      </c>
      <c r="C40" s="8" t="s">
        <v>480</v>
      </c>
      <c r="D40" s="8" t="s">
        <v>57</v>
      </c>
      <c r="E40" s="8" t="str">
        <f>VLOOKUP(G40,'CBs RAW'!$E$2:$H$427,4)</f>
        <v>#N/A N/A</v>
      </c>
      <c r="F40" s="8" t="s">
        <v>45</v>
      </c>
      <c r="G40" s="8" t="s">
        <v>1925</v>
      </c>
      <c r="H40" s="8" t="s">
        <v>1926</v>
      </c>
      <c r="I40" s="8" t="s">
        <v>1927</v>
      </c>
      <c r="J40" s="8" t="s">
        <v>55</v>
      </c>
      <c r="K40" s="8" t="s">
        <v>56</v>
      </c>
      <c r="L40" s="7">
        <v>1.13767E7</v>
      </c>
      <c r="M40" s="8" t="s">
        <v>459</v>
      </c>
      <c r="N40" s="8" t="s">
        <v>174</v>
      </c>
      <c r="O40" s="8" t="s">
        <v>45</v>
      </c>
      <c r="P40" s="32">
        <v>43446.0</v>
      </c>
      <c r="Q40" s="7">
        <f>VLOOKUP(G40,'CBs RAW'!$E$2:$P$427,12)</f>
        <v>0.8</v>
      </c>
      <c r="R40" s="32">
        <v>47099.0</v>
      </c>
      <c r="S40" s="8">
        <v>212.0</v>
      </c>
      <c r="T40" s="8" t="s">
        <v>190</v>
      </c>
      <c r="U40" s="8" t="s">
        <v>49</v>
      </c>
      <c r="V40" s="8" t="s">
        <v>53</v>
      </c>
      <c r="W40" s="8" t="s">
        <v>1928</v>
      </c>
      <c r="X40" s="33">
        <f>VLOOKUP(G40,'CBs RAW'!$E$2:$W$427,19)</f>
        <v>0.749</v>
      </c>
      <c r="Y40" s="34">
        <f t="shared" si="1"/>
        <v>0.749</v>
      </c>
      <c r="Z40" s="4" t="str">
        <f t="shared" si="2"/>
        <v>Berlin Hyp AGAT MATURITYFIXEDEURSecured</v>
      </c>
    </row>
    <row r="41">
      <c r="A41" s="8">
        <v>40.0</v>
      </c>
      <c r="B41" s="8" t="s">
        <v>477</v>
      </c>
      <c r="C41" s="8" t="s">
        <v>480</v>
      </c>
      <c r="D41" s="8" t="s">
        <v>57</v>
      </c>
      <c r="E41" s="8" t="str">
        <f>VLOOKUP(G41,'CBs RAW'!$E$2:$H$427,4)</f>
        <v>#N/A N/A</v>
      </c>
      <c r="F41" s="8" t="s">
        <v>45</v>
      </c>
      <c r="G41" s="8" t="s">
        <v>1929</v>
      </c>
      <c r="H41" s="8" t="s">
        <v>1930</v>
      </c>
      <c r="I41" s="8" t="s">
        <v>1931</v>
      </c>
      <c r="J41" s="8" t="s">
        <v>55</v>
      </c>
      <c r="K41" s="8" t="s">
        <v>56</v>
      </c>
      <c r="L41" s="7">
        <v>5.70465E8</v>
      </c>
      <c r="M41" s="8" t="s">
        <v>483</v>
      </c>
      <c r="N41" s="8" t="s">
        <v>174</v>
      </c>
      <c r="O41" s="8" t="s">
        <v>45</v>
      </c>
      <c r="P41" s="32">
        <v>43501.0</v>
      </c>
      <c r="Q41" s="7">
        <f>VLOOKUP(G41,'CBs RAW'!$E$2:$P$427,12)</f>
        <v>1</v>
      </c>
      <c r="R41" s="32">
        <v>46058.0</v>
      </c>
      <c r="S41" s="8" t="s">
        <v>226</v>
      </c>
      <c r="T41" s="8" t="s">
        <v>484</v>
      </c>
      <c r="U41" s="8" t="s">
        <v>49</v>
      </c>
      <c r="V41" s="8" t="s">
        <v>53</v>
      </c>
      <c r="W41" s="8" t="s">
        <v>1932</v>
      </c>
      <c r="X41" s="33">
        <f>VLOOKUP(G41,'CBs RAW'!$E$2:$W$427,19)</f>
        <v>0.838</v>
      </c>
      <c r="Y41" s="34">
        <f t="shared" si="1"/>
        <v>0.838</v>
      </c>
      <c r="Z41" s="4" t="str">
        <f t="shared" si="2"/>
        <v>Berlin Hyp AGAT MATURITYFIXEDEURSr Preferred</v>
      </c>
    </row>
    <row r="42">
      <c r="A42" s="8">
        <v>41.0</v>
      </c>
      <c r="B42" s="8" t="s">
        <v>477</v>
      </c>
      <c r="C42" s="8" t="s">
        <v>480</v>
      </c>
      <c r="D42" s="8" t="s">
        <v>57</v>
      </c>
      <c r="E42" s="8" t="str">
        <f>VLOOKUP(G42,'CBs RAW'!$E$2:$H$427,4)</f>
        <v>#N/A N/A</v>
      </c>
      <c r="F42" s="8" t="s">
        <v>45</v>
      </c>
      <c r="G42" s="8" t="s">
        <v>1933</v>
      </c>
      <c r="H42" s="8" t="s">
        <v>1934</v>
      </c>
      <c r="I42" s="8" t="s">
        <v>1935</v>
      </c>
      <c r="J42" s="8" t="s">
        <v>55</v>
      </c>
      <c r="K42" s="8" t="s">
        <v>56</v>
      </c>
      <c r="L42" s="7">
        <v>2.24224E8</v>
      </c>
      <c r="M42" s="8" t="s">
        <v>483</v>
      </c>
      <c r="N42" s="8" t="s">
        <v>174</v>
      </c>
      <c r="O42" s="8" t="s">
        <v>45</v>
      </c>
      <c r="P42" s="32">
        <v>43686.0</v>
      </c>
      <c r="Q42" s="7">
        <f>VLOOKUP(G42,'CBs RAW'!$E$2:$P$427,12)</f>
        <v>0.01</v>
      </c>
      <c r="R42" s="32">
        <v>44782.0</v>
      </c>
      <c r="S42" s="8" t="s">
        <v>226</v>
      </c>
      <c r="T42" s="8" t="s">
        <v>484</v>
      </c>
      <c r="U42" s="8" t="s">
        <v>49</v>
      </c>
      <c r="V42" s="8" t="s">
        <v>53</v>
      </c>
      <c r="W42" s="8" t="s">
        <v>1936</v>
      </c>
      <c r="X42" s="33">
        <f>VLOOKUP(G42,'CBs RAW'!$E$2:$W$427,19)</f>
        <v>-0.495</v>
      </c>
      <c r="Y42" s="34">
        <f t="shared" si="1"/>
        <v>-0.495</v>
      </c>
      <c r="Z42" s="4" t="str">
        <f t="shared" si="2"/>
        <v>Berlin Hyp AGAT MATURITYFIXEDEURSr Preferred</v>
      </c>
    </row>
    <row r="43">
      <c r="A43" s="8">
        <v>42.0</v>
      </c>
      <c r="B43" s="8" t="s">
        <v>477</v>
      </c>
      <c r="C43" s="8" t="s">
        <v>480</v>
      </c>
      <c r="D43" s="8" t="s">
        <v>57</v>
      </c>
      <c r="E43" s="8" t="str">
        <f>VLOOKUP(G43,'CBs RAW'!$E$2:$H$427,4)</f>
        <v>#N/A N/A</v>
      </c>
      <c r="F43" s="8" t="s">
        <v>45</v>
      </c>
      <c r="G43" s="8" t="s">
        <v>1937</v>
      </c>
      <c r="H43" s="8" t="s">
        <v>1938</v>
      </c>
      <c r="I43" s="8" t="s">
        <v>1939</v>
      </c>
      <c r="J43" s="8" t="s">
        <v>55</v>
      </c>
      <c r="K43" s="8" t="s">
        <v>56</v>
      </c>
      <c r="L43" s="7">
        <v>1.668555E7</v>
      </c>
      <c r="M43" s="8" t="s">
        <v>459</v>
      </c>
      <c r="N43" s="8" t="s">
        <v>174</v>
      </c>
      <c r="O43" s="8" t="s">
        <v>45</v>
      </c>
      <c r="P43" s="32">
        <v>43894.0</v>
      </c>
      <c r="Q43" s="7">
        <f>VLOOKUP(G43,'CBs RAW'!$E$2:$P$427,12)</f>
        <v>0.75</v>
      </c>
      <c r="R43" s="32">
        <v>54851.0</v>
      </c>
      <c r="S43" s="8" t="s">
        <v>226</v>
      </c>
      <c r="T43" s="8" t="s">
        <v>190</v>
      </c>
      <c r="U43" s="8" t="s">
        <v>115</v>
      </c>
      <c r="V43" s="8" t="s">
        <v>53</v>
      </c>
      <c r="W43" s="8" t="s">
        <v>1940</v>
      </c>
      <c r="X43" s="33">
        <f>VLOOKUP(G43,'CBs RAW'!$E$2:$W$427,19)</f>
        <v>0.683</v>
      </c>
      <c r="Y43" s="34">
        <f t="shared" si="1"/>
        <v>0.683</v>
      </c>
      <c r="Z43" s="4" t="str">
        <f t="shared" si="2"/>
        <v>Berlin Hyp AGCALLABLEFIXEDEURSecured</v>
      </c>
    </row>
    <row r="44">
      <c r="A44" s="8">
        <v>43.0</v>
      </c>
      <c r="B44" s="8" t="s">
        <v>477</v>
      </c>
      <c r="C44" s="8" t="s">
        <v>480</v>
      </c>
      <c r="D44" s="8" t="s">
        <v>57</v>
      </c>
      <c r="E44" s="8" t="str">
        <f>VLOOKUP(G44,'CBs RAW'!$E$2:$H$427,4)</f>
        <v>#N/A N/A</v>
      </c>
      <c r="F44" s="8" t="s">
        <v>45</v>
      </c>
      <c r="G44" s="8" t="s">
        <v>1941</v>
      </c>
      <c r="H44" s="8" t="s">
        <v>1942</v>
      </c>
      <c r="I44" s="8" t="s">
        <v>1943</v>
      </c>
      <c r="J44" s="8" t="s">
        <v>55</v>
      </c>
      <c r="K44" s="8" t="s">
        <v>56</v>
      </c>
      <c r="L44" s="7">
        <v>8.111775E7</v>
      </c>
      <c r="M44" s="8" t="s">
        <v>483</v>
      </c>
      <c r="N44" s="8" t="s">
        <v>174</v>
      </c>
      <c r="O44" s="8" t="s">
        <v>45</v>
      </c>
      <c r="P44" s="32">
        <v>43943.0</v>
      </c>
      <c r="Q44" s="7">
        <f>VLOOKUP(G44,'CBs RAW'!$E$2:$P$427,12)</f>
        <v>0.45</v>
      </c>
      <c r="R44" s="32">
        <v>45404.0</v>
      </c>
      <c r="S44" s="8" t="s">
        <v>226</v>
      </c>
      <c r="T44" s="8" t="s">
        <v>484</v>
      </c>
      <c r="U44" s="8" t="s">
        <v>49</v>
      </c>
      <c r="V44" s="8" t="s">
        <v>53</v>
      </c>
      <c r="W44" s="8" t="s">
        <v>1944</v>
      </c>
      <c r="X44" s="33" t="str">
        <f>VLOOKUP(G44,'CBs RAW'!$E$2:$W$427,19)</f>
        <v>#N/A N/A</v>
      </c>
      <c r="Y44" s="4" t="str">
        <f t="shared" si="1"/>
        <v>#N/A N/A</v>
      </c>
      <c r="Z44" s="4" t="str">
        <f t="shared" si="2"/>
        <v>Berlin Hyp AGAT MATURITYFIXEDEURSr Preferred</v>
      </c>
    </row>
    <row r="45">
      <c r="A45" s="8">
        <v>44.0</v>
      </c>
      <c r="B45" s="8" t="s">
        <v>477</v>
      </c>
      <c r="C45" s="8" t="s">
        <v>480</v>
      </c>
      <c r="D45" s="8" t="s">
        <v>57</v>
      </c>
      <c r="E45" s="8" t="str">
        <f>VLOOKUP(G45,'CBs RAW'!$E$2:$H$427,4)</f>
        <v>#N/A N/A</v>
      </c>
      <c r="F45" s="8" t="s">
        <v>45</v>
      </c>
      <c r="G45" s="8" t="s">
        <v>1945</v>
      </c>
      <c r="H45" s="8" t="s">
        <v>1946</v>
      </c>
      <c r="I45" s="8" t="s">
        <v>1947</v>
      </c>
      <c r="J45" s="8" t="s">
        <v>55</v>
      </c>
      <c r="K45" s="8" t="s">
        <v>56</v>
      </c>
      <c r="L45" s="7">
        <v>5.45015E7</v>
      </c>
      <c r="M45" s="8" t="s">
        <v>483</v>
      </c>
      <c r="N45" s="8" t="s">
        <v>174</v>
      </c>
      <c r="O45" s="8" t="s">
        <v>45</v>
      </c>
      <c r="P45" s="32">
        <v>43955.0</v>
      </c>
      <c r="Q45" s="7">
        <f>VLOOKUP(G45,'CBs RAW'!$E$2:$P$427,12)</f>
        <v>0.46</v>
      </c>
      <c r="R45" s="32">
        <v>45105.0</v>
      </c>
      <c r="S45" s="8" t="s">
        <v>226</v>
      </c>
      <c r="T45" s="8" t="s">
        <v>484</v>
      </c>
      <c r="U45" s="8" t="s">
        <v>49</v>
      </c>
      <c r="V45" s="8" t="s">
        <v>53</v>
      </c>
      <c r="W45" s="8" t="s">
        <v>1948</v>
      </c>
      <c r="X45" s="33">
        <f>VLOOKUP(G45,'CBs RAW'!$E$2:$W$427,19)</f>
        <v>0.297</v>
      </c>
      <c r="Y45" s="34">
        <f t="shared" si="1"/>
        <v>0.297</v>
      </c>
      <c r="Z45" s="4" t="str">
        <f t="shared" si="2"/>
        <v>Berlin Hyp AGAT MATURITYFIXEDEURSr Preferred</v>
      </c>
    </row>
    <row r="46">
      <c r="A46" s="8">
        <v>45.0</v>
      </c>
      <c r="B46" s="8" t="s">
        <v>477</v>
      </c>
      <c r="C46" s="8" t="s">
        <v>480</v>
      </c>
      <c r="D46" s="8" t="s">
        <v>57</v>
      </c>
      <c r="E46" s="8" t="str">
        <f>VLOOKUP(G46,'CBs RAW'!$E$2:$H$427,4)</f>
        <v>#N/A N/A</v>
      </c>
      <c r="F46" s="8" t="s">
        <v>45</v>
      </c>
      <c r="G46" s="8" t="s">
        <v>1949</v>
      </c>
      <c r="H46" s="8" t="s">
        <v>1950</v>
      </c>
      <c r="I46" s="8" t="s">
        <v>1951</v>
      </c>
      <c r="J46" s="8" t="s">
        <v>55</v>
      </c>
      <c r="K46" s="8" t="s">
        <v>56</v>
      </c>
      <c r="L46" s="7">
        <v>2.734325E7</v>
      </c>
      <c r="M46" s="8" t="s">
        <v>483</v>
      </c>
      <c r="N46" s="8" t="s">
        <v>174</v>
      </c>
      <c r="O46" s="8" t="s">
        <v>45</v>
      </c>
      <c r="P46" s="32">
        <v>43951.0</v>
      </c>
      <c r="Q46" s="7">
        <f>VLOOKUP(G46,'CBs RAW'!$E$2:$P$427,12)</f>
        <v>0.45</v>
      </c>
      <c r="R46" s="32">
        <v>45105.0</v>
      </c>
      <c r="S46" s="8" t="s">
        <v>226</v>
      </c>
      <c r="T46" s="8" t="s">
        <v>484</v>
      </c>
      <c r="U46" s="8" t="s">
        <v>49</v>
      </c>
      <c r="V46" s="8" t="s">
        <v>53</v>
      </c>
      <c r="W46" s="8" t="s">
        <v>1952</v>
      </c>
      <c r="X46" s="33" t="str">
        <f>VLOOKUP(G46,'CBs RAW'!$E$2:$W$427,19)</f>
        <v>#N/A N/A</v>
      </c>
      <c r="Y46" s="4" t="str">
        <f t="shared" si="1"/>
        <v>#N/A N/A</v>
      </c>
      <c r="Z46" s="4" t="str">
        <f t="shared" si="2"/>
        <v>Berlin Hyp AGAT MATURITYFIXEDEURSr Preferred</v>
      </c>
    </row>
    <row r="47">
      <c r="A47" s="8">
        <v>46.0</v>
      </c>
      <c r="B47" s="8" t="s">
        <v>477</v>
      </c>
      <c r="C47" s="8" t="s">
        <v>480</v>
      </c>
      <c r="D47" s="8" t="s">
        <v>57</v>
      </c>
      <c r="E47" s="8" t="str">
        <f>VLOOKUP(G47,'CBs RAW'!$E$2:$H$427,4)</f>
        <v>#N/A N/A</v>
      </c>
      <c r="F47" s="8" t="s">
        <v>45</v>
      </c>
      <c r="G47" s="8" t="s">
        <v>1953</v>
      </c>
      <c r="H47" s="8" t="s">
        <v>1954</v>
      </c>
      <c r="I47" s="8" t="s">
        <v>1955</v>
      </c>
      <c r="J47" s="8" t="s">
        <v>55</v>
      </c>
      <c r="K47" s="8" t="s">
        <v>56</v>
      </c>
      <c r="L47" s="7">
        <v>1.09373E7</v>
      </c>
      <c r="M47" s="8" t="s">
        <v>483</v>
      </c>
      <c r="N47" s="8" t="s">
        <v>174</v>
      </c>
      <c r="O47" s="8" t="s">
        <v>45</v>
      </c>
      <c r="P47" s="32">
        <v>43951.0</v>
      </c>
      <c r="Q47" s="7">
        <f>VLOOKUP(G47,'CBs RAW'!$E$2:$P$427,12)</f>
        <v>0.49</v>
      </c>
      <c r="R47" s="32">
        <v>45412.0</v>
      </c>
      <c r="S47" s="8" t="s">
        <v>226</v>
      </c>
      <c r="T47" s="8" t="s">
        <v>484</v>
      </c>
      <c r="U47" s="8" t="s">
        <v>49</v>
      </c>
      <c r="V47" s="8" t="s">
        <v>53</v>
      </c>
      <c r="W47" s="8" t="s">
        <v>1956</v>
      </c>
      <c r="X47" s="33">
        <f>VLOOKUP(G47,'CBs RAW'!$E$2:$W$427,19)</f>
        <v>0.297</v>
      </c>
      <c r="Y47" s="34">
        <f t="shared" si="1"/>
        <v>0.297</v>
      </c>
      <c r="Z47" s="4" t="str">
        <f t="shared" si="2"/>
        <v>Berlin Hyp AGAT MATURITYFIXEDEURSr Preferred</v>
      </c>
    </row>
    <row r="48">
      <c r="A48" s="8">
        <v>47.0</v>
      </c>
      <c r="B48" s="8" t="s">
        <v>477</v>
      </c>
      <c r="C48" s="8" t="s">
        <v>480</v>
      </c>
      <c r="D48" s="8" t="s">
        <v>392</v>
      </c>
      <c r="E48" s="8" t="str">
        <f>VLOOKUP(G48,'CBs RAW'!$E$2:$H$427,4)</f>
        <v>#N/A N/A</v>
      </c>
      <c r="F48" s="8" t="s">
        <v>45</v>
      </c>
      <c r="G48" s="8" t="s">
        <v>1957</v>
      </c>
      <c r="H48" s="8" t="s">
        <v>1958</v>
      </c>
      <c r="I48" s="8" t="s">
        <v>1959</v>
      </c>
      <c r="J48" s="8" t="s">
        <v>55</v>
      </c>
      <c r="K48" s="8" t="s">
        <v>70</v>
      </c>
      <c r="L48" s="7">
        <v>7.309231E8</v>
      </c>
      <c r="M48" s="8" t="s">
        <v>459</v>
      </c>
      <c r="N48" s="8" t="s">
        <v>1771</v>
      </c>
      <c r="O48" s="8" t="s">
        <v>45</v>
      </c>
      <c r="P48" s="32">
        <v>43969.0</v>
      </c>
      <c r="Q48" s="7">
        <f>VLOOKUP(G48,'CBs RAW'!$E$2:$P$427,12)</f>
        <v>0</v>
      </c>
      <c r="R48" s="32">
        <v>45793.0</v>
      </c>
      <c r="S48" s="8" t="s">
        <v>226</v>
      </c>
      <c r="T48" s="8" t="s">
        <v>190</v>
      </c>
      <c r="U48" s="8" t="s">
        <v>49</v>
      </c>
      <c r="V48" s="8" t="s">
        <v>53</v>
      </c>
      <c r="W48" s="8" t="s">
        <v>1960</v>
      </c>
      <c r="X48" s="33">
        <f>VLOOKUP(G48,'CBs RAW'!$E$2:$W$427,19)</f>
        <v>-0.079</v>
      </c>
      <c r="Y48" s="34">
        <f t="shared" si="1"/>
        <v>-0.079</v>
      </c>
      <c r="Z48" s="4" t="str">
        <f t="shared" si="2"/>
        <v>Berlin Hyp AGAT MATURITYFLOATINGEURSecured</v>
      </c>
    </row>
    <row r="49">
      <c r="A49" s="8">
        <v>48.0</v>
      </c>
      <c r="B49" s="8" t="s">
        <v>477</v>
      </c>
      <c r="C49" s="8" t="s">
        <v>480</v>
      </c>
      <c r="D49" s="8" t="s">
        <v>57</v>
      </c>
      <c r="E49" s="8">
        <f>VLOOKUP(G49,'CBs RAW'!$E$2:$H$427,4)</f>
        <v>-0.286</v>
      </c>
      <c r="F49" s="8" t="s">
        <v>45</v>
      </c>
      <c r="G49" s="8" t="s">
        <v>1961</v>
      </c>
      <c r="H49" s="8" t="s">
        <v>1962</v>
      </c>
      <c r="I49" s="8" t="s">
        <v>1963</v>
      </c>
      <c r="J49" s="8" t="s">
        <v>55</v>
      </c>
      <c r="K49" s="8" t="s">
        <v>56</v>
      </c>
      <c r="L49" s="7">
        <v>1.693575E7</v>
      </c>
      <c r="M49" s="8" t="s">
        <v>459</v>
      </c>
      <c r="N49" s="8" t="s">
        <v>174</v>
      </c>
      <c r="O49" s="8" t="s">
        <v>45</v>
      </c>
      <c r="P49" s="32">
        <v>43987.0</v>
      </c>
      <c r="Q49" s="7">
        <f>VLOOKUP(G49,'CBs RAW'!$E$2:$P$427,12)</f>
        <v>0.01</v>
      </c>
      <c r="R49" s="32">
        <v>45082.0</v>
      </c>
      <c r="S49" s="8" t="s">
        <v>226</v>
      </c>
      <c r="T49" s="8" t="s">
        <v>190</v>
      </c>
      <c r="U49" s="8" t="s">
        <v>49</v>
      </c>
      <c r="V49" s="8" t="s">
        <v>53</v>
      </c>
      <c r="W49" s="8" t="s">
        <v>1964</v>
      </c>
      <c r="X49" s="33" t="str">
        <f>VLOOKUP(G49,'CBs RAW'!$E$2:$W$427,19)</f>
        <v>#N/A N/A</v>
      </c>
      <c r="Y49" s="4">
        <f t="shared" si="1"/>
        <v>-0.286</v>
      </c>
      <c r="Z49" s="4" t="str">
        <f t="shared" si="2"/>
        <v>Berlin Hyp AGAT MATURITYFIXEDEURSecured</v>
      </c>
    </row>
    <row r="50">
      <c r="A50" s="8">
        <v>49.0</v>
      </c>
      <c r="B50" s="8" t="s">
        <v>477</v>
      </c>
      <c r="C50" s="8" t="s">
        <v>480</v>
      </c>
      <c r="D50" s="8" t="s">
        <v>392</v>
      </c>
      <c r="E50" s="8" t="str">
        <f>VLOOKUP(G50,'CBs RAW'!$E$2:$H$427,4)</f>
        <v>#N/A N/A</v>
      </c>
      <c r="F50" s="8" t="s">
        <v>45</v>
      </c>
      <c r="G50" s="8" t="s">
        <v>1965</v>
      </c>
      <c r="H50" s="8" t="s">
        <v>1966</v>
      </c>
      <c r="I50" s="8" t="s">
        <v>1967</v>
      </c>
      <c r="J50" s="8" t="s">
        <v>55</v>
      </c>
      <c r="K50" s="8" t="s">
        <v>70</v>
      </c>
      <c r="L50" s="7">
        <v>4.51416E8</v>
      </c>
      <c r="M50" s="8" t="s">
        <v>459</v>
      </c>
      <c r="N50" s="8" t="s">
        <v>174</v>
      </c>
      <c r="O50" s="8" t="s">
        <v>45</v>
      </c>
      <c r="P50" s="32">
        <v>43997.0</v>
      </c>
      <c r="Q50" s="7">
        <f>VLOOKUP(G50,'CBs RAW'!$E$2:$P$427,12)</f>
        <v>0</v>
      </c>
      <c r="R50" s="32">
        <v>45821.0</v>
      </c>
      <c r="S50" s="8" t="s">
        <v>226</v>
      </c>
      <c r="T50" s="8" t="s">
        <v>190</v>
      </c>
      <c r="U50" s="8" t="s">
        <v>49</v>
      </c>
      <c r="V50" s="8" t="s">
        <v>53</v>
      </c>
      <c r="W50" s="8" t="s">
        <v>1968</v>
      </c>
      <c r="X50" s="33">
        <f>VLOOKUP(G50,'CBs RAW'!$E$2:$W$427,19)</f>
        <v>-0.083</v>
      </c>
      <c r="Y50" s="34">
        <f t="shared" si="1"/>
        <v>-0.083</v>
      </c>
      <c r="Z50" s="4" t="str">
        <f t="shared" si="2"/>
        <v>Berlin Hyp AGAT MATURITYFLOATINGEURSecured</v>
      </c>
    </row>
    <row r="51">
      <c r="A51" s="8">
        <v>50.0</v>
      </c>
      <c r="B51" s="8" t="s">
        <v>477</v>
      </c>
      <c r="C51" s="8" t="s">
        <v>480</v>
      </c>
      <c r="D51" s="8" t="s">
        <v>57</v>
      </c>
      <c r="E51" s="8" t="str">
        <f>VLOOKUP(G51,'CBs RAW'!$E$2:$H$427,4)</f>
        <v>#N/A N/A</v>
      </c>
      <c r="F51" s="8" t="s">
        <v>45</v>
      </c>
      <c r="G51" s="8" t="s">
        <v>1969</v>
      </c>
      <c r="H51" s="8" t="s">
        <v>1970</v>
      </c>
      <c r="I51" s="8" t="s">
        <v>1971</v>
      </c>
      <c r="J51" s="8" t="s">
        <v>55</v>
      </c>
      <c r="K51" s="8" t="s">
        <v>56</v>
      </c>
      <c r="L51" s="7">
        <v>1.14386E7</v>
      </c>
      <c r="M51" s="8" t="s">
        <v>459</v>
      </c>
      <c r="N51" s="8" t="s">
        <v>1771</v>
      </c>
      <c r="O51" s="8" t="s">
        <v>45</v>
      </c>
      <c r="P51" s="32">
        <v>44032.0</v>
      </c>
      <c r="Q51" s="7">
        <f>VLOOKUP(G51,'CBs RAW'!$E$2:$P$427,12)</f>
        <v>0.895</v>
      </c>
      <c r="R51" s="32">
        <v>54989.0</v>
      </c>
      <c r="S51" s="8" t="s">
        <v>226</v>
      </c>
      <c r="T51" s="8" t="s">
        <v>190</v>
      </c>
      <c r="U51" s="8" t="s">
        <v>115</v>
      </c>
      <c r="V51" s="8" t="s">
        <v>53</v>
      </c>
      <c r="W51" s="8" t="s">
        <v>1972</v>
      </c>
      <c r="X51" s="33">
        <f>VLOOKUP(G51,'CBs RAW'!$E$2:$W$427,19)</f>
        <v>0.882</v>
      </c>
      <c r="Y51" s="34">
        <f t="shared" si="1"/>
        <v>0.882</v>
      </c>
      <c r="Z51" s="4" t="str">
        <f t="shared" si="2"/>
        <v>Berlin Hyp AGCALLABLEFIXEDEURSecured</v>
      </c>
    </row>
    <row r="52">
      <c r="A52" s="8">
        <v>51.0</v>
      </c>
      <c r="B52" s="8" t="s">
        <v>477</v>
      </c>
      <c r="C52" s="8" t="s">
        <v>480</v>
      </c>
      <c r="D52" s="8" t="s">
        <v>57</v>
      </c>
      <c r="E52" s="8" t="str">
        <f>VLOOKUP(G52,'CBs RAW'!$E$2:$H$427,4)</f>
        <v>#N/A N/A</v>
      </c>
      <c r="F52" s="8" t="s">
        <v>45</v>
      </c>
      <c r="G52" s="8" t="s">
        <v>1973</v>
      </c>
      <c r="H52" s="8" t="s">
        <v>1974</v>
      </c>
      <c r="I52" s="8" t="s">
        <v>1975</v>
      </c>
      <c r="J52" s="8" t="s">
        <v>55</v>
      </c>
      <c r="K52" s="8" t="s">
        <v>56</v>
      </c>
      <c r="L52" s="7">
        <v>7577635.0</v>
      </c>
      <c r="M52" s="8" t="s">
        <v>483</v>
      </c>
      <c r="N52" s="8" t="s">
        <v>174</v>
      </c>
      <c r="O52" s="8" t="s">
        <v>45</v>
      </c>
      <c r="P52" s="32">
        <v>44133.0</v>
      </c>
      <c r="Q52" s="7">
        <f>VLOOKUP(G52,'CBs RAW'!$E$2:$P$427,12)</f>
        <v>0.44</v>
      </c>
      <c r="R52" s="32">
        <v>49611.0</v>
      </c>
      <c r="S52" s="8" t="s">
        <v>226</v>
      </c>
      <c r="T52" s="8" t="s">
        <v>484</v>
      </c>
      <c r="U52" s="8" t="s">
        <v>115</v>
      </c>
      <c r="V52" s="8" t="s">
        <v>53</v>
      </c>
      <c r="W52" s="8" t="s">
        <v>1976</v>
      </c>
      <c r="X52" s="33" t="str">
        <f>VLOOKUP(G52,'CBs RAW'!$E$2:$W$427,19)</f>
        <v>#N/A N/A</v>
      </c>
      <c r="Y52" s="4" t="str">
        <f t="shared" si="1"/>
        <v>#N/A N/A</v>
      </c>
      <c r="Z52" s="4" t="str">
        <f t="shared" si="2"/>
        <v>Berlin Hyp AGCALLABLEFIXEDEURSr Preferred</v>
      </c>
    </row>
    <row r="53">
      <c r="A53" s="8">
        <v>52.0</v>
      </c>
      <c r="B53" s="8" t="s">
        <v>477</v>
      </c>
      <c r="C53" s="8" t="s">
        <v>480</v>
      </c>
      <c r="D53" s="8" t="s">
        <v>392</v>
      </c>
      <c r="E53" s="8" t="str">
        <f>VLOOKUP(G53,'CBs RAW'!$E$2:$H$427,4)</f>
        <v>#N/A N/A</v>
      </c>
      <c r="F53" s="8" t="s">
        <v>45</v>
      </c>
      <c r="G53" s="8" t="s">
        <v>1977</v>
      </c>
      <c r="H53" s="8" t="s">
        <v>1978</v>
      </c>
      <c r="I53" s="8" t="s">
        <v>1979</v>
      </c>
      <c r="J53" s="8" t="s">
        <v>55</v>
      </c>
      <c r="K53" s="8" t="s">
        <v>70</v>
      </c>
      <c r="L53" s="7">
        <v>7.003384E8</v>
      </c>
      <c r="M53" s="8" t="s">
        <v>459</v>
      </c>
      <c r="N53" s="8" t="s">
        <v>1771</v>
      </c>
      <c r="O53" s="8" t="s">
        <v>45</v>
      </c>
      <c r="P53" s="32">
        <v>44214.0</v>
      </c>
      <c r="Q53" s="7">
        <f>VLOOKUP(G53,'CBs RAW'!$E$2:$P$427,12)</f>
        <v>-0.405</v>
      </c>
      <c r="R53" s="32">
        <v>46038.0</v>
      </c>
      <c r="S53" s="8" t="s">
        <v>226</v>
      </c>
      <c r="T53" s="8" t="s">
        <v>190</v>
      </c>
      <c r="U53" s="8" t="s">
        <v>49</v>
      </c>
      <c r="V53" s="8" t="s">
        <v>53</v>
      </c>
      <c r="W53" s="8" t="s">
        <v>1980</v>
      </c>
      <c r="X53" s="33">
        <f>VLOOKUP(G53,'CBs RAW'!$E$2:$W$427,19)</f>
        <v>0.009</v>
      </c>
      <c r="Y53" s="34">
        <f t="shared" si="1"/>
        <v>0.009</v>
      </c>
      <c r="Z53" s="4" t="str">
        <f t="shared" si="2"/>
        <v>Berlin Hyp AGAT MATURITYFLOATINGEURSecured</v>
      </c>
    </row>
    <row r="54">
      <c r="A54" s="8">
        <v>53.0</v>
      </c>
      <c r="B54" s="8" t="s">
        <v>477</v>
      </c>
      <c r="C54" s="8" t="s">
        <v>480</v>
      </c>
      <c r="D54" s="8" t="s">
        <v>57</v>
      </c>
      <c r="E54" s="8" t="str">
        <f>VLOOKUP(G54,'CBs RAW'!$E$2:$H$427,4)</f>
        <v>#N/A N/A</v>
      </c>
      <c r="F54" s="8" t="s">
        <v>45</v>
      </c>
      <c r="G54" s="8" t="s">
        <v>1981</v>
      </c>
      <c r="H54" s="8" t="s">
        <v>1982</v>
      </c>
      <c r="I54" s="8" t="s">
        <v>1983</v>
      </c>
      <c r="J54" s="8" t="s">
        <v>55</v>
      </c>
      <c r="K54" s="8" t="s">
        <v>56</v>
      </c>
      <c r="L54" s="7">
        <v>3.63204E7</v>
      </c>
      <c r="M54" s="8" t="s">
        <v>483</v>
      </c>
      <c r="N54" s="8" t="s">
        <v>1771</v>
      </c>
      <c r="O54" s="8" t="s">
        <v>45</v>
      </c>
      <c r="P54" s="32">
        <v>44216.0</v>
      </c>
      <c r="Q54" s="7">
        <f>VLOOKUP(G54,'CBs RAW'!$E$2:$P$427,12)</f>
        <v>0.11</v>
      </c>
      <c r="R54" s="32">
        <v>47868.0</v>
      </c>
      <c r="S54" s="8" t="s">
        <v>226</v>
      </c>
      <c r="T54" s="8" t="s">
        <v>484</v>
      </c>
      <c r="U54" s="8" t="s">
        <v>49</v>
      </c>
      <c r="V54" s="8" t="s">
        <v>53</v>
      </c>
      <c r="W54" s="8" t="s">
        <v>1984</v>
      </c>
      <c r="X54" s="33" t="str">
        <f>VLOOKUP(G54,'CBs RAW'!$E$2:$W$427,19)</f>
        <v>#N/A N/A</v>
      </c>
      <c r="Y54" s="4" t="str">
        <f t="shared" si="1"/>
        <v>#N/A N/A</v>
      </c>
      <c r="Z54" s="4" t="str">
        <f t="shared" si="2"/>
        <v>Berlin Hyp AGAT MATURITYFIXEDEURSr Preferred</v>
      </c>
    </row>
    <row r="55">
      <c r="A55" s="8">
        <v>54.0</v>
      </c>
      <c r="B55" s="8" t="s">
        <v>477</v>
      </c>
      <c r="C55" s="8" t="s">
        <v>480</v>
      </c>
      <c r="D55" s="8" t="s">
        <v>57</v>
      </c>
      <c r="E55" s="8" t="str">
        <f>VLOOKUP(G55,'CBs RAW'!$E$2:$H$427,4)</f>
        <v>#N/A N/A</v>
      </c>
      <c r="F55" s="8" t="s">
        <v>45</v>
      </c>
      <c r="G55" s="8" t="s">
        <v>1985</v>
      </c>
      <c r="H55" s="8" t="s">
        <v>1986</v>
      </c>
      <c r="I55" s="8" t="s">
        <v>1987</v>
      </c>
      <c r="J55" s="8" t="s">
        <v>55</v>
      </c>
      <c r="K55" s="8" t="s">
        <v>56</v>
      </c>
      <c r="L55" s="7">
        <v>3.64461E7</v>
      </c>
      <c r="M55" s="8" t="s">
        <v>483</v>
      </c>
      <c r="N55" s="8" t="s">
        <v>1771</v>
      </c>
      <c r="O55" s="8" t="s">
        <v>45</v>
      </c>
      <c r="P55" s="32">
        <v>44217.0</v>
      </c>
      <c r="Q55" s="7">
        <f>VLOOKUP(G55,'CBs RAW'!$E$2:$P$427,12)</f>
        <v>0.02</v>
      </c>
      <c r="R55" s="32">
        <v>47504.0</v>
      </c>
      <c r="S55" s="8" t="s">
        <v>226</v>
      </c>
      <c r="T55" s="8" t="s">
        <v>484</v>
      </c>
      <c r="U55" s="8" t="s">
        <v>49</v>
      </c>
      <c r="V55" s="8" t="s">
        <v>53</v>
      </c>
      <c r="W55" s="8" t="s">
        <v>1988</v>
      </c>
      <c r="X55" s="33" t="str">
        <f>VLOOKUP(G55,'CBs RAW'!$E$2:$W$427,19)</f>
        <v>#N/A N/A</v>
      </c>
      <c r="Y55" s="4" t="str">
        <f t="shared" si="1"/>
        <v>#N/A N/A</v>
      </c>
      <c r="Z55" s="4" t="str">
        <f t="shared" si="2"/>
        <v>Berlin Hyp AGAT MATURITYFIXEDEURSr Preferred</v>
      </c>
    </row>
    <row r="56">
      <c r="A56" s="8">
        <v>55.0</v>
      </c>
      <c r="B56" s="8" t="s">
        <v>477</v>
      </c>
      <c r="C56" s="8" t="s">
        <v>480</v>
      </c>
      <c r="D56" s="8" t="s">
        <v>57</v>
      </c>
      <c r="E56" s="8" t="str">
        <f>VLOOKUP(G56,'CBs RAW'!$E$2:$H$427,4)</f>
        <v>#N/A N/A</v>
      </c>
      <c r="F56" s="8" t="s">
        <v>45</v>
      </c>
      <c r="G56" s="8" t="s">
        <v>1989</v>
      </c>
      <c r="H56" s="8" t="s">
        <v>1990</v>
      </c>
      <c r="I56" s="8" t="s">
        <v>1991</v>
      </c>
      <c r="J56" s="8" t="s">
        <v>55</v>
      </c>
      <c r="K56" s="8" t="s">
        <v>56</v>
      </c>
      <c r="L56" s="7">
        <v>6.05895E8</v>
      </c>
      <c r="M56" s="8" t="s">
        <v>459</v>
      </c>
      <c r="N56" s="8" t="s">
        <v>1771</v>
      </c>
      <c r="O56" s="8" t="s">
        <v>45</v>
      </c>
      <c r="P56" s="32">
        <v>44223.0</v>
      </c>
      <c r="Q56" s="7">
        <f>VLOOKUP(G56,'CBs RAW'!$E$2:$P$427,12)</f>
        <v>0.01</v>
      </c>
      <c r="R56" s="32">
        <v>47875.0</v>
      </c>
      <c r="S56" s="8" t="s">
        <v>226</v>
      </c>
      <c r="T56" s="8" t="s">
        <v>190</v>
      </c>
      <c r="U56" s="8" t="s">
        <v>49</v>
      </c>
      <c r="V56" s="8" t="s">
        <v>53</v>
      </c>
      <c r="W56" s="8" t="s">
        <v>1992</v>
      </c>
      <c r="X56" s="33">
        <f>VLOOKUP(G56,'CBs RAW'!$E$2:$W$427,19)</f>
        <v>-0.225</v>
      </c>
      <c r="Y56" s="34">
        <f t="shared" si="1"/>
        <v>-0.225</v>
      </c>
      <c r="Z56" s="4" t="str">
        <f t="shared" si="2"/>
        <v>Berlin Hyp AGAT MATURITYFIXEDEURSecured</v>
      </c>
    </row>
    <row r="57">
      <c r="A57" s="8">
        <v>56.0</v>
      </c>
      <c r="B57" s="8" t="s">
        <v>477</v>
      </c>
      <c r="C57" s="8" t="s">
        <v>480</v>
      </c>
      <c r="D57" s="8" t="s">
        <v>57</v>
      </c>
      <c r="E57" s="8" t="str">
        <f>VLOOKUP(G57,'CBs RAW'!$E$2:$H$427,4)</f>
        <v>#N/A N/A</v>
      </c>
      <c r="F57" s="8" t="s">
        <v>45</v>
      </c>
      <c r="G57" s="8" t="s">
        <v>1993</v>
      </c>
      <c r="H57" s="8" t="s">
        <v>1994</v>
      </c>
      <c r="I57" s="8" t="s">
        <v>1995</v>
      </c>
      <c r="J57" s="8" t="s">
        <v>55</v>
      </c>
      <c r="K57" s="8" t="s">
        <v>56</v>
      </c>
      <c r="L57" s="7">
        <v>7.881315E7</v>
      </c>
      <c r="M57" s="8" t="s">
        <v>483</v>
      </c>
      <c r="N57" s="8" t="s">
        <v>1771</v>
      </c>
      <c r="O57" s="8" t="s">
        <v>45</v>
      </c>
      <c r="P57" s="32">
        <v>44224.0</v>
      </c>
      <c r="Q57" s="7">
        <f>VLOOKUP(G57,'CBs RAW'!$E$2:$P$427,12)</f>
        <v>0.01</v>
      </c>
      <c r="R57" s="32">
        <v>45317.0</v>
      </c>
      <c r="S57" s="8" t="s">
        <v>226</v>
      </c>
      <c r="T57" s="8" t="s">
        <v>484</v>
      </c>
      <c r="U57" s="8" t="s">
        <v>49</v>
      </c>
      <c r="V57" s="8" t="s">
        <v>53</v>
      </c>
      <c r="W57" s="8" t="s">
        <v>1996</v>
      </c>
      <c r="X57" s="33">
        <f>VLOOKUP(G57,'CBs RAW'!$E$2:$W$427,19)</f>
        <v>-0.535</v>
      </c>
      <c r="Y57" s="34">
        <f t="shared" si="1"/>
        <v>-0.535</v>
      </c>
      <c r="Z57" s="4" t="str">
        <f t="shared" si="2"/>
        <v>Berlin Hyp AGAT MATURITYFIXEDEURSr Preferred</v>
      </c>
    </row>
    <row r="58">
      <c r="A58" s="8">
        <v>57.0</v>
      </c>
      <c r="B58" s="8" t="s">
        <v>477</v>
      </c>
      <c r="C58" s="8" t="s">
        <v>480</v>
      </c>
      <c r="D58" s="8" t="s">
        <v>57</v>
      </c>
      <c r="E58" s="8" t="str">
        <f>VLOOKUP(G58,'CBs RAW'!$E$2:$H$427,4)</f>
        <v>#N/A N/A</v>
      </c>
      <c r="F58" s="8" t="s">
        <v>45</v>
      </c>
      <c r="G58" s="8" t="s">
        <v>1997</v>
      </c>
      <c r="H58" s="8" t="s">
        <v>1998</v>
      </c>
      <c r="I58" s="8" t="s">
        <v>1999</v>
      </c>
      <c r="J58" s="8" t="s">
        <v>55</v>
      </c>
      <c r="K58" s="8" t="s">
        <v>56</v>
      </c>
      <c r="L58" s="7">
        <v>6.06915E7</v>
      </c>
      <c r="M58" s="8" t="s">
        <v>483</v>
      </c>
      <c r="N58" s="8" t="s">
        <v>174</v>
      </c>
      <c r="O58" s="8" t="s">
        <v>45</v>
      </c>
      <c r="P58" s="32">
        <v>44237.0</v>
      </c>
      <c r="Q58" s="7">
        <f>VLOOKUP(G58,'CBs RAW'!$E$2:$P$427,12)</f>
        <v>0.01</v>
      </c>
      <c r="R58" s="32">
        <v>45334.0</v>
      </c>
      <c r="S58" s="8" t="s">
        <v>226</v>
      </c>
      <c r="T58" s="8" t="s">
        <v>484</v>
      </c>
      <c r="U58" s="8" t="s">
        <v>49</v>
      </c>
      <c r="V58" s="8" t="s">
        <v>53</v>
      </c>
      <c r="W58" s="8" t="s">
        <v>2000</v>
      </c>
      <c r="X58" s="33" t="str">
        <f>VLOOKUP(G58,'CBs RAW'!$E$2:$W$427,19)</f>
        <v>#N/A N/A</v>
      </c>
      <c r="Y58" s="4" t="str">
        <f t="shared" si="1"/>
        <v>#N/A N/A</v>
      </c>
      <c r="Z58" s="4" t="str">
        <f t="shared" si="2"/>
        <v>Berlin Hyp AGAT MATURITYFIXEDEURSr Preferred</v>
      </c>
    </row>
    <row r="59">
      <c r="A59" s="8">
        <v>58.0</v>
      </c>
      <c r="B59" s="8" t="s">
        <v>477</v>
      </c>
      <c r="C59" s="8" t="s">
        <v>480</v>
      </c>
      <c r="D59" s="8" t="s">
        <v>57</v>
      </c>
      <c r="E59" s="8" t="str">
        <f>VLOOKUP(G59,'CBs RAW'!$E$2:$H$427,4)</f>
        <v>#N/A N/A</v>
      </c>
      <c r="F59" s="8" t="s">
        <v>45</v>
      </c>
      <c r="G59" s="8" t="s">
        <v>2001</v>
      </c>
      <c r="H59" s="8" t="s">
        <v>2002</v>
      </c>
      <c r="I59" s="8" t="s">
        <v>2003</v>
      </c>
      <c r="J59" s="8" t="s">
        <v>55</v>
      </c>
      <c r="K59" s="8" t="s">
        <v>56</v>
      </c>
      <c r="L59" s="7">
        <v>3.053125E8</v>
      </c>
      <c r="M59" s="8" t="s">
        <v>459</v>
      </c>
      <c r="N59" s="8" t="s">
        <v>1771</v>
      </c>
      <c r="O59" s="8" t="s">
        <v>45</v>
      </c>
      <c r="P59" s="32">
        <v>44252.0</v>
      </c>
      <c r="Q59" s="7">
        <f>VLOOKUP(G59,'CBs RAW'!$E$2:$P$427,12)</f>
        <v>0.01</v>
      </c>
      <c r="R59" s="32">
        <v>48180.0</v>
      </c>
      <c r="S59" s="8" t="s">
        <v>226</v>
      </c>
      <c r="T59" s="8" t="s">
        <v>190</v>
      </c>
      <c r="U59" s="8" t="s">
        <v>49</v>
      </c>
      <c r="V59" s="8" t="s">
        <v>53</v>
      </c>
      <c r="W59" s="8" t="s">
        <v>2004</v>
      </c>
      <c r="X59" s="33" t="str">
        <f>VLOOKUP(G59,'CBs RAW'!$E$2:$W$427,19)</f>
        <v>#N/A N/A</v>
      </c>
      <c r="Y59" s="4" t="str">
        <f t="shared" si="1"/>
        <v>#N/A N/A</v>
      </c>
      <c r="Z59" s="4" t="str">
        <f t="shared" si="2"/>
        <v>Berlin Hyp AGAT MATURITYFIXEDEURSecured</v>
      </c>
    </row>
    <row r="60">
      <c r="A60" s="8">
        <v>59.0</v>
      </c>
      <c r="B60" s="8" t="s">
        <v>477</v>
      </c>
      <c r="C60" s="8" t="s">
        <v>480</v>
      </c>
      <c r="D60" s="8" t="s">
        <v>57</v>
      </c>
      <c r="E60" s="8">
        <f>VLOOKUP(G60,'CBs RAW'!$E$2:$H$427,4)</f>
        <v>-0.35</v>
      </c>
      <c r="F60" s="8" t="s">
        <v>45</v>
      </c>
      <c r="G60" s="8" t="s">
        <v>2005</v>
      </c>
      <c r="H60" s="8" t="s">
        <v>2006</v>
      </c>
      <c r="I60" s="8" t="s">
        <v>2007</v>
      </c>
      <c r="J60" s="8" t="s">
        <v>55</v>
      </c>
      <c r="K60" s="8" t="s">
        <v>56</v>
      </c>
      <c r="L60" s="7">
        <v>1.20703E7</v>
      </c>
      <c r="M60" s="8" t="s">
        <v>483</v>
      </c>
      <c r="N60" s="8" t="s">
        <v>174</v>
      </c>
      <c r="O60" s="8" t="s">
        <v>45</v>
      </c>
      <c r="P60" s="32">
        <v>44258.0</v>
      </c>
      <c r="Q60" s="7">
        <f>VLOOKUP(G60,'CBs RAW'!$E$2:$P$427,12)</f>
        <v>0.01</v>
      </c>
      <c r="R60" s="32">
        <v>45379.0</v>
      </c>
      <c r="S60" s="8" t="s">
        <v>226</v>
      </c>
      <c r="T60" s="8" t="s">
        <v>484</v>
      </c>
      <c r="U60" s="8" t="s">
        <v>49</v>
      </c>
      <c r="V60" s="8" t="s">
        <v>53</v>
      </c>
      <c r="W60" s="8" t="s">
        <v>2008</v>
      </c>
      <c r="X60" s="33" t="str">
        <f>VLOOKUP(G60,'CBs RAW'!$E$2:$W$427,19)</f>
        <v>#N/A N/A</v>
      </c>
      <c r="Y60" s="4">
        <f t="shared" si="1"/>
        <v>-0.35</v>
      </c>
      <c r="Z60" s="4" t="str">
        <f t="shared" si="2"/>
        <v>Berlin Hyp AGAT MATURITYFIXEDEURSr Preferred</v>
      </c>
    </row>
    <row r="61">
      <c r="A61" s="8">
        <v>60.0</v>
      </c>
      <c r="B61" s="8" t="s">
        <v>477</v>
      </c>
      <c r="C61" s="8" t="s">
        <v>480</v>
      </c>
      <c r="D61" s="8" t="s">
        <v>57</v>
      </c>
      <c r="E61" s="8">
        <f>VLOOKUP(G61,'CBs RAW'!$E$2:$H$427,4)</f>
        <v>0.158</v>
      </c>
      <c r="F61" s="8" t="s">
        <v>45</v>
      </c>
      <c r="G61" s="8" t="s">
        <v>2009</v>
      </c>
      <c r="H61" s="8" t="s">
        <v>2010</v>
      </c>
      <c r="I61" s="8" t="s">
        <v>2011</v>
      </c>
      <c r="J61" s="8" t="s">
        <v>55</v>
      </c>
      <c r="K61" s="8" t="s">
        <v>56</v>
      </c>
      <c r="L61" s="7">
        <v>8.9955E7</v>
      </c>
      <c r="M61" s="8" t="s">
        <v>2012</v>
      </c>
      <c r="N61" s="8" t="s">
        <v>2013</v>
      </c>
      <c r="O61" s="8" t="s">
        <v>45</v>
      </c>
      <c r="P61" s="32">
        <v>44259.0</v>
      </c>
      <c r="Q61" s="7">
        <f>VLOOKUP(G61,'CBs RAW'!$E$2:$P$427,12)</f>
        <v>0.5</v>
      </c>
      <c r="R61" s="32">
        <v>47546.0</v>
      </c>
      <c r="S61" s="8" t="s">
        <v>226</v>
      </c>
      <c r="T61" s="8" t="s">
        <v>484</v>
      </c>
      <c r="U61" s="8" t="s">
        <v>49</v>
      </c>
      <c r="V61" s="8" t="s">
        <v>53</v>
      </c>
      <c r="W61" s="8" t="s">
        <v>2014</v>
      </c>
      <c r="X61" s="33">
        <f>VLOOKUP(G61,'CBs RAW'!$E$2:$W$427,19)</f>
        <v>0.024</v>
      </c>
      <c r="Y61" s="34">
        <f t="shared" si="1"/>
        <v>0.024</v>
      </c>
      <c r="Z61" s="4" t="str">
        <f t="shared" si="2"/>
        <v>Berlin Hyp AGAT MATURITYFIXEDEURSr Non Preferred</v>
      </c>
    </row>
    <row r="62">
      <c r="A62" s="8">
        <v>61.0</v>
      </c>
      <c r="B62" s="8" t="s">
        <v>477</v>
      </c>
      <c r="C62" s="8" t="s">
        <v>480</v>
      </c>
      <c r="D62" s="8" t="s">
        <v>57</v>
      </c>
      <c r="E62" s="8" t="str">
        <f>VLOOKUP(G62,'CBs RAW'!$E$2:$H$427,4)</f>
        <v>#N/A N/A</v>
      </c>
      <c r="F62" s="8" t="s">
        <v>45</v>
      </c>
      <c r="G62" s="8" t="s">
        <v>2015</v>
      </c>
      <c r="H62" s="8" t="s">
        <v>2016</v>
      </c>
      <c r="I62" s="8" t="s">
        <v>2017</v>
      </c>
      <c r="J62" s="8" t="s">
        <v>55</v>
      </c>
      <c r="K62" s="8" t="s">
        <v>56</v>
      </c>
      <c r="L62" s="7">
        <v>1.1948E7</v>
      </c>
      <c r="M62" s="8" t="s">
        <v>483</v>
      </c>
      <c r="N62" s="8" t="s">
        <v>1771</v>
      </c>
      <c r="O62" s="8" t="s">
        <v>45</v>
      </c>
      <c r="P62" s="32">
        <v>44267.0</v>
      </c>
      <c r="Q62" s="7">
        <f>VLOOKUP(G62,'CBs RAW'!$E$2:$P$427,12)</f>
        <v>0.01</v>
      </c>
      <c r="R62" s="32">
        <v>47189.0</v>
      </c>
      <c r="S62" s="8" t="s">
        <v>226</v>
      </c>
      <c r="T62" s="8" t="s">
        <v>484</v>
      </c>
      <c r="U62" s="8" t="s">
        <v>49</v>
      </c>
      <c r="V62" s="8" t="s">
        <v>53</v>
      </c>
      <c r="W62" s="8" t="s">
        <v>2018</v>
      </c>
      <c r="X62" s="33" t="str">
        <f>VLOOKUP(G62,'CBs RAW'!$E$2:$W$427,19)</f>
        <v>#N/A N/A</v>
      </c>
      <c r="Y62" s="4" t="str">
        <f t="shared" si="1"/>
        <v>#N/A N/A</v>
      </c>
      <c r="Z62" s="4" t="str">
        <f t="shared" si="2"/>
        <v>Berlin Hyp AGAT MATURITYFIXEDEURSr Preferred</v>
      </c>
    </row>
    <row r="63">
      <c r="A63" s="8">
        <v>62.0</v>
      </c>
      <c r="B63" s="8" t="s">
        <v>477</v>
      </c>
      <c r="C63" s="8" t="s">
        <v>480</v>
      </c>
      <c r="D63" s="8" t="s">
        <v>57</v>
      </c>
      <c r="E63" s="8" t="str">
        <f>VLOOKUP(G63,'CBs RAW'!$E$2:$H$427,4)</f>
        <v>#N/A N/A</v>
      </c>
      <c r="F63" s="8" t="s">
        <v>45</v>
      </c>
      <c r="G63" s="8" t="s">
        <v>2019</v>
      </c>
      <c r="H63" s="8" t="s">
        <v>2020</v>
      </c>
      <c r="I63" s="8" t="s">
        <v>2021</v>
      </c>
      <c r="J63" s="8" t="s">
        <v>55</v>
      </c>
      <c r="K63" s="8" t="s">
        <v>56</v>
      </c>
      <c r="L63" s="7">
        <v>1.19293E7</v>
      </c>
      <c r="M63" s="8" t="s">
        <v>483</v>
      </c>
      <c r="N63" s="8" t="s">
        <v>1771</v>
      </c>
      <c r="O63" s="8" t="s">
        <v>45</v>
      </c>
      <c r="P63" s="32">
        <v>44273.0</v>
      </c>
      <c r="Q63" s="7">
        <f>VLOOKUP(G63,'CBs RAW'!$E$2:$P$427,12)</f>
        <v>0.118</v>
      </c>
      <c r="R63" s="32">
        <v>47560.0</v>
      </c>
      <c r="S63" s="8" t="s">
        <v>226</v>
      </c>
      <c r="T63" s="8" t="s">
        <v>484</v>
      </c>
      <c r="U63" s="8" t="s">
        <v>49</v>
      </c>
      <c r="V63" s="8" t="s">
        <v>53</v>
      </c>
      <c r="W63" s="8" t="s">
        <v>2022</v>
      </c>
      <c r="X63" s="33" t="str">
        <f>VLOOKUP(G63,'CBs RAW'!$E$2:$W$427,19)</f>
        <v>#N/A N/A</v>
      </c>
      <c r="Y63" s="4" t="str">
        <f t="shared" si="1"/>
        <v>#N/A N/A</v>
      </c>
      <c r="Z63" s="4" t="str">
        <f t="shared" si="2"/>
        <v>Berlin Hyp AGAT MATURITYFIXEDEURSr Preferred</v>
      </c>
    </row>
    <row r="64">
      <c r="A64" s="8">
        <v>63.0</v>
      </c>
      <c r="B64" s="8" t="s">
        <v>477</v>
      </c>
      <c r="C64" s="8" t="s">
        <v>480</v>
      </c>
      <c r="D64" s="8" t="s">
        <v>392</v>
      </c>
      <c r="E64" s="8" t="str">
        <f>VLOOKUP(G64,'CBs RAW'!$E$2:$H$427,4)</f>
        <v>#N/A N/A</v>
      </c>
      <c r="F64" s="8" t="s">
        <v>45</v>
      </c>
      <c r="G64" s="8" t="s">
        <v>2023</v>
      </c>
      <c r="H64" s="8" t="s">
        <v>2024</v>
      </c>
      <c r="I64" s="8" t="s">
        <v>2025</v>
      </c>
      <c r="J64" s="8" t="s">
        <v>55</v>
      </c>
      <c r="K64" s="8" t="s">
        <v>70</v>
      </c>
      <c r="L64" s="7">
        <v>6.861717E8</v>
      </c>
      <c r="M64" s="8" t="s">
        <v>459</v>
      </c>
      <c r="N64" s="8" t="s">
        <v>1771</v>
      </c>
      <c r="O64" s="8" t="s">
        <v>45</v>
      </c>
      <c r="P64" s="32">
        <v>44305.0</v>
      </c>
      <c r="Q64" s="7">
        <f>VLOOKUP(G64,'CBs RAW'!$E$2:$P$427,12)</f>
        <v>0</v>
      </c>
      <c r="R64" s="32">
        <v>46129.0</v>
      </c>
      <c r="S64" s="8" t="s">
        <v>226</v>
      </c>
      <c r="T64" s="8" t="s">
        <v>190</v>
      </c>
      <c r="U64" s="8" t="s">
        <v>49</v>
      </c>
      <c r="V64" s="8" t="s">
        <v>53</v>
      </c>
      <c r="W64" s="8" t="s">
        <v>2026</v>
      </c>
      <c r="X64" s="33">
        <f>VLOOKUP(G64,'CBs RAW'!$E$2:$W$427,19)</f>
        <v>-0.054</v>
      </c>
      <c r="Y64" s="34">
        <f t="shared" si="1"/>
        <v>-0.054</v>
      </c>
      <c r="Z64" s="4" t="str">
        <f t="shared" si="2"/>
        <v>Berlin Hyp AGAT MATURITYFLOATINGEURSecured</v>
      </c>
    </row>
    <row r="65">
      <c r="A65" s="8">
        <v>64.0</v>
      </c>
      <c r="B65" s="8" t="s">
        <v>477</v>
      </c>
      <c r="C65" s="8" t="s">
        <v>480</v>
      </c>
      <c r="D65" s="8" t="s">
        <v>57</v>
      </c>
      <c r="E65" s="8" t="str">
        <f>VLOOKUP(G65,'CBs RAW'!$E$2:$H$427,4)</f>
        <v>#N/A N/A</v>
      </c>
      <c r="F65" s="8" t="s">
        <v>45</v>
      </c>
      <c r="G65" s="8" t="s">
        <v>2027</v>
      </c>
      <c r="H65" s="8" t="s">
        <v>2028</v>
      </c>
      <c r="I65" s="8" t="s">
        <v>2029</v>
      </c>
      <c r="J65" s="8" t="s">
        <v>55</v>
      </c>
      <c r="K65" s="8" t="s">
        <v>56</v>
      </c>
      <c r="L65" s="7">
        <v>9.1581E8</v>
      </c>
      <c r="M65" s="8" t="s">
        <v>459</v>
      </c>
      <c r="N65" s="8" t="s">
        <v>1771</v>
      </c>
      <c r="O65" s="8" t="s">
        <v>45</v>
      </c>
      <c r="P65" s="32">
        <v>44335.0</v>
      </c>
      <c r="Q65" s="7">
        <f>VLOOKUP(G65,'CBs RAW'!$E$2:$P$427,12)</f>
        <v>0.25</v>
      </c>
      <c r="R65" s="32">
        <v>48718.0</v>
      </c>
      <c r="S65" s="8" t="s">
        <v>226</v>
      </c>
      <c r="T65" s="8" t="s">
        <v>190</v>
      </c>
      <c r="U65" s="8" t="s">
        <v>49</v>
      </c>
      <c r="V65" s="8" t="s">
        <v>53</v>
      </c>
      <c r="W65" s="8" t="s">
        <v>2030</v>
      </c>
      <c r="X65" s="33">
        <f>VLOOKUP(G65,'CBs RAW'!$E$2:$W$427,19)</f>
        <v>0.275</v>
      </c>
      <c r="Y65" s="34">
        <f t="shared" si="1"/>
        <v>0.275</v>
      </c>
      <c r="Z65" s="4" t="str">
        <f t="shared" si="2"/>
        <v>Berlin Hyp AGAT MATURITYFIXEDEURSecured</v>
      </c>
    </row>
    <row r="66">
      <c r="A66" s="8">
        <v>65.0</v>
      </c>
      <c r="B66" s="8" t="s">
        <v>477</v>
      </c>
      <c r="C66" s="8" t="s">
        <v>480</v>
      </c>
      <c r="D66" s="8" t="s">
        <v>57</v>
      </c>
      <c r="E66" s="8" t="str">
        <f>VLOOKUP(G66,'CBs RAW'!$E$2:$H$427,4)</f>
        <v>#N/A N/A</v>
      </c>
      <c r="F66" s="8" t="s">
        <v>45</v>
      </c>
      <c r="G66" s="8" t="s">
        <v>2031</v>
      </c>
      <c r="H66" s="8" t="s">
        <v>2032</v>
      </c>
      <c r="I66" s="8" t="s">
        <v>2033</v>
      </c>
      <c r="J66" s="8" t="s">
        <v>55</v>
      </c>
      <c r="K66" s="8" t="s">
        <v>56</v>
      </c>
      <c r="L66" s="7">
        <v>1.18962E8</v>
      </c>
      <c r="M66" s="8" t="s">
        <v>2012</v>
      </c>
      <c r="N66" s="8" t="s">
        <v>2013</v>
      </c>
      <c r="O66" s="8" t="s">
        <v>45</v>
      </c>
      <c r="P66" s="32">
        <v>44376.0</v>
      </c>
      <c r="Q66" s="7">
        <f>VLOOKUP(G66,'CBs RAW'!$E$2:$P$427,12)</f>
        <v>0.625</v>
      </c>
      <c r="R66" s="32">
        <v>48029.0</v>
      </c>
      <c r="S66" s="8" t="s">
        <v>226</v>
      </c>
      <c r="T66" s="8" t="s">
        <v>117</v>
      </c>
      <c r="U66" s="8" t="s">
        <v>49</v>
      </c>
      <c r="V66" s="8" t="s">
        <v>53</v>
      </c>
      <c r="W66" s="8" t="s">
        <v>2034</v>
      </c>
      <c r="X66" s="33">
        <f>VLOOKUP(G66,'CBs RAW'!$E$2:$W$427,19)</f>
        <v>0.607</v>
      </c>
      <c r="Y66" s="34">
        <f t="shared" si="1"/>
        <v>0.607</v>
      </c>
      <c r="Z66" s="4" t="str">
        <f t="shared" si="2"/>
        <v>Berlin Hyp AGAT MATURITYFIXEDEURSr Non Preferred</v>
      </c>
    </row>
    <row r="67">
      <c r="A67" s="8">
        <v>66.0</v>
      </c>
      <c r="B67" s="8" t="s">
        <v>477</v>
      </c>
      <c r="C67" s="8" t="s">
        <v>480</v>
      </c>
      <c r="D67" s="8" t="s">
        <v>57</v>
      </c>
      <c r="E67" s="8" t="str">
        <f>VLOOKUP(G67,'CBs RAW'!$E$2:$H$427,4)</f>
        <v>#N/A N/A</v>
      </c>
      <c r="F67" s="8" t="s">
        <v>45</v>
      </c>
      <c r="G67" s="8" t="s">
        <v>2035</v>
      </c>
      <c r="H67" s="8" t="s">
        <v>2036</v>
      </c>
      <c r="I67" s="8" t="s">
        <v>2037</v>
      </c>
      <c r="J67" s="8" t="s">
        <v>55</v>
      </c>
      <c r="K67" s="8" t="s">
        <v>56</v>
      </c>
      <c r="L67" s="7">
        <v>1.17628E7</v>
      </c>
      <c r="M67" s="8" t="s">
        <v>483</v>
      </c>
      <c r="N67" s="8" t="s">
        <v>174</v>
      </c>
      <c r="O67" s="8" t="s">
        <v>45</v>
      </c>
      <c r="P67" s="32">
        <v>44399.0</v>
      </c>
      <c r="Q67" s="7">
        <f>VLOOKUP(G67,'CBs RAW'!$E$2:$P$427,12)</f>
        <v>0.03</v>
      </c>
      <c r="R67" s="32">
        <v>47686.0</v>
      </c>
      <c r="S67" s="8" t="s">
        <v>226</v>
      </c>
      <c r="T67" s="8" t="s">
        <v>484</v>
      </c>
      <c r="U67" s="8" t="s">
        <v>49</v>
      </c>
      <c r="V67" s="8" t="s">
        <v>53</v>
      </c>
      <c r="W67" s="8" t="s">
        <v>2038</v>
      </c>
      <c r="X67" s="33" t="str">
        <f>VLOOKUP(G67,'CBs RAW'!$E$2:$W$427,19)</f>
        <v>#N/A N/A</v>
      </c>
      <c r="Y67" s="4" t="str">
        <f t="shared" si="1"/>
        <v>#N/A N/A</v>
      </c>
      <c r="Z67" s="4" t="str">
        <f t="shared" si="2"/>
        <v>Berlin Hyp AGAT MATURITYFIXEDEURSr Preferred</v>
      </c>
    </row>
    <row r="68">
      <c r="A68" s="8">
        <v>67.0</v>
      </c>
      <c r="B68" s="8" t="s">
        <v>477</v>
      </c>
      <c r="C68" s="8" t="s">
        <v>480</v>
      </c>
      <c r="D68" s="8" t="s">
        <v>57</v>
      </c>
      <c r="E68" s="8">
        <f>VLOOKUP(G68,'CBs RAW'!$E$2:$H$427,4)</f>
        <v>-0.4</v>
      </c>
      <c r="F68" s="8" t="s">
        <v>45</v>
      </c>
      <c r="G68" s="8" t="s">
        <v>2039</v>
      </c>
      <c r="H68" s="8" t="s">
        <v>2040</v>
      </c>
      <c r="I68" s="8" t="s">
        <v>2041</v>
      </c>
      <c r="J68" s="8" t="s">
        <v>55</v>
      </c>
      <c r="K68" s="8" t="s">
        <v>56</v>
      </c>
      <c r="L68" s="7">
        <v>8.810625E8</v>
      </c>
      <c r="M68" s="8" t="s">
        <v>459</v>
      </c>
      <c r="N68" s="8" t="s">
        <v>1771</v>
      </c>
      <c r="O68" s="8" t="s">
        <v>45</v>
      </c>
      <c r="P68" s="32">
        <v>44432.0</v>
      </c>
      <c r="Q68" s="7">
        <f>VLOOKUP(G68,'CBs RAW'!$E$2:$P$427,12)</f>
        <v>0.01</v>
      </c>
      <c r="R68" s="32">
        <v>46258.0</v>
      </c>
      <c r="S68" s="8" t="s">
        <v>226</v>
      </c>
      <c r="T68" s="8" t="s">
        <v>190</v>
      </c>
      <c r="U68" s="8" t="s">
        <v>49</v>
      </c>
      <c r="V68" s="8" t="s">
        <v>53</v>
      </c>
      <c r="W68" s="8" t="s">
        <v>2042</v>
      </c>
      <c r="X68" s="33">
        <f>VLOOKUP(G68,'CBs RAW'!$E$2:$W$427,19)</f>
        <v>-0.423</v>
      </c>
      <c r="Y68" s="34">
        <f t="shared" si="1"/>
        <v>-0.423</v>
      </c>
      <c r="Z68" s="4" t="str">
        <f t="shared" si="2"/>
        <v>Berlin Hyp AGAT MATURITYFIXEDEURSecured</v>
      </c>
    </row>
    <row r="69">
      <c r="A69" s="8">
        <v>68.0</v>
      </c>
      <c r="B69" s="8" t="s">
        <v>477</v>
      </c>
      <c r="C69" s="8" t="s">
        <v>480</v>
      </c>
      <c r="D69" s="8" t="s">
        <v>57</v>
      </c>
      <c r="E69" s="8" t="str">
        <f>VLOOKUP(G69,'CBs RAW'!$E$2:$H$427,4)</f>
        <v>#N/A N/A</v>
      </c>
      <c r="F69" s="8" t="s">
        <v>45</v>
      </c>
      <c r="G69" s="8" t="s">
        <v>2043</v>
      </c>
      <c r="H69" s="8" t="s">
        <v>2044</v>
      </c>
      <c r="I69" s="8" t="s">
        <v>2045</v>
      </c>
      <c r="J69" s="8" t="s">
        <v>55</v>
      </c>
      <c r="K69" s="8" t="s">
        <v>56</v>
      </c>
      <c r="L69" s="7">
        <v>1.16014E7</v>
      </c>
      <c r="M69" s="8" t="s">
        <v>52</v>
      </c>
      <c r="N69" s="8" t="s">
        <v>1771</v>
      </c>
      <c r="O69" s="8" t="s">
        <v>45</v>
      </c>
      <c r="P69" s="32">
        <v>44468.0</v>
      </c>
      <c r="Q69" s="7">
        <f>VLOOKUP(G69,'CBs RAW'!$E$2:$P$427,12)</f>
        <v>0.375</v>
      </c>
      <c r="R69" s="32">
        <v>48120.0</v>
      </c>
      <c r="S69" s="8" t="s">
        <v>226</v>
      </c>
      <c r="T69" s="8" t="s">
        <v>484</v>
      </c>
      <c r="U69" s="8" t="s">
        <v>115</v>
      </c>
      <c r="V69" s="8" t="s">
        <v>53</v>
      </c>
      <c r="W69" s="8" t="s">
        <v>2046</v>
      </c>
      <c r="X69" s="33" t="str">
        <f>VLOOKUP(G69,'CBs RAW'!$E$2:$W$427,19)</f>
        <v>#N/A N/A</v>
      </c>
      <c r="Y69" s="4" t="str">
        <f t="shared" si="1"/>
        <v>#N/A N/A</v>
      </c>
      <c r="Z69" s="4" t="str">
        <f t="shared" si="2"/>
        <v>Berlin Hyp AGCALLABLEFIXEDEURSr Unsecured</v>
      </c>
    </row>
    <row r="70">
      <c r="A70" s="8">
        <v>69.0</v>
      </c>
      <c r="B70" s="8" t="s">
        <v>477</v>
      </c>
      <c r="C70" s="8" t="s">
        <v>480</v>
      </c>
      <c r="D70" s="8" t="s">
        <v>57</v>
      </c>
      <c r="E70" s="8" t="str">
        <f>VLOOKUP(G70,'CBs RAW'!$E$2:$H$427,4)</f>
        <v>#N/A N/A</v>
      </c>
      <c r="F70" s="8" t="s">
        <v>45</v>
      </c>
      <c r="G70" s="8" t="s">
        <v>2047</v>
      </c>
      <c r="H70" s="8" t="s">
        <v>2048</v>
      </c>
      <c r="I70" s="8" t="s">
        <v>2049</v>
      </c>
      <c r="J70" s="8" t="s">
        <v>55</v>
      </c>
      <c r="K70" s="8" t="s">
        <v>56</v>
      </c>
      <c r="L70" s="7">
        <v>9244480.0</v>
      </c>
      <c r="M70" s="8" t="s">
        <v>483</v>
      </c>
      <c r="N70" s="8" t="s">
        <v>174</v>
      </c>
      <c r="O70" s="8" t="s">
        <v>45</v>
      </c>
      <c r="P70" s="32">
        <v>44476.0</v>
      </c>
      <c r="Q70" s="7">
        <f>VLOOKUP(G70,'CBs RAW'!$E$2:$P$427,12)</f>
        <v>0.4</v>
      </c>
      <c r="R70" s="32">
        <v>48128.0</v>
      </c>
      <c r="S70" s="8" t="s">
        <v>226</v>
      </c>
      <c r="T70" s="8" t="s">
        <v>484</v>
      </c>
      <c r="U70" s="8" t="s">
        <v>115</v>
      </c>
      <c r="V70" s="8" t="s">
        <v>53</v>
      </c>
      <c r="W70" s="8" t="s">
        <v>2050</v>
      </c>
      <c r="X70" s="33" t="str">
        <f>VLOOKUP(G70,'CBs RAW'!$E$2:$W$427,19)</f>
        <v>#N/A N/A</v>
      </c>
      <c r="Y70" s="4" t="str">
        <f t="shared" si="1"/>
        <v>#N/A N/A</v>
      </c>
      <c r="Z70" s="4" t="str">
        <f t="shared" si="2"/>
        <v>Berlin Hyp AGCALLABLEFIXEDEURSr Preferred</v>
      </c>
    </row>
    <row r="71">
      <c r="A71" s="8">
        <v>70.0</v>
      </c>
      <c r="B71" s="8" t="s">
        <v>477</v>
      </c>
      <c r="C71" s="8" t="s">
        <v>480</v>
      </c>
      <c r="D71" s="8" t="s">
        <v>57</v>
      </c>
      <c r="E71" s="8" t="str">
        <f>VLOOKUP(G71,'CBs RAW'!$E$2:$H$427,4)</f>
        <v>#N/A N/A</v>
      </c>
      <c r="F71" s="8" t="s">
        <v>45</v>
      </c>
      <c r="G71" s="8" t="s">
        <v>2051</v>
      </c>
      <c r="H71" s="8" t="s">
        <v>2052</v>
      </c>
      <c r="I71" s="8" t="s">
        <v>2053</v>
      </c>
      <c r="J71" s="8" t="s">
        <v>55</v>
      </c>
      <c r="K71" s="8" t="s">
        <v>56</v>
      </c>
      <c r="L71" s="7">
        <v>2.31112E7</v>
      </c>
      <c r="M71" s="8" t="s">
        <v>483</v>
      </c>
      <c r="N71" s="8" t="s">
        <v>174</v>
      </c>
      <c r="O71" s="8" t="s">
        <v>45</v>
      </c>
      <c r="P71" s="32">
        <v>44476.0</v>
      </c>
      <c r="Q71" s="7">
        <f>VLOOKUP(G71,'CBs RAW'!$E$2:$P$427,12)</f>
        <v>0.46</v>
      </c>
      <c r="R71" s="32">
        <v>48128.0</v>
      </c>
      <c r="S71" s="8" t="s">
        <v>226</v>
      </c>
      <c r="T71" s="8" t="s">
        <v>484</v>
      </c>
      <c r="U71" s="8" t="s">
        <v>115</v>
      </c>
      <c r="V71" s="8" t="s">
        <v>53</v>
      </c>
      <c r="W71" s="8" t="s">
        <v>2054</v>
      </c>
      <c r="X71" s="33" t="str">
        <f>VLOOKUP(G71,'CBs RAW'!$E$2:$W$427,19)</f>
        <v>#N/A N/A</v>
      </c>
      <c r="Y71" s="4" t="str">
        <f t="shared" si="1"/>
        <v>#N/A N/A</v>
      </c>
      <c r="Z71" s="4" t="str">
        <f t="shared" si="2"/>
        <v>Berlin Hyp AGCALLABLEFIXEDEURSr Preferred</v>
      </c>
    </row>
    <row r="72">
      <c r="A72" s="8">
        <v>71.0</v>
      </c>
      <c r="B72" s="8" t="s">
        <v>477</v>
      </c>
      <c r="C72" s="8" t="s">
        <v>480</v>
      </c>
      <c r="D72" s="8" t="s">
        <v>57</v>
      </c>
      <c r="E72" s="8" t="str">
        <f>VLOOKUP(G72,'CBs RAW'!$E$2:$H$427,4)</f>
        <v>#N/A N/A</v>
      </c>
      <c r="F72" s="8" t="s">
        <v>45</v>
      </c>
      <c r="G72" s="8" t="s">
        <v>2055</v>
      </c>
      <c r="H72" s="8" t="s">
        <v>2056</v>
      </c>
      <c r="I72" s="8" t="s">
        <v>2057</v>
      </c>
      <c r="J72" s="8" t="s">
        <v>55</v>
      </c>
      <c r="K72" s="8" t="s">
        <v>56</v>
      </c>
      <c r="L72" s="7">
        <v>1.16217E9</v>
      </c>
      <c r="M72" s="8" t="s">
        <v>459</v>
      </c>
      <c r="N72" s="8" t="s">
        <v>1771</v>
      </c>
      <c r="O72" s="8" t="s">
        <v>45</v>
      </c>
      <c r="P72" s="32">
        <v>44487.0</v>
      </c>
      <c r="Q72" s="7">
        <f>VLOOKUP(G72,'CBs RAW'!$E$2:$P$427,12)</f>
        <v>0.125</v>
      </c>
      <c r="R72" s="32">
        <v>47501.0</v>
      </c>
      <c r="S72" s="8" t="s">
        <v>226</v>
      </c>
      <c r="T72" s="8" t="s">
        <v>190</v>
      </c>
      <c r="U72" s="8" t="s">
        <v>49</v>
      </c>
      <c r="V72" s="8" t="s">
        <v>53</v>
      </c>
      <c r="W72" s="8" t="s">
        <v>2058</v>
      </c>
      <c r="X72" s="33">
        <f>VLOOKUP(G72,'CBs RAW'!$E$2:$W$427,19)</f>
        <v>0.114</v>
      </c>
      <c r="Y72" s="34">
        <f t="shared" si="1"/>
        <v>0.114</v>
      </c>
      <c r="Z72" s="4" t="str">
        <f t="shared" si="2"/>
        <v>Berlin Hyp AGAT MATURITYFIXEDEURSecured</v>
      </c>
    </row>
    <row r="73">
      <c r="A73" s="8">
        <v>72.0</v>
      </c>
      <c r="B73" s="8" t="s">
        <v>477</v>
      </c>
      <c r="C73" s="8" t="s">
        <v>480</v>
      </c>
      <c r="D73" s="8" t="s">
        <v>57</v>
      </c>
      <c r="E73" s="8" t="str">
        <f>VLOOKUP(G73,'CBs RAW'!$E$2:$H$427,4)</f>
        <v>#N/A N/A</v>
      </c>
      <c r="F73" s="8" t="s">
        <v>45</v>
      </c>
      <c r="G73" s="8" t="s">
        <v>2059</v>
      </c>
      <c r="H73" s="8" t="s">
        <v>2060</v>
      </c>
      <c r="I73" s="8" t="s">
        <v>2061</v>
      </c>
      <c r="J73" s="8" t="s">
        <v>55</v>
      </c>
      <c r="K73" s="8" t="s">
        <v>56</v>
      </c>
      <c r="L73" s="7">
        <v>1.745415E7</v>
      </c>
      <c r="M73" s="8" t="s">
        <v>483</v>
      </c>
      <c r="N73" s="8" t="s">
        <v>174</v>
      </c>
      <c r="O73" s="8" t="s">
        <v>45</v>
      </c>
      <c r="P73" s="32">
        <v>44488.0</v>
      </c>
      <c r="Q73" s="7">
        <f>VLOOKUP(G73,'CBs RAW'!$E$2:$P$427,12)</f>
        <v>0.01</v>
      </c>
      <c r="R73" s="32">
        <v>46314.0</v>
      </c>
      <c r="S73" s="8" t="s">
        <v>226</v>
      </c>
      <c r="T73" s="8" t="s">
        <v>484</v>
      </c>
      <c r="U73" s="8" t="s">
        <v>49</v>
      </c>
      <c r="V73" s="8" t="s">
        <v>53</v>
      </c>
      <c r="W73" s="8" t="s">
        <v>2062</v>
      </c>
      <c r="X73" s="33" t="str">
        <f>VLOOKUP(G73,'CBs RAW'!$E$2:$W$427,19)</f>
        <v>#N/A N/A</v>
      </c>
      <c r="Y73" s="4" t="str">
        <f t="shared" si="1"/>
        <v>#N/A N/A</v>
      </c>
      <c r="Z73" s="4" t="str">
        <f t="shared" si="2"/>
        <v>Berlin Hyp AGAT MATURITYFIXEDEURSr Preferred</v>
      </c>
    </row>
    <row r="74">
      <c r="A74" s="8">
        <v>73.0</v>
      </c>
      <c r="B74" s="8" t="s">
        <v>477</v>
      </c>
      <c r="C74" s="8" t="s">
        <v>480</v>
      </c>
      <c r="D74" s="8" t="s">
        <v>57</v>
      </c>
      <c r="E74" s="8" t="str">
        <f>VLOOKUP(G74,'CBs RAW'!$E$2:$H$427,4)</f>
        <v>#N/A N/A</v>
      </c>
      <c r="F74" s="8" t="s">
        <v>45</v>
      </c>
      <c r="G74" s="8" t="s">
        <v>2063</v>
      </c>
      <c r="H74" s="8" t="s">
        <v>2064</v>
      </c>
      <c r="I74" s="8" t="s">
        <v>2065</v>
      </c>
      <c r="J74" s="8" t="s">
        <v>55</v>
      </c>
      <c r="K74" s="8" t="s">
        <v>56</v>
      </c>
      <c r="L74" s="7">
        <v>2.30246E7</v>
      </c>
      <c r="M74" s="8" t="s">
        <v>483</v>
      </c>
      <c r="N74" s="8" t="s">
        <v>1840</v>
      </c>
      <c r="O74" s="8" t="s">
        <v>45</v>
      </c>
      <c r="P74" s="32">
        <v>44510.0</v>
      </c>
      <c r="Q74" s="7">
        <f>VLOOKUP(G74,'CBs RAW'!$E$2:$P$427,12)</f>
        <v>0.05</v>
      </c>
      <c r="R74" s="32">
        <v>46336.0</v>
      </c>
      <c r="S74" s="8" t="s">
        <v>226</v>
      </c>
      <c r="T74" s="8" t="s">
        <v>484</v>
      </c>
      <c r="U74" s="8" t="s">
        <v>49</v>
      </c>
      <c r="V74" s="8" t="s">
        <v>53</v>
      </c>
      <c r="W74" s="8" t="s">
        <v>2066</v>
      </c>
      <c r="X74" s="33" t="str">
        <f>VLOOKUP(G74,'CBs RAW'!$E$2:$W$427,19)</f>
        <v>#N/A N/A</v>
      </c>
      <c r="Y74" s="4" t="str">
        <f t="shared" si="1"/>
        <v>#N/A N/A</v>
      </c>
      <c r="Z74" s="4" t="str">
        <f t="shared" si="2"/>
        <v>Berlin Hyp AGAT MATURITYFIXEDEURSr Preferred</v>
      </c>
    </row>
    <row r="75">
      <c r="A75" s="8">
        <v>74.0</v>
      </c>
      <c r="B75" s="8" t="s">
        <v>477</v>
      </c>
      <c r="C75" s="8" t="s">
        <v>480</v>
      </c>
      <c r="D75" s="8" t="s">
        <v>57</v>
      </c>
      <c r="E75" s="8" t="str">
        <f>VLOOKUP(G75,'CBs RAW'!$E$2:$H$427,4)</f>
        <v>#N/A N/A</v>
      </c>
      <c r="F75" s="8" t="s">
        <v>45</v>
      </c>
      <c r="G75" s="8" t="s">
        <v>2067</v>
      </c>
      <c r="H75" s="8" t="s">
        <v>2068</v>
      </c>
      <c r="I75" s="8" t="s">
        <v>2069</v>
      </c>
      <c r="J75" s="8" t="s">
        <v>55</v>
      </c>
      <c r="K75" s="8" t="s">
        <v>56</v>
      </c>
      <c r="L75" s="7">
        <v>1.13698E7</v>
      </c>
      <c r="M75" s="8" t="s">
        <v>483</v>
      </c>
      <c r="N75" s="8" t="s">
        <v>174</v>
      </c>
      <c r="O75" s="8" t="s">
        <v>45</v>
      </c>
      <c r="P75" s="32">
        <v>44518.0</v>
      </c>
      <c r="Q75" s="7">
        <f>VLOOKUP(G75,'CBs RAW'!$E$2:$P$427,12)</f>
        <v>0.015</v>
      </c>
      <c r="R75" s="32">
        <v>45979.0</v>
      </c>
      <c r="S75" s="8" t="s">
        <v>226</v>
      </c>
      <c r="T75" s="8" t="s">
        <v>484</v>
      </c>
      <c r="U75" s="8" t="s">
        <v>49</v>
      </c>
      <c r="V75" s="8" t="s">
        <v>53</v>
      </c>
      <c r="W75" s="8" t="s">
        <v>2070</v>
      </c>
      <c r="X75" s="33" t="str">
        <f>VLOOKUP(G75,'CBs RAW'!$E$2:$W$427,19)</f>
        <v>#N/A N/A</v>
      </c>
      <c r="Y75" s="4" t="str">
        <f t="shared" si="1"/>
        <v>#N/A N/A</v>
      </c>
      <c r="Z75" s="4" t="str">
        <f t="shared" si="2"/>
        <v>Berlin Hyp AGAT MATURITYFIXEDEURSr Preferred</v>
      </c>
    </row>
    <row r="76">
      <c r="A76" s="8">
        <v>75.0</v>
      </c>
      <c r="B76" s="8" t="s">
        <v>477</v>
      </c>
      <c r="C76" s="8" t="s">
        <v>480</v>
      </c>
      <c r="D76" s="8" t="s">
        <v>57</v>
      </c>
      <c r="E76" s="8" t="str">
        <f>VLOOKUP(G76,'CBs RAW'!$E$2:$H$427,4)</f>
        <v>#N/A N/A</v>
      </c>
      <c r="F76" s="8" t="s">
        <v>45</v>
      </c>
      <c r="G76" s="8" t="s">
        <v>2071</v>
      </c>
      <c r="H76" s="8" t="s">
        <v>2072</v>
      </c>
      <c r="I76" s="8" t="s">
        <v>2073</v>
      </c>
      <c r="J76" s="8" t="s">
        <v>55</v>
      </c>
      <c r="K76" s="8" t="s">
        <v>56</v>
      </c>
      <c r="L76" s="7">
        <v>2.0939965E7</v>
      </c>
      <c r="M76" s="8" t="s">
        <v>483</v>
      </c>
      <c r="N76" s="8" t="s">
        <v>1771</v>
      </c>
      <c r="O76" s="8" t="s">
        <v>45</v>
      </c>
      <c r="P76" s="32">
        <v>44540.0</v>
      </c>
      <c r="Q76" s="7">
        <f>VLOOKUP(G76,'CBs RAW'!$E$2:$P$427,12)</f>
        <v>0.349</v>
      </c>
      <c r="R76" s="32">
        <v>48192.0</v>
      </c>
      <c r="S76" s="8" t="s">
        <v>226</v>
      </c>
      <c r="T76" s="8" t="s">
        <v>484</v>
      </c>
      <c r="U76" s="8" t="s">
        <v>49</v>
      </c>
      <c r="V76" s="8" t="s">
        <v>53</v>
      </c>
      <c r="W76" s="8" t="s">
        <v>2074</v>
      </c>
      <c r="X76" s="33" t="str">
        <f>VLOOKUP(G76,'CBs RAW'!$E$2:$W$427,19)</f>
        <v>#N/A N/A</v>
      </c>
      <c r="Y76" s="4" t="str">
        <f t="shared" si="1"/>
        <v>#N/A N/A</v>
      </c>
      <c r="Z76" s="4" t="str">
        <f t="shared" si="2"/>
        <v>Berlin Hyp AGAT MATURITYFIXEDEURSr Preferred</v>
      </c>
    </row>
    <row r="77">
      <c r="A77" s="8">
        <v>76.0</v>
      </c>
      <c r="B77" s="8" t="s">
        <v>477</v>
      </c>
      <c r="C77" s="8" t="s">
        <v>480</v>
      </c>
      <c r="D77" s="8" t="s">
        <v>57</v>
      </c>
      <c r="E77" s="8">
        <f>VLOOKUP(G77,'CBs RAW'!$E$2:$H$427,4)</f>
        <v>0.292</v>
      </c>
      <c r="F77" s="8" t="s">
        <v>45</v>
      </c>
      <c r="G77" s="8" t="s">
        <v>2075</v>
      </c>
      <c r="H77" s="8" t="s">
        <v>2076</v>
      </c>
      <c r="I77" s="8" t="s">
        <v>2077</v>
      </c>
      <c r="J77" s="8" t="s">
        <v>55</v>
      </c>
      <c r="K77" s="8" t="s">
        <v>56</v>
      </c>
      <c r="L77" s="7">
        <v>1.14613E7</v>
      </c>
      <c r="M77" s="8" t="s">
        <v>483</v>
      </c>
      <c r="N77" s="8" t="s">
        <v>1771</v>
      </c>
      <c r="O77" s="8" t="s">
        <v>45</v>
      </c>
      <c r="P77" s="32">
        <v>44574.0</v>
      </c>
      <c r="Q77" s="7">
        <f>VLOOKUP(G77,'CBs RAW'!$E$2:$P$427,12)</f>
        <v>0.292</v>
      </c>
      <c r="R77" s="32">
        <v>46765.0</v>
      </c>
      <c r="S77" s="8" t="s">
        <v>226</v>
      </c>
      <c r="T77" s="8" t="s">
        <v>484</v>
      </c>
      <c r="U77" s="8" t="s">
        <v>49</v>
      </c>
      <c r="V77" s="8" t="s">
        <v>53</v>
      </c>
      <c r="W77" s="8" t="s">
        <v>2078</v>
      </c>
      <c r="X77" s="33" t="str">
        <f>VLOOKUP(G77,'CBs RAW'!$E$2:$W$427,19)</f>
        <v>#N/A N/A</v>
      </c>
      <c r="Y77" s="4">
        <f t="shared" si="1"/>
        <v>0.292</v>
      </c>
      <c r="Z77" s="4" t="str">
        <f t="shared" si="2"/>
        <v>Berlin Hyp AGAT MATURITYFIXEDEURSr Preferred</v>
      </c>
    </row>
    <row r="78">
      <c r="A78" s="8">
        <v>77.0</v>
      </c>
      <c r="B78" s="8" t="s">
        <v>477</v>
      </c>
      <c r="C78" s="8" t="s">
        <v>480</v>
      </c>
      <c r="D78" s="8" t="s">
        <v>57</v>
      </c>
      <c r="E78" s="8" t="str">
        <f>VLOOKUP(G78,'CBs RAW'!$E$2:$H$427,4)</f>
        <v>#N/A N/A</v>
      </c>
      <c r="F78" s="8" t="s">
        <v>45</v>
      </c>
      <c r="G78" s="8" t="s">
        <v>2079</v>
      </c>
      <c r="H78" s="8" t="s">
        <v>2080</v>
      </c>
      <c r="I78" s="8" t="s">
        <v>2081</v>
      </c>
      <c r="J78" s="8" t="s">
        <v>55</v>
      </c>
      <c r="K78" s="8" t="s">
        <v>56</v>
      </c>
      <c r="L78" s="7">
        <v>1.701615E7</v>
      </c>
      <c r="M78" s="8" t="s">
        <v>483</v>
      </c>
      <c r="N78" s="8" t="s">
        <v>174</v>
      </c>
      <c r="O78" s="8" t="s">
        <v>45</v>
      </c>
      <c r="P78" s="32">
        <v>44580.0</v>
      </c>
      <c r="Q78" s="7">
        <f>VLOOKUP(G78,'CBs RAW'!$E$2:$P$427,12)</f>
        <v>0.16</v>
      </c>
      <c r="R78" s="32">
        <v>46041.0</v>
      </c>
      <c r="S78" s="8" t="s">
        <v>226</v>
      </c>
      <c r="T78" s="8" t="s">
        <v>484</v>
      </c>
      <c r="U78" s="8" t="s">
        <v>49</v>
      </c>
      <c r="V78" s="8" t="s">
        <v>53</v>
      </c>
      <c r="W78" s="8" t="s">
        <v>2082</v>
      </c>
      <c r="X78" s="33" t="str">
        <f>VLOOKUP(G78,'CBs RAW'!$E$2:$W$427,19)</f>
        <v>#N/A N/A</v>
      </c>
      <c r="Y78" s="4" t="str">
        <f t="shared" si="1"/>
        <v>#N/A N/A</v>
      </c>
      <c r="Z78" s="4" t="str">
        <f t="shared" si="2"/>
        <v>Berlin Hyp AGAT MATURITYFIXEDEURSr Preferred</v>
      </c>
    </row>
    <row r="79">
      <c r="A79" s="8">
        <v>78.0</v>
      </c>
      <c r="B79" s="8" t="s">
        <v>477</v>
      </c>
      <c r="C79" s="8" t="s">
        <v>480</v>
      </c>
      <c r="D79" s="8" t="s">
        <v>57</v>
      </c>
      <c r="E79" s="8" t="str">
        <f>VLOOKUP(G79,'CBs RAW'!$E$2:$H$427,4)</f>
        <v>#N/A N/A</v>
      </c>
      <c r="F79" s="8" t="s">
        <v>45</v>
      </c>
      <c r="G79" s="8" t="s">
        <v>2083</v>
      </c>
      <c r="H79" s="8" t="s">
        <v>2084</v>
      </c>
      <c r="I79" s="8" t="s">
        <v>2085</v>
      </c>
      <c r="J79" s="8" t="s">
        <v>55</v>
      </c>
      <c r="K79" s="8" t="s">
        <v>56</v>
      </c>
      <c r="L79" s="7">
        <v>2.26454E7</v>
      </c>
      <c r="M79" s="8" t="s">
        <v>483</v>
      </c>
      <c r="N79" s="8" t="s">
        <v>174</v>
      </c>
      <c r="O79" s="8" t="s">
        <v>45</v>
      </c>
      <c r="P79" s="32">
        <v>44579.0</v>
      </c>
      <c r="Q79" s="7">
        <f>VLOOKUP(G79,'CBs RAW'!$E$2:$P$427,12)</f>
        <v>0.448</v>
      </c>
      <c r="R79" s="32">
        <v>47501.0</v>
      </c>
      <c r="S79" s="8" t="s">
        <v>226</v>
      </c>
      <c r="T79" s="8" t="s">
        <v>484</v>
      </c>
      <c r="U79" s="8" t="s">
        <v>49</v>
      </c>
      <c r="V79" s="8" t="s">
        <v>53</v>
      </c>
      <c r="W79" s="8" t="s">
        <v>2086</v>
      </c>
      <c r="X79" s="33" t="str">
        <f>VLOOKUP(G79,'CBs RAW'!$E$2:$W$427,19)</f>
        <v>#N/A N/A</v>
      </c>
      <c r="Y79" s="4" t="str">
        <f t="shared" si="1"/>
        <v>#N/A N/A</v>
      </c>
      <c r="Z79" s="4" t="str">
        <f t="shared" si="2"/>
        <v>Berlin Hyp AGAT MATURITYFIXEDEURSr Preferred</v>
      </c>
    </row>
    <row r="80">
      <c r="A80" s="8">
        <v>79.0</v>
      </c>
      <c r="B80" s="8" t="s">
        <v>477</v>
      </c>
      <c r="C80" s="8" t="s">
        <v>480</v>
      </c>
      <c r="D80" s="8" t="s">
        <v>57</v>
      </c>
      <c r="E80" s="8" t="str">
        <f>VLOOKUP(G80,'CBs RAW'!$E$2:$H$427,4)</f>
        <v>#N/A N/A</v>
      </c>
      <c r="F80" s="8" t="s">
        <v>45</v>
      </c>
      <c r="G80" s="8" t="s">
        <v>2087</v>
      </c>
      <c r="H80" s="8" t="s">
        <v>2088</v>
      </c>
      <c r="I80" s="8" t="s">
        <v>2089</v>
      </c>
      <c r="J80" s="8" t="s">
        <v>55</v>
      </c>
      <c r="K80" s="8" t="s">
        <v>56</v>
      </c>
      <c r="L80" s="7">
        <v>2.26882E7</v>
      </c>
      <c r="M80" s="8" t="s">
        <v>459</v>
      </c>
      <c r="N80" s="8" t="s">
        <v>174</v>
      </c>
      <c r="O80" s="8" t="s">
        <v>45</v>
      </c>
      <c r="P80" s="32">
        <v>44580.0</v>
      </c>
      <c r="Q80" s="7">
        <f>VLOOKUP(G80,'CBs RAW'!$E$2:$P$427,12)</f>
        <v>0.335</v>
      </c>
      <c r="R80" s="32">
        <v>48232.0</v>
      </c>
      <c r="S80" s="8" t="s">
        <v>226</v>
      </c>
      <c r="T80" s="8" t="s">
        <v>190</v>
      </c>
      <c r="U80" s="8" t="s">
        <v>49</v>
      </c>
      <c r="V80" s="8" t="s">
        <v>53</v>
      </c>
      <c r="W80" s="8" t="s">
        <v>2090</v>
      </c>
      <c r="X80" s="33" t="str">
        <f>VLOOKUP(G80,'CBs RAW'!$E$2:$W$427,19)</f>
        <v>#N/A N/A</v>
      </c>
      <c r="Y80" s="4" t="str">
        <f t="shared" si="1"/>
        <v>#N/A N/A</v>
      </c>
      <c r="Z80" s="4" t="str">
        <f t="shared" si="2"/>
        <v>Berlin Hyp AGAT MATURITYFIXEDEURSecured</v>
      </c>
    </row>
    <row r="81">
      <c r="A81" s="8">
        <v>80.0</v>
      </c>
      <c r="B81" s="8" t="s">
        <v>477</v>
      </c>
      <c r="C81" s="8" t="s">
        <v>480</v>
      </c>
      <c r="D81" s="8" t="s">
        <v>57</v>
      </c>
      <c r="E81" s="8" t="str">
        <f>VLOOKUP(G81,'CBs RAW'!$E$2:$H$427,4)</f>
        <v>#N/A N/A</v>
      </c>
      <c r="F81" s="8" t="s">
        <v>45</v>
      </c>
      <c r="G81" s="8" t="s">
        <v>2091</v>
      </c>
      <c r="H81" s="8" t="s">
        <v>2092</v>
      </c>
      <c r="I81" s="8" t="s">
        <v>2093</v>
      </c>
      <c r="J81" s="8" t="s">
        <v>55</v>
      </c>
      <c r="K81" s="8" t="s">
        <v>56</v>
      </c>
      <c r="L81" s="7">
        <v>2.839825E7</v>
      </c>
      <c r="M81" s="8" t="s">
        <v>459</v>
      </c>
      <c r="N81" s="8" t="s">
        <v>174</v>
      </c>
      <c r="O81" s="8" t="s">
        <v>45</v>
      </c>
      <c r="P81" s="32">
        <v>44609.0</v>
      </c>
      <c r="Q81" s="7">
        <f>VLOOKUP(G81,'CBs RAW'!$E$2:$P$427,12)</f>
        <v>0.29</v>
      </c>
      <c r="R81" s="32">
        <v>45705.0</v>
      </c>
      <c r="S81" s="8" t="s">
        <v>226</v>
      </c>
      <c r="T81" s="8" t="s">
        <v>190</v>
      </c>
      <c r="U81" s="8" t="s">
        <v>49</v>
      </c>
      <c r="V81" s="8" t="s">
        <v>53</v>
      </c>
      <c r="W81" s="8" t="s">
        <v>2094</v>
      </c>
      <c r="X81" s="33" t="str">
        <f>VLOOKUP(G81,'CBs RAW'!$E$2:$W$427,19)</f>
        <v>#N/A N/A</v>
      </c>
      <c r="Y81" s="4" t="str">
        <f t="shared" si="1"/>
        <v>#N/A N/A</v>
      </c>
      <c r="Z81" s="4" t="str">
        <f t="shared" si="2"/>
        <v>Berlin Hyp AGAT MATURITYFIXEDEURSecured</v>
      </c>
    </row>
    <row r="82">
      <c r="A82" s="8">
        <v>81.0</v>
      </c>
      <c r="B82" s="8" t="s">
        <v>477</v>
      </c>
      <c r="C82" s="8" t="s">
        <v>480</v>
      </c>
      <c r="D82" s="8" t="s">
        <v>57</v>
      </c>
      <c r="E82" s="8">
        <f>VLOOKUP(G82,'CBs RAW'!$E$2:$H$427,4)</f>
        <v>0.674</v>
      </c>
      <c r="F82" s="8" t="s">
        <v>45</v>
      </c>
      <c r="G82" s="8" t="s">
        <v>2095</v>
      </c>
      <c r="H82" s="8" t="s">
        <v>2096</v>
      </c>
      <c r="I82" s="8" t="s">
        <v>2097</v>
      </c>
      <c r="J82" s="8" t="s">
        <v>55</v>
      </c>
      <c r="K82" s="8" t="s">
        <v>56</v>
      </c>
      <c r="L82" s="7">
        <v>5.5833E8</v>
      </c>
      <c r="M82" s="8" t="s">
        <v>459</v>
      </c>
      <c r="N82" s="8" t="s">
        <v>174</v>
      </c>
      <c r="O82" s="8" t="s">
        <v>45</v>
      </c>
      <c r="P82" s="32">
        <v>44616.0</v>
      </c>
      <c r="Q82" s="7">
        <f>VLOOKUP(G82,'CBs RAW'!$E$2:$P$427,12)</f>
        <v>0.625</v>
      </c>
      <c r="R82" s="32">
        <v>47172.0</v>
      </c>
      <c r="S82" s="8" t="s">
        <v>226</v>
      </c>
      <c r="T82" s="8" t="s">
        <v>190</v>
      </c>
      <c r="U82" s="8" t="s">
        <v>49</v>
      </c>
      <c r="V82" s="8" t="s">
        <v>53</v>
      </c>
      <c r="W82" s="8" t="s">
        <v>2098</v>
      </c>
      <c r="X82" s="33">
        <f>VLOOKUP(G82,'CBs RAW'!$E$2:$W$427,19)</f>
        <v>0.653</v>
      </c>
      <c r="Y82" s="34">
        <f t="shared" si="1"/>
        <v>0.653</v>
      </c>
      <c r="Z82" s="4" t="str">
        <f t="shared" si="2"/>
        <v>Berlin Hyp AGAT MATURITYFIXEDEURSecured</v>
      </c>
    </row>
    <row r="83">
      <c r="A83" s="8">
        <v>82.0</v>
      </c>
      <c r="B83" s="8" t="s">
        <v>477</v>
      </c>
      <c r="C83" s="8" t="s">
        <v>480</v>
      </c>
      <c r="D83" s="8" t="s">
        <v>57</v>
      </c>
      <c r="E83" s="8" t="str">
        <f>VLOOKUP(G83,'CBs RAW'!$E$2:$H$427,4)</f>
        <v>#N/A N/A</v>
      </c>
      <c r="F83" s="8" t="s">
        <v>45</v>
      </c>
      <c r="G83" s="8" t="s">
        <v>2099</v>
      </c>
      <c r="H83" s="8" t="s">
        <v>2100</v>
      </c>
      <c r="I83" s="8" t="s">
        <v>2101</v>
      </c>
      <c r="J83" s="8" t="s">
        <v>55</v>
      </c>
      <c r="K83" s="8" t="s">
        <v>56</v>
      </c>
      <c r="L83" s="7">
        <v>1.10512E7</v>
      </c>
      <c r="M83" s="8" t="s">
        <v>483</v>
      </c>
      <c r="N83" s="8" t="s">
        <v>174</v>
      </c>
      <c r="O83" s="8" t="s">
        <v>45</v>
      </c>
      <c r="P83" s="32">
        <v>44623.0</v>
      </c>
      <c r="Q83" s="7">
        <f>VLOOKUP(G83,'CBs RAW'!$E$2:$P$427,12)</f>
        <v>0.42</v>
      </c>
      <c r="R83" s="32">
        <v>45719.0</v>
      </c>
      <c r="S83" s="8" t="s">
        <v>226</v>
      </c>
      <c r="T83" s="8" t="s">
        <v>484</v>
      </c>
      <c r="U83" s="8" t="s">
        <v>49</v>
      </c>
      <c r="V83" s="8" t="s">
        <v>53</v>
      </c>
      <c r="W83" s="8" t="s">
        <v>2102</v>
      </c>
      <c r="X83" s="33" t="str">
        <f>VLOOKUP(G83,'CBs RAW'!$E$2:$W$427,19)</f>
        <v>#N/A N/A</v>
      </c>
      <c r="Y83" s="4" t="str">
        <f t="shared" si="1"/>
        <v>#N/A N/A</v>
      </c>
      <c r="Z83" s="4" t="str">
        <f t="shared" si="2"/>
        <v>Berlin Hyp AGAT MATURITYFIXEDEURSr Preferred</v>
      </c>
    </row>
    <row r="84">
      <c r="A84" s="8">
        <v>83.0</v>
      </c>
      <c r="B84" s="8" t="s">
        <v>477</v>
      </c>
      <c r="C84" s="8" t="s">
        <v>480</v>
      </c>
      <c r="D84" s="8" t="s">
        <v>57</v>
      </c>
      <c r="E84" s="8" t="str">
        <f>VLOOKUP(G84,'CBs RAW'!$E$2:$H$427,4)</f>
        <v>#N/A N/A</v>
      </c>
      <c r="F84" s="8" t="s">
        <v>45</v>
      </c>
      <c r="G84" s="8" t="s">
        <v>2103</v>
      </c>
      <c r="H84" s="8" t="s">
        <v>2104</v>
      </c>
      <c r="I84" s="8" t="s">
        <v>2105</v>
      </c>
      <c r="J84" s="8" t="s">
        <v>55</v>
      </c>
      <c r="K84" s="8" t="s">
        <v>56</v>
      </c>
      <c r="L84" s="7">
        <v>5.5256E7</v>
      </c>
      <c r="M84" s="8" t="s">
        <v>483</v>
      </c>
      <c r="N84" s="8" t="s">
        <v>1771</v>
      </c>
      <c r="O84" s="8" t="s">
        <v>45</v>
      </c>
      <c r="P84" s="32">
        <v>44623.0</v>
      </c>
      <c r="Q84" s="7">
        <f>VLOOKUP(G84,'CBs RAW'!$E$2:$P$427,12)</f>
        <v>0.45</v>
      </c>
      <c r="R84" s="32">
        <v>45719.0</v>
      </c>
      <c r="S84" s="8" t="s">
        <v>226</v>
      </c>
      <c r="T84" s="8" t="s">
        <v>484</v>
      </c>
      <c r="U84" s="8" t="s">
        <v>49</v>
      </c>
      <c r="V84" s="8" t="s">
        <v>53</v>
      </c>
      <c r="W84" s="8" t="s">
        <v>2106</v>
      </c>
      <c r="X84" s="33" t="str">
        <f>VLOOKUP(G84,'CBs RAW'!$E$2:$W$427,19)</f>
        <v>#N/A N/A</v>
      </c>
      <c r="Y84" s="4" t="str">
        <f t="shared" si="1"/>
        <v>#N/A N/A</v>
      </c>
      <c r="Z84" s="4" t="str">
        <f t="shared" si="2"/>
        <v>Berlin Hyp AGAT MATURITYFIXEDEURSr Preferred</v>
      </c>
    </row>
    <row r="85">
      <c r="A85" s="8">
        <v>84.0</v>
      </c>
      <c r="B85" s="8" t="s">
        <v>477</v>
      </c>
      <c r="C85" s="8" t="s">
        <v>480</v>
      </c>
      <c r="D85" s="8" t="s">
        <v>57</v>
      </c>
      <c r="E85" s="8" t="str">
        <f>VLOOKUP(G85,'CBs RAW'!$E$2:$H$427,4)</f>
        <v>#N/A N/A</v>
      </c>
      <c r="F85" s="8" t="s">
        <v>45</v>
      </c>
      <c r="G85" s="8" t="s">
        <v>2107</v>
      </c>
      <c r="H85" s="8" t="s">
        <v>2108</v>
      </c>
      <c r="I85" s="8" t="s">
        <v>2109</v>
      </c>
      <c r="J85" s="8" t="s">
        <v>55</v>
      </c>
      <c r="K85" s="8" t="s">
        <v>56</v>
      </c>
      <c r="L85" s="7">
        <v>1.09384E7</v>
      </c>
      <c r="M85" s="8" t="s">
        <v>483</v>
      </c>
      <c r="N85" s="8" t="s">
        <v>174</v>
      </c>
      <c r="O85" s="8" t="s">
        <v>45</v>
      </c>
      <c r="P85" s="32">
        <v>44635.0</v>
      </c>
      <c r="Q85" s="7">
        <f>VLOOKUP(G85,'CBs RAW'!$E$2:$P$427,12)</f>
        <v>1.125</v>
      </c>
      <c r="R85" s="32">
        <v>48288.0</v>
      </c>
      <c r="S85" s="8" t="s">
        <v>226</v>
      </c>
      <c r="T85" s="8" t="s">
        <v>484</v>
      </c>
      <c r="U85" s="8" t="s">
        <v>49</v>
      </c>
      <c r="V85" s="8" t="s">
        <v>53</v>
      </c>
      <c r="W85" s="8" t="s">
        <v>2110</v>
      </c>
      <c r="X85" s="33" t="str">
        <f>VLOOKUP(G85,'CBs RAW'!$E$2:$W$427,19)</f>
        <v>#N/A N/A</v>
      </c>
      <c r="Y85" s="4" t="str">
        <f t="shared" si="1"/>
        <v>#N/A N/A</v>
      </c>
      <c r="Z85" s="4" t="str">
        <f t="shared" si="2"/>
        <v>Berlin Hyp AGAT MATURITYFIXEDEURSr Preferred</v>
      </c>
    </row>
    <row r="86">
      <c r="A86" s="8">
        <v>85.0</v>
      </c>
      <c r="B86" s="8" t="s">
        <v>477</v>
      </c>
      <c r="C86" s="8" t="s">
        <v>480</v>
      </c>
      <c r="D86" s="8" t="s">
        <v>57</v>
      </c>
      <c r="E86" s="8" t="str">
        <f>VLOOKUP(G86,'CBs RAW'!$E$2:$H$427,4)</f>
        <v>#N/A N/A</v>
      </c>
      <c r="F86" s="8" t="s">
        <v>45</v>
      </c>
      <c r="G86" s="8" t="s">
        <v>2111</v>
      </c>
      <c r="H86" s="8" t="s">
        <v>2112</v>
      </c>
      <c r="I86" s="8" t="s">
        <v>2113</v>
      </c>
      <c r="J86" s="8" t="s">
        <v>55</v>
      </c>
      <c r="K86" s="8" t="s">
        <v>56</v>
      </c>
      <c r="L86" s="7">
        <v>2.764675E7</v>
      </c>
      <c r="M86" s="8" t="s">
        <v>483</v>
      </c>
      <c r="N86" s="8" t="s">
        <v>1771</v>
      </c>
      <c r="O86" s="8" t="s">
        <v>45</v>
      </c>
      <c r="P86" s="32">
        <v>44638.0</v>
      </c>
      <c r="Q86" s="7">
        <f>VLOOKUP(G86,'CBs RAW'!$E$2:$P$427,12)</f>
        <v>0.55</v>
      </c>
      <c r="R86" s="32">
        <v>45734.0</v>
      </c>
      <c r="S86" s="8" t="s">
        <v>226</v>
      </c>
      <c r="T86" s="8" t="s">
        <v>484</v>
      </c>
      <c r="U86" s="8" t="s">
        <v>49</v>
      </c>
      <c r="V86" s="8" t="s">
        <v>53</v>
      </c>
      <c r="W86" s="8" t="s">
        <v>2114</v>
      </c>
      <c r="X86" s="33" t="str">
        <f>VLOOKUP(G86,'CBs RAW'!$E$2:$W$427,19)</f>
        <v>#N/A N/A</v>
      </c>
      <c r="Y86" s="4" t="str">
        <f t="shared" si="1"/>
        <v>#N/A N/A</v>
      </c>
      <c r="Z86" s="4" t="str">
        <f t="shared" si="2"/>
        <v>Berlin Hyp AGAT MATURITYFIXEDEURSr Preferred</v>
      </c>
    </row>
    <row r="87">
      <c r="A87" s="8">
        <v>86.0</v>
      </c>
      <c r="B87" s="8" t="s">
        <v>477</v>
      </c>
      <c r="C87" s="8" t="s">
        <v>480</v>
      </c>
      <c r="D87" s="8" t="s">
        <v>57</v>
      </c>
      <c r="E87" s="8" t="str">
        <f>VLOOKUP(G87,'CBs RAW'!$E$2:$H$427,4)</f>
        <v>#N/A N/A</v>
      </c>
      <c r="F87" s="8" t="s">
        <v>45</v>
      </c>
      <c r="G87" s="8" t="s">
        <v>2115</v>
      </c>
      <c r="H87" s="8" t="s">
        <v>2116</v>
      </c>
      <c r="I87" s="8" t="s">
        <v>2117</v>
      </c>
      <c r="J87" s="8" t="s">
        <v>55</v>
      </c>
      <c r="K87" s="8" t="s">
        <v>56</v>
      </c>
      <c r="L87" s="7">
        <v>2.19496E7</v>
      </c>
      <c r="M87" s="8" t="s">
        <v>459</v>
      </c>
      <c r="N87" s="8" t="s">
        <v>174</v>
      </c>
      <c r="O87" s="8" t="s">
        <v>45</v>
      </c>
      <c r="P87" s="32">
        <v>44655.0</v>
      </c>
      <c r="Q87" s="7">
        <f>VLOOKUP(G87,'CBs RAW'!$E$2:$P$427,12)</f>
        <v>0.75</v>
      </c>
      <c r="R87" s="32">
        <v>45751.0</v>
      </c>
      <c r="S87" s="8" t="s">
        <v>226</v>
      </c>
      <c r="T87" s="8" t="s">
        <v>190</v>
      </c>
      <c r="U87" s="8" t="s">
        <v>49</v>
      </c>
      <c r="V87" s="8" t="s">
        <v>53</v>
      </c>
      <c r="W87" s="8" t="s">
        <v>2118</v>
      </c>
      <c r="X87" s="33" t="str">
        <f>VLOOKUP(G87,'CBs RAW'!$E$2:$W$427,19)</f>
        <v>#N/A N/A</v>
      </c>
      <c r="Y87" s="4" t="str">
        <f t="shared" si="1"/>
        <v>#N/A N/A</v>
      </c>
      <c r="Z87" s="4" t="str">
        <f t="shared" si="2"/>
        <v>Berlin Hyp AGAT MATURITYFIXEDEURSecured</v>
      </c>
    </row>
    <row r="88">
      <c r="A88" s="8">
        <v>87.0</v>
      </c>
      <c r="B88" s="8" t="s">
        <v>477</v>
      </c>
      <c r="C88" s="8" t="s">
        <v>480</v>
      </c>
      <c r="D88" s="8" t="s">
        <v>57</v>
      </c>
      <c r="E88" s="8" t="str">
        <f>VLOOKUP(G88,'CBs RAW'!$E$2:$H$427,4)</f>
        <v>#N/A N/A</v>
      </c>
      <c r="F88" s="8" t="s">
        <v>45</v>
      </c>
      <c r="G88" s="8" t="s">
        <v>2119</v>
      </c>
      <c r="H88" s="8" t="s">
        <v>2120</v>
      </c>
      <c r="I88" s="8" t="s">
        <v>2121</v>
      </c>
      <c r="J88" s="8" t="s">
        <v>55</v>
      </c>
      <c r="K88" s="8" t="s">
        <v>56</v>
      </c>
      <c r="L88" s="7">
        <v>8653040.0</v>
      </c>
      <c r="M88" s="8" t="s">
        <v>483</v>
      </c>
      <c r="N88" s="8" t="s">
        <v>174</v>
      </c>
      <c r="O88" s="8" t="s">
        <v>45</v>
      </c>
      <c r="P88" s="32">
        <v>44665.0</v>
      </c>
      <c r="Q88" s="7">
        <f>VLOOKUP(G88,'CBs RAW'!$E$2:$P$427,12)</f>
        <v>1</v>
      </c>
      <c r="R88" s="32">
        <v>45761.0</v>
      </c>
      <c r="S88" s="8" t="s">
        <v>226</v>
      </c>
      <c r="T88" s="8" t="s">
        <v>484</v>
      </c>
      <c r="U88" s="8" t="s">
        <v>49</v>
      </c>
      <c r="V88" s="8" t="s">
        <v>53</v>
      </c>
      <c r="W88" s="8" t="s">
        <v>2122</v>
      </c>
      <c r="X88" s="33" t="str">
        <f>VLOOKUP(G88,'CBs RAW'!$E$2:$W$427,19)</f>
        <v>#N/A N/A</v>
      </c>
      <c r="Y88" s="4" t="str">
        <f t="shared" si="1"/>
        <v>#N/A N/A</v>
      </c>
      <c r="Z88" s="4" t="str">
        <f t="shared" si="2"/>
        <v>Berlin Hyp AGAT MATURITYFIXEDEURSr Preferred</v>
      </c>
    </row>
    <row r="89">
      <c r="A89" s="8">
        <v>88.0</v>
      </c>
      <c r="B89" s="8" t="s">
        <v>477</v>
      </c>
      <c r="C89" s="8" t="s">
        <v>480</v>
      </c>
      <c r="D89" s="8" t="s">
        <v>57</v>
      </c>
      <c r="E89" s="8" t="str">
        <f>VLOOKUP(G89,'CBs RAW'!$E$2:$H$427,4)</f>
        <v>#N/A N/A</v>
      </c>
      <c r="F89" s="8" t="s">
        <v>45</v>
      </c>
      <c r="G89" s="8" t="s">
        <v>2123</v>
      </c>
      <c r="H89" s="8" t="s">
        <v>2124</v>
      </c>
      <c r="I89" s="8" t="s">
        <v>2125</v>
      </c>
      <c r="J89" s="8" t="s">
        <v>55</v>
      </c>
      <c r="K89" s="8" t="s">
        <v>56</v>
      </c>
      <c r="L89" s="7">
        <v>2.15588E7</v>
      </c>
      <c r="M89" s="8" t="s">
        <v>483</v>
      </c>
      <c r="N89" s="8" t="s">
        <v>174</v>
      </c>
      <c r="O89" s="8" t="s">
        <v>45</v>
      </c>
      <c r="P89" s="32">
        <v>44673.0</v>
      </c>
      <c r="Q89" s="7">
        <f>VLOOKUP(G89,'CBs RAW'!$E$2:$P$427,12)</f>
        <v>1.1</v>
      </c>
      <c r="R89" s="32">
        <v>45769.0</v>
      </c>
      <c r="S89" s="8" t="s">
        <v>226</v>
      </c>
      <c r="T89" s="8" t="s">
        <v>484</v>
      </c>
      <c r="U89" s="8" t="s">
        <v>49</v>
      </c>
      <c r="V89" s="8" t="s">
        <v>53</v>
      </c>
      <c r="W89" s="8" t="s">
        <v>2126</v>
      </c>
      <c r="X89" s="33" t="str">
        <f>VLOOKUP(G89,'CBs RAW'!$E$2:$W$427,19)</f>
        <v>#N/A N/A</v>
      </c>
      <c r="Y89" s="4" t="str">
        <f t="shared" si="1"/>
        <v>#N/A N/A</v>
      </c>
      <c r="Z89" s="4" t="str">
        <f t="shared" si="2"/>
        <v>Berlin Hyp AGAT MATURITYFIXEDEURSr Preferred</v>
      </c>
    </row>
    <row r="90">
      <c r="A90" s="8">
        <v>89.0</v>
      </c>
      <c r="B90" s="8" t="s">
        <v>477</v>
      </c>
      <c r="C90" s="8" t="s">
        <v>480</v>
      </c>
      <c r="D90" s="8" t="s">
        <v>57</v>
      </c>
      <c r="E90" s="8" t="str">
        <f>VLOOKUP(G90,'CBs RAW'!$E$2:$H$427,4)</f>
        <v>#N/A N/A</v>
      </c>
      <c r="F90" s="8" t="s">
        <v>45</v>
      </c>
      <c r="G90" s="8" t="s">
        <v>2127</v>
      </c>
      <c r="H90" s="8" t="s">
        <v>2128</v>
      </c>
      <c r="I90" s="8" t="s">
        <v>2129</v>
      </c>
      <c r="J90" s="8" t="s">
        <v>55</v>
      </c>
      <c r="K90" s="8" t="s">
        <v>56</v>
      </c>
      <c r="L90" s="7">
        <v>2.66212E7</v>
      </c>
      <c r="M90" s="8" t="s">
        <v>2012</v>
      </c>
      <c r="N90" s="8" t="s">
        <v>2130</v>
      </c>
      <c r="O90" s="8" t="s">
        <v>45</v>
      </c>
      <c r="P90" s="32">
        <v>41529.0</v>
      </c>
      <c r="Q90" s="7">
        <f>VLOOKUP(G90,'CBs RAW'!$E$2:$P$427,12)</f>
        <v>2.45</v>
      </c>
      <c r="R90" s="32">
        <v>44816.0</v>
      </c>
      <c r="S90" s="8">
        <v>78.0</v>
      </c>
      <c r="T90" s="8" t="s">
        <v>190</v>
      </c>
      <c r="U90" s="8" t="s">
        <v>49</v>
      </c>
      <c r="V90" s="8" t="s">
        <v>53</v>
      </c>
      <c r="W90" s="8" t="s">
        <v>2131</v>
      </c>
      <c r="X90" s="33" t="str">
        <f>VLOOKUP(G90,'CBs RAW'!$E$2:$W$427,19)</f>
        <v>#N/A N/A</v>
      </c>
      <c r="Y90" s="4" t="str">
        <f t="shared" si="1"/>
        <v>#N/A N/A</v>
      </c>
      <c r="Z90" s="4" t="str">
        <f t="shared" si="2"/>
        <v>Berlin Hyp AGAT MATURITYFIXEDEURSr Non Preferred</v>
      </c>
    </row>
    <row r="91">
      <c r="A91" s="8">
        <v>90.0</v>
      </c>
      <c r="B91" s="8" t="s">
        <v>477</v>
      </c>
      <c r="C91" s="8" t="s">
        <v>480</v>
      </c>
      <c r="D91" s="8" t="s">
        <v>57</v>
      </c>
      <c r="E91" s="8" t="str">
        <f>VLOOKUP(G91,'CBs RAW'!$E$2:$H$427,4)</f>
        <v>#N/A N/A</v>
      </c>
      <c r="F91" s="8" t="s">
        <v>45</v>
      </c>
      <c r="G91" s="8" t="s">
        <v>2132</v>
      </c>
      <c r="H91" s="8" t="s">
        <v>2133</v>
      </c>
      <c r="I91" s="8" t="s">
        <v>2134</v>
      </c>
      <c r="J91" s="8" t="s">
        <v>55</v>
      </c>
      <c r="K91" s="8" t="s">
        <v>56</v>
      </c>
      <c r="L91" s="7">
        <v>3.417425E7</v>
      </c>
      <c r="M91" s="8" t="s">
        <v>2012</v>
      </c>
      <c r="N91" s="8" t="s">
        <v>2130</v>
      </c>
      <c r="O91" s="8" t="s">
        <v>45</v>
      </c>
      <c r="P91" s="32">
        <v>41683.0</v>
      </c>
      <c r="Q91" s="7">
        <f>VLOOKUP(G91,'CBs RAW'!$E$2:$P$427,12)</f>
        <v>2.5</v>
      </c>
      <c r="R91" s="32">
        <v>46066.0</v>
      </c>
      <c r="S91" s="8" t="s">
        <v>2135</v>
      </c>
      <c r="T91" s="8" t="s">
        <v>190</v>
      </c>
      <c r="U91" s="8" t="s">
        <v>49</v>
      </c>
      <c r="V91" s="8" t="s">
        <v>53</v>
      </c>
      <c r="W91" s="8" t="s">
        <v>2136</v>
      </c>
      <c r="X91" s="33" t="str">
        <f>VLOOKUP(G91,'CBs RAW'!$E$2:$W$427,19)</f>
        <v>#N/A N/A</v>
      </c>
      <c r="Y91" s="4" t="str">
        <f t="shared" si="1"/>
        <v>#N/A N/A</v>
      </c>
      <c r="Z91" s="4" t="str">
        <f t="shared" si="2"/>
        <v>Berlin Hyp AGAT MATURITYFIXEDEURSr Non Preferred</v>
      </c>
    </row>
    <row r="92">
      <c r="A92" s="8">
        <v>91.0</v>
      </c>
      <c r="B92" s="8" t="s">
        <v>477</v>
      </c>
      <c r="C92" s="8" t="s">
        <v>480</v>
      </c>
      <c r="D92" s="8" t="s">
        <v>57</v>
      </c>
      <c r="E92" s="8" t="str">
        <f>VLOOKUP(G92,'CBs RAW'!$E$2:$H$427,4)</f>
        <v>#N/A N/A</v>
      </c>
      <c r="F92" s="8" t="s">
        <v>45</v>
      </c>
      <c r="G92" s="8" t="s">
        <v>2137</v>
      </c>
      <c r="H92" s="8" t="s">
        <v>2138</v>
      </c>
      <c r="I92" s="8" t="s">
        <v>2139</v>
      </c>
      <c r="J92" s="8" t="s">
        <v>55</v>
      </c>
      <c r="K92" s="8" t="s">
        <v>56</v>
      </c>
      <c r="L92" s="7">
        <v>6876950.0</v>
      </c>
      <c r="M92" s="8" t="s">
        <v>2012</v>
      </c>
      <c r="N92" s="8" t="s">
        <v>2130</v>
      </c>
      <c r="O92" s="8" t="s">
        <v>45</v>
      </c>
      <c r="P92" s="32">
        <v>41688.0</v>
      </c>
      <c r="Q92" s="7">
        <f>VLOOKUP(G92,'CBs RAW'!$E$2:$P$427,12)</f>
        <v>2.125</v>
      </c>
      <c r="R92" s="32">
        <v>44974.0</v>
      </c>
      <c r="S92" s="8" t="s">
        <v>226</v>
      </c>
      <c r="T92" s="8" t="s">
        <v>190</v>
      </c>
      <c r="U92" s="8" t="s">
        <v>49</v>
      </c>
      <c r="V92" s="8" t="s">
        <v>53</v>
      </c>
      <c r="W92" s="8" t="s">
        <v>2140</v>
      </c>
      <c r="X92" s="33" t="str">
        <f>VLOOKUP(G92,'CBs RAW'!$E$2:$W$427,19)</f>
        <v>#N/A N/A</v>
      </c>
      <c r="Y92" s="4" t="str">
        <f t="shared" si="1"/>
        <v>#N/A N/A</v>
      </c>
      <c r="Z92" s="4" t="str">
        <f t="shared" si="2"/>
        <v>Berlin Hyp AGAT MATURITYFIXEDEURSr Non Preferred</v>
      </c>
    </row>
    <row r="93">
      <c r="A93" s="8">
        <v>92.0</v>
      </c>
      <c r="B93" s="8" t="s">
        <v>477</v>
      </c>
      <c r="C93" s="8" t="s">
        <v>480</v>
      </c>
      <c r="D93" s="8" t="s">
        <v>57</v>
      </c>
      <c r="E93" s="8" t="str">
        <f>VLOOKUP(G93,'CBs RAW'!$E$2:$H$427,4)</f>
        <v>#N/A N/A</v>
      </c>
      <c r="F93" s="8" t="s">
        <v>45</v>
      </c>
      <c r="G93" s="8" t="s">
        <v>2141</v>
      </c>
      <c r="H93" s="8" t="s">
        <v>2142</v>
      </c>
      <c r="I93" s="8" t="s">
        <v>2143</v>
      </c>
      <c r="J93" s="8" t="s">
        <v>55</v>
      </c>
      <c r="K93" s="8" t="s">
        <v>56</v>
      </c>
      <c r="L93" s="7">
        <v>6.8058E7</v>
      </c>
      <c r="M93" s="8" t="s">
        <v>459</v>
      </c>
      <c r="N93" s="8" t="s">
        <v>1771</v>
      </c>
      <c r="O93" s="8" t="s">
        <v>45</v>
      </c>
      <c r="P93" s="32">
        <v>41834.0</v>
      </c>
      <c r="Q93" s="7">
        <f>VLOOKUP(G93,'CBs RAW'!$E$2:$P$427,12)</f>
        <v>1.2</v>
      </c>
      <c r="R93" s="32">
        <v>44756.0</v>
      </c>
      <c r="S93" s="8" t="s">
        <v>2135</v>
      </c>
      <c r="T93" s="8" t="s">
        <v>190</v>
      </c>
      <c r="U93" s="8" t="s">
        <v>49</v>
      </c>
      <c r="V93" s="8" t="s">
        <v>53</v>
      </c>
      <c r="W93" s="8" t="s">
        <v>2144</v>
      </c>
      <c r="X93" s="33" t="str">
        <f>VLOOKUP(G93,'CBs RAW'!$E$2:$W$427,19)</f>
        <v>#N/A N/A</v>
      </c>
      <c r="Y93" s="4" t="str">
        <f t="shared" si="1"/>
        <v>#N/A N/A</v>
      </c>
      <c r="Z93" s="4" t="str">
        <f t="shared" si="2"/>
        <v>Berlin Hyp AGAT MATURITYFIXEDEURSecured</v>
      </c>
    </row>
    <row r="94">
      <c r="A94" s="8">
        <v>93.0</v>
      </c>
      <c r="B94" s="8" t="s">
        <v>477</v>
      </c>
      <c r="C94" s="8" t="s">
        <v>480</v>
      </c>
      <c r="D94" s="8" t="s">
        <v>57</v>
      </c>
      <c r="E94" s="8">
        <f>VLOOKUP(G94,'CBs RAW'!$E$2:$H$427,4)</f>
        <v>1.526</v>
      </c>
      <c r="F94" s="8" t="s">
        <v>45</v>
      </c>
      <c r="G94" s="8" t="s">
        <v>2145</v>
      </c>
      <c r="H94" s="8" t="s">
        <v>2146</v>
      </c>
      <c r="I94" s="8" t="s">
        <v>2147</v>
      </c>
      <c r="J94" s="8" t="s">
        <v>55</v>
      </c>
      <c r="K94" s="8" t="s">
        <v>56</v>
      </c>
      <c r="L94" s="7">
        <v>1.837566E8</v>
      </c>
      <c r="M94" s="8" t="s">
        <v>459</v>
      </c>
      <c r="N94" s="8" t="s">
        <v>1771</v>
      </c>
      <c r="O94" s="8" t="s">
        <v>45</v>
      </c>
      <c r="P94" s="32">
        <v>41834.0</v>
      </c>
      <c r="Q94" s="7">
        <f>VLOOKUP(G94,'CBs RAW'!$E$2:$P$427,12)</f>
        <v>1.52</v>
      </c>
      <c r="R94" s="32">
        <v>45488.0</v>
      </c>
      <c r="S94" s="8" t="s">
        <v>2135</v>
      </c>
      <c r="T94" s="8" t="s">
        <v>190</v>
      </c>
      <c r="U94" s="8" t="s">
        <v>49</v>
      </c>
      <c r="V94" s="8" t="s">
        <v>53</v>
      </c>
      <c r="W94" s="8" t="s">
        <v>2148</v>
      </c>
      <c r="X94" s="33">
        <f>VLOOKUP(G94,'CBs RAW'!$E$2:$W$427,19)</f>
        <v>1.532</v>
      </c>
      <c r="Y94" s="34">
        <f t="shared" si="1"/>
        <v>1.532</v>
      </c>
      <c r="Z94" s="4" t="str">
        <f t="shared" si="2"/>
        <v>Berlin Hyp AGAT MATURITYFIXEDEURSecured</v>
      </c>
    </row>
    <row r="95">
      <c r="A95" s="8">
        <v>94.0</v>
      </c>
      <c r="B95" s="8" t="s">
        <v>477</v>
      </c>
      <c r="C95" s="8" t="s">
        <v>480</v>
      </c>
      <c r="D95" s="8" t="s">
        <v>57</v>
      </c>
      <c r="E95" s="8" t="str">
        <f>VLOOKUP(G95,'CBs RAW'!$E$2:$H$427,4)</f>
        <v>#N/A N/A</v>
      </c>
      <c r="F95" s="8" t="s">
        <v>45</v>
      </c>
      <c r="G95" s="8" t="s">
        <v>2149</v>
      </c>
      <c r="H95" s="8" t="s">
        <v>2150</v>
      </c>
      <c r="I95" s="8" t="s">
        <v>2151</v>
      </c>
      <c r="J95" s="8" t="s">
        <v>55</v>
      </c>
      <c r="K95" s="8" t="s">
        <v>56</v>
      </c>
      <c r="L95" s="7">
        <v>1.33689E7</v>
      </c>
      <c r="M95" s="8" t="s">
        <v>2012</v>
      </c>
      <c r="N95" s="8" t="s">
        <v>2130</v>
      </c>
      <c r="O95" s="8" t="s">
        <v>45</v>
      </c>
      <c r="P95" s="32">
        <v>41857.0</v>
      </c>
      <c r="Q95" s="7">
        <f>VLOOKUP(G95,'CBs RAW'!$E$2:$P$427,12)</f>
        <v>1.625</v>
      </c>
      <c r="R95" s="32">
        <v>45510.0</v>
      </c>
      <c r="S95" s="8" t="s">
        <v>2135</v>
      </c>
      <c r="T95" s="8" t="s">
        <v>190</v>
      </c>
      <c r="U95" s="8" t="s">
        <v>49</v>
      </c>
      <c r="V95" s="8" t="s">
        <v>53</v>
      </c>
      <c r="W95" s="8" t="s">
        <v>2152</v>
      </c>
      <c r="X95" s="33" t="str">
        <f>VLOOKUP(G95,'CBs RAW'!$E$2:$W$427,19)</f>
        <v>#N/A N/A</v>
      </c>
      <c r="Y95" s="4" t="str">
        <f t="shared" si="1"/>
        <v>#N/A N/A</v>
      </c>
      <c r="Z95" s="4" t="str">
        <f t="shared" si="2"/>
        <v>Berlin Hyp AGAT MATURITYFIXEDEURSr Non Preferred</v>
      </c>
    </row>
    <row r="96">
      <c r="A96" s="8">
        <v>95.0</v>
      </c>
      <c r="B96" s="8" t="s">
        <v>477</v>
      </c>
      <c r="C96" s="8" t="s">
        <v>480</v>
      </c>
      <c r="D96" s="8" t="s">
        <v>392</v>
      </c>
      <c r="E96" s="8" t="str">
        <f>VLOOKUP(G96,'CBs RAW'!$E$2:$H$427,4)</f>
        <v>#N/A N/A</v>
      </c>
      <c r="F96" s="8" t="s">
        <v>45</v>
      </c>
      <c r="G96" s="8" t="s">
        <v>2153</v>
      </c>
      <c r="H96" s="8" t="s">
        <v>2154</v>
      </c>
      <c r="I96" s="8" t="s">
        <v>2155</v>
      </c>
      <c r="J96" s="8" t="s">
        <v>55</v>
      </c>
      <c r="K96" s="8" t="s">
        <v>70</v>
      </c>
      <c r="L96" s="7">
        <v>6344650.0</v>
      </c>
      <c r="M96" s="8" t="s">
        <v>2012</v>
      </c>
      <c r="N96" s="8" t="s">
        <v>2130</v>
      </c>
      <c r="O96" s="8" t="s">
        <v>45</v>
      </c>
      <c r="P96" s="32">
        <v>41908.0</v>
      </c>
      <c r="Q96" s="7">
        <f>VLOOKUP(G96,'CBs RAW'!$E$2:$P$427,12)</f>
        <v>0.78</v>
      </c>
      <c r="R96" s="32">
        <v>44830.0</v>
      </c>
      <c r="S96" s="8" t="s">
        <v>226</v>
      </c>
      <c r="T96" s="8" t="s">
        <v>190</v>
      </c>
      <c r="U96" s="8" t="s">
        <v>49</v>
      </c>
      <c r="V96" s="8" t="s">
        <v>53</v>
      </c>
      <c r="W96" s="8" t="s">
        <v>2156</v>
      </c>
      <c r="X96" s="33" t="str">
        <f>VLOOKUP(G96,'CBs RAW'!$E$2:$W$427,19)</f>
        <v>#N/A N/A</v>
      </c>
      <c r="Y96" s="4" t="str">
        <f t="shared" si="1"/>
        <v>#N/A N/A</v>
      </c>
      <c r="Z96" s="4" t="str">
        <f t="shared" si="2"/>
        <v>Berlin Hyp AGAT MATURITYFLOATINGEURSr Non Preferred</v>
      </c>
    </row>
    <row r="97">
      <c r="A97" s="8">
        <v>96.0</v>
      </c>
      <c r="B97" s="8" t="s">
        <v>477</v>
      </c>
      <c r="C97" s="8" t="s">
        <v>480</v>
      </c>
      <c r="D97" s="8" t="s">
        <v>57</v>
      </c>
      <c r="E97" s="8" t="str">
        <f>VLOOKUP(G97,'CBs RAW'!$E$2:$H$427,4)</f>
        <v>#N/A N/A</v>
      </c>
      <c r="F97" s="8" t="s">
        <v>45</v>
      </c>
      <c r="G97" s="8" t="s">
        <v>2157</v>
      </c>
      <c r="H97" s="8" t="s">
        <v>2158</v>
      </c>
      <c r="I97" s="8" t="s">
        <v>2159</v>
      </c>
      <c r="J97" s="8" t="s">
        <v>55</v>
      </c>
      <c r="K97" s="8" t="s">
        <v>56</v>
      </c>
      <c r="L97" s="7">
        <v>1.25316E7</v>
      </c>
      <c r="M97" s="8" t="s">
        <v>2012</v>
      </c>
      <c r="N97" s="8" t="s">
        <v>2130</v>
      </c>
      <c r="O97" s="8" t="s">
        <v>45</v>
      </c>
      <c r="P97" s="32">
        <v>41961.0</v>
      </c>
      <c r="Q97" s="7">
        <f>VLOOKUP(G97,'CBs RAW'!$E$2:$P$427,12)</f>
        <v>1.3</v>
      </c>
      <c r="R97" s="32">
        <v>45614.0</v>
      </c>
      <c r="S97" s="8" t="s">
        <v>226</v>
      </c>
      <c r="T97" s="8" t="s">
        <v>190</v>
      </c>
      <c r="U97" s="8" t="s">
        <v>49</v>
      </c>
      <c r="V97" s="8" t="s">
        <v>53</v>
      </c>
      <c r="W97" s="8" t="s">
        <v>2160</v>
      </c>
      <c r="X97" s="33" t="str">
        <f>VLOOKUP(G97,'CBs RAW'!$E$2:$W$427,19)</f>
        <v>#N/A N/A</v>
      </c>
      <c r="Y97" s="4" t="str">
        <f t="shared" si="1"/>
        <v>#N/A N/A</v>
      </c>
      <c r="Z97" s="4" t="str">
        <f t="shared" si="2"/>
        <v>Berlin Hyp AGAT MATURITYFIXEDEURSr Non Preferred</v>
      </c>
    </row>
    <row r="98">
      <c r="A98" s="8">
        <v>97.0</v>
      </c>
      <c r="B98" s="8" t="s">
        <v>477</v>
      </c>
      <c r="C98" s="8" t="s">
        <v>480</v>
      </c>
      <c r="D98" s="8" t="s">
        <v>57</v>
      </c>
      <c r="E98" s="8" t="str">
        <f>VLOOKUP(G98,'CBs RAW'!$E$2:$H$427,4)</f>
        <v>#N/A N/A</v>
      </c>
      <c r="F98" s="8" t="s">
        <v>45</v>
      </c>
      <c r="G98" s="8" t="s">
        <v>2161</v>
      </c>
      <c r="H98" s="8" t="s">
        <v>2162</v>
      </c>
      <c r="I98" s="8" t="s">
        <v>2163</v>
      </c>
      <c r="J98" s="8" t="s">
        <v>55</v>
      </c>
      <c r="K98" s="8" t="s">
        <v>56</v>
      </c>
      <c r="L98" s="7">
        <v>1.21757E7</v>
      </c>
      <c r="M98" s="8" t="s">
        <v>2012</v>
      </c>
      <c r="N98" s="8" t="s">
        <v>2130</v>
      </c>
      <c r="O98" s="8" t="s">
        <v>45</v>
      </c>
      <c r="P98" s="32">
        <v>41996.0</v>
      </c>
      <c r="Q98" s="7">
        <f>VLOOKUP(G98,'CBs RAW'!$E$2:$P$427,12)</f>
        <v>1</v>
      </c>
      <c r="R98" s="32">
        <v>45287.0</v>
      </c>
      <c r="S98" s="8" t="s">
        <v>226</v>
      </c>
      <c r="T98" s="8" t="s">
        <v>190</v>
      </c>
      <c r="U98" s="8" t="s">
        <v>49</v>
      </c>
      <c r="V98" s="8" t="s">
        <v>53</v>
      </c>
      <c r="W98" s="8" t="s">
        <v>2164</v>
      </c>
      <c r="X98" s="33" t="str">
        <f>VLOOKUP(G98,'CBs RAW'!$E$2:$W$427,19)</f>
        <v>#N/A N/A</v>
      </c>
      <c r="Y98" s="4" t="str">
        <f t="shared" si="1"/>
        <v>#N/A N/A</v>
      </c>
      <c r="Z98" s="4" t="str">
        <f t="shared" si="2"/>
        <v>Berlin Hyp AGAT MATURITYFIXEDEURSr Non Preferred</v>
      </c>
    </row>
    <row r="99">
      <c r="A99" s="8">
        <v>98.0</v>
      </c>
      <c r="B99" s="8" t="s">
        <v>477</v>
      </c>
      <c r="C99" s="8" t="s">
        <v>480</v>
      </c>
      <c r="D99" s="8" t="s">
        <v>392</v>
      </c>
      <c r="E99" s="8" t="str">
        <f>VLOOKUP(G99,'CBs RAW'!$E$2:$H$427,4)</f>
        <v>#N/A N/A</v>
      </c>
      <c r="F99" s="8" t="s">
        <v>45</v>
      </c>
      <c r="G99" s="8" t="s">
        <v>2165</v>
      </c>
      <c r="H99" s="8" t="s">
        <v>2166</v>
      </c>
      <c r="I99" s="8" t="s">
        <v>2167</v>
      </c>
      <c r="J99" s="8" t="s">
        <v>55</v>
      </c>
      <c r="K99" s="8" t="s">
        <v>70</v>
      </c>
      <c r="L99" s="7">
        <v>2.4315E7</v>
      </c>
      <c r="M99" s="8" t="s">
        <v>2012</v>
      </c>
      <c r="N99" s="8" t="s">
        <v>2130</v>
      </c>
      <c r="O99" s="8" t="s">
        <v>45</v>
      </c>
      <c r="P99" s="32">
        <v>42003.0</v>
      </c>
      <c r="Q99" s="7">
        <f>VLOOKUP(G99,'CBs RAW'!$E$2:$P$427,12)</f>
        <v>0.4</v>
      </c>
      <c r="R99" s="32">
        <v>45656.0</v>
      </c>
      <c r="S99" s="8" t="s">
        <v>2135</v>
      </c>
      <c r="T99" s="8" t="s">
        <v>190</v>
      </c>
      <c r="U99" s="8" t="s">
        <v>49</v>
      </c>
      <c r="V99" s="8" t="s">
        <v>53</v>
      </c>
      <c r="W99" s="8" t="s">
        <v>2168</v>
      </c>
      <c r="X99" s="33" t="str">
        <f>VLOOKUP(G99,'CBs RAW'!$E$2:$W$427,19)</f>
        <v>#N/A N/A</v>
      </c>
      <c r="Y99" s="4" t="str">
        <f t="shared" si="1"/>
        <v>#N/A N/A</v>
      </c>
      <c r="Z99" s="4" t="str">
        <f t="shared" si="2"/>
        <v>Berlin Hyp AGAT MATURITYFLOATINGEURSr Non Preferred</v>
      </c>
    </row>
    <row r="100">
      <c r="A100" s="8">
        <v>99.0</v>
      </c>
      <c r="B100" s="8" t="s">
        <v>477</v>
      </c>
      <c r="C100" s="8" t="s">
        <v>480</v>
      </c>
      <c r="D100" s="8" t="s">
        <v>392</v>
      </c>
      <c r="E100" s="8" t="str">
        <f>VLOOKUP(G100,'CBs RAW'!$E$2:$H$427,4)</f>
        <v>#N/A N/A</v>
      </c>
      <c r="F100" s="8" t="s">
        <v>45</v>
      </c>
      <c r="G100" s="8" t="s">
        <v>2169</v>
      </c>
      <c r="H100" s="8" t="s">
        <v>2170</v>
      </c>
      <c r="I100" s="8" t="s">
        <v>2171</v>
      </c>
      <c r="J100" s="8" t="s">
        <v>55</v>
      </c>
      <c r="K100" s="8" t="s">
        <v>70</v>
      </c>
      <c r="L100" s="7">
        <v>3.64725E7</v>
      </c>
      <c r="M100" s="8" t="s">
        <v>483</v>
      </c>
      <c r="N100" s="8" t="s">
        <v>1771</v>
      </c>
      <c r="O100" s="8" t="s">
        <v>45</v>
      </c>
      <c r="P100" s="32">
        <v>42003.0</v>
      </c>
      <c r="Q100" s="7">
        <f>VLOOKUP(G100,'CBs RAW'!$E$2:$P$427,12)</f>
        <v>0.4</v>
      </c>
      <c r="R100" s="32">
        <v>45656.0</v>
      </c>
      <c r="S100" s="8" t="s">
        <v>2172</v>
      </c>
      <c r="T100" s="8" t="s">
        <v>484</v>
      </c>
      <c r="U100" s="8" t="s">
        <v>49</v>
      </c>
      <c r="V100" s="8" t="s">
        <v>53</v>
      </c>
      <c r="W100" s="8" t="s">
        <v>2173</v>
      </c>
      <c r="X100" s="33" t="str">
        <f>VLOOKUP(G100,'CBs RAW'!$E$2:$W$427,19)</f>
        <v>#N/A N/A</v>
      </c>
      <c r="Y100" s="4" t="str">
        <f t="shared" si="1"/>
        <v>#N/A N/A</v>
      </c>
      <c r="Z100" s="4" t="str">
        <f t="shared" si="2"/>
        <v>Berlin Hyp AGAT MATURITYFLOATINGEURSr Preferred</v>
      </c>
    </row>
    <row r="101">
      <c r="A101" s="8">
        <v>100.0</v>
      </c>
      <c r="B101" s="8" t="s">
        <v>477</v>
      </c>
      <c r="C101" s="8" t="s">
        <v>480</v>
      </c>
      <c r="D101" s="8" t="s">
        <v>57</v>
      </c>
      <c r="E101" s="8" t="str">
        <f>VLOOKUP(G101,'CBs RAW'!$E$2:$H$427,4)</f>
        <v>#N/A N/A</v>
      </c>
      <c r="F101" s="8" t="s">
        <v>45</v>
      </c>
      <c r="G101" s="8" t="s">
        <v>2174</v>
      </c>
      <c r="H101" s="8" t="s">
        <v>2175</v>
      </c>
      <c r="I101" s="8" t="s">
        <v>2176</v>
      </c>
      <c r="J101" s="8" t="s">
        <v>55</v>
      </c>
      <c r="K101" s="8" t="s">
        <v>56</v>
      </c>
      <c r="L101" s="7">
        <v>8.537325E8</v>
      </c>
      <c r="M101" s="8" t="s">
        <v>2012</v>
      </c>
      <c r="N101" s="8" t="s">
        <v>2130</v>
      </c>
      <c r="O101" s="8" t="s">
        <v>45</v>
      </c>
      <c r="P101" s="32">
        <v>42026.0</v>
      </c>
      <c r="Q101" s="7">
        <f>VLOOKUP(G101,'CBs RAW'!$E$2:$P$427,12)</f>
        <v>1.25</v>
      </c>
      <c r="R101" s="32">
        <v>45679.0</v>
      </c>
      <c r="S101" s="8" t="s">
        <v>226</v>
      </c>
      <c r="T101" s="8" t="s">
        <v>190</v>
      </c>
      <c r="U101" s="8" t="s">
        <v>49</v>
      </c>
      <c r="V101" s="8" t="s">
        <v>53</v>
      </c>
      <c r="W101" s="8" t="s">
        <v>2177</v>
      </c>
      <c r="X101" s="33">
        <f>VLOOKUP(G101,'CBs RAW'!$E$2:$W$427,19)</f>
        <v>1.186</v>
      </c>
      <c r="Y101" s="34">
        <f t="shared" si="1"/>
        <v>1.186</v>
      </c>
      <c r="Z101" s="4" t="str">
        <f t="shared" si="2"/>
        <v>Berlin Hyp AGAT MATURITYFIXEDEURSr Non Preferred</v>
      </c>
    </row>
    <row r="102">
      <c r="A102" s="8">
        <v>101.0</v>
      </c>
      <c r="B102" s="8" t="s">
        <v>477</v>
      </c>
      <c r="C102" s="8" t="s">
        <v>480</v>
      </c>
      <c r="D102" s="8" t="s">
        <v>57</v>
      </c>
      <c r="E102" s="8" t="str">
        <f>VLOOKUP(G102,'CBs RAW'!$E$2:$H$427,4)</f>
        <v>#N/A N/A</v>
      </c>
      <c r="F102" s="8" t="s">
        <v>45</v>
      </c>
      <c r="G102" s="8" t="s">
        <v>2178</v>
      </c>
      <c r="H102" s="8" t="s">
        <v>2179</v>
      </c>
      <c r="I102" s="8" t="s">
        <v>2180</v>
      </c>
      <c r="J102" s="8" t="s">
        <v>55</v>
      </c>
      <c r="K102" s="8" t="s">
        <v>56</v>
      </c>
      <c r="L102" s="7">
        <v>5.51405E8</v>
      </c>
      <c r="M102" s="8" t="s">
        <v>459</v>
      </c>
      <c r="N102" s="8" t="s">
        <v>1771</v>
      </c>
      <c r="O102" s="8" t="s">
        <v>45</v>
      </c>
      <c r="P102" s="32">
        <v>42422.0</v>
      </c>
      <c r="Q102" s="7">
        <f>VLOOKUP(G102,'CBs RAW'!$E$2:$P$427,12)</f>
        <v>0.25</v>
      </c>
      <c r="R102" s="32">
        <v>44979.0</v>
      </c>
      <c r="S102" s="8" t="s">
        <v>226</v>
      </c>
      <c r="T102" s="8" t="s">
        <v>190</v>
      </c>
      <c r="U102" s="8" t="s">
        <v>49</v>
      </c>
      <c r="V102" s="8" t="s">
        <v>53</v>
      </c>
      <c r="W102" s="8" t="s">
        <v>2181</v>
      </c>
      <c r="X102" s="33">
        <f>VLOOKUP(G102,'CBs RAW'!$E$2:$W$427,19)</f>
        <v>0.202</v>
      </c>
      <c r="Y102" s="34">
        <f t="shared" si="1"/>
        <v>0.202</v>
      </c>
      <c r="Z102" s="4" t="str">
        <f t="shared" si="2"/>
        <v>Berlin Hyp AGAT MATURITYFIXEDEURSecured</v>
      </c>
    </row>
    <row r="103">
      <c r="A103" s="8">
        <v>102.0</v>
      </c>
      <c r="B103" s="8" t="s">
        <v>477</v>
      </c>
      <c r="C103" s="8" t="s">
        <v>480</v>
      </c>
      <c r="D103" s="8" t="s">
        <v>57</v>
      </c>
      <c r="E103" s="8" t="str">
        <f>VLOOKUP(G103,'CBs RAW'!$E$2:$H$427,4)</f>
        <v>#N/A N/A</v>
      </c>
      <c r="F103" s="8" t="s">
        <v>45</v>
      </c>
      <c r="G103" s="8" t="s">
        <v>2182</v>
      </c>
      <c r="H103" s="8" t="s">
        <v>2183</v>
      </c>
      <c r="I103" s="8" t="s">
        <v>2184</v>
      </c>
      <c r="J103" s="8" t="s">
        <v>55</v>
      </c>
      <c r="K103" s="8" t="s">
        <v>56</v>
      </c>
      <c r="L103" s="7">
        <v>5.76335E8</v>
      </c>
      <c r="M103" s="8" t="s">
        <v>459</v>
      </c>
      <c r="N103" s="8" t="s">
        <v>1771</v>
      </c>
      <c r="O103" s="8" t="s">
        <v>45</v>
      </c>
      <c r="P103" s="32">
        <v>42493.0</v>
      </c>
      <c r="Q103" s="7">
        <f>VLOOKUP(G103,'CBs RAW'!$E$2:$P$427,12)</f>
        <v>0.375</v>
      </c>
      <c r="R103" s="32">
        <v>45415.0</v>
      </c>
      <c r="S103" s="8">
        <v>198.0</v>
      </c>
      <c r="T103" s="8" t="s">
        <v>190</v>
      </c>
      <c r="U103" s="8" t="s">
        <v>49</v>
      </c>
      <c r="V103" s="8" t="s">
        <v>53</v>
      </c>
      <c r="W103" s="8" t="s">
        <v>2185</v>
      </c>
      <c r="X103" s="33">
        <f>VLOOKUP(G103,'CBs RAW'!$E$2:$W$427,19)</f>
        <v>0.319</v>
      </c>
      <c r="Y103" s="34">
        <f t="shared" si="1"/>
        <v>0.319</v>
      </c>
      <c r="Z103" s="4" t="str">
        <f t="shared" si="2"/>
        <v>Berlin Hyp AGAT MATURITYFIXEDEURSecured</v>
      </c>
    </row>
    <row r="104">
      <c r="A104" s="8">
        <v>103.0</v>
      </c>
      <c r="B104" s="8" t="s">
        <v>477</v>
      </c>
      <c r="C104" s="8" t="s">
        <v>480</v>
      </c>
      <c r="D104" s="8" t="s">
        <v>392</v>
      </c>
      <c r="E104" s="8" t="str">
        <f>VLOOKUP(G104,'CBs RAW'!$E$2:$H$427,4)</f>
        <v>#N/A N/A</v>
      </c>
      <c r="F104" s="8" t="s">
        <v>45</v>
      </c>
      <c r="G104" s="8" t="s">
        <v>2186</v>
      </c>
      <c r="H104" s="8" t="s">
        <v>2187</v>
      </c>
      <c r="I104" s="8" t="s">
        <v>2188</v>
      </c>
      <c r="J104" s="8" t="s">
        <v>55</v>
      </c>
      <c r="K104" s="8" t="s">
        <v>70</v>
      </c>
      <c r="L104" s="7">
        <v>1.116E7</v>
      </c>
      <c r="M104" s="8" t="s">
        <v>2012</v>
      </c>
      <c r="N104" s="8" t="s">
        <v>2130</v>
      </c>
      <c r="O104" s="8" t="s">
        <v>45</v>
      </c>
      <c r="P104" s="32">
        <v>42256.0</v>
      </c>
      <c r="Q104" s="7">
        <f>VLOOKUP(G104,'CBs RAW'!$E$2:$P$427,12)</f>
        <v>0.102</v>
      </c>
      <c r="R104" s="32">
        <v>44813.0</v>
      </c>
      <c r="S104" s="8" t="s">
        <v>226</v>
      </c>
      <c r="T104" s="8" t="s">
        <v>117</v>
      </c>
      <c r="U104" s="8" t="s">
        <v>49</v>
      </c>
      <c r="V104" s="8" t="s">
        <v>53</v>
      </c>
      <c r="W104" s="8" t="s">
        <v>2189</v>
      </c>
      <c r="X104" s="33" t="str">
        <f>VLOOKUP(G104,'CBs RAW'!$E$2:$W$427,19)</f>
        <v>#N/A N/A</v>
      </c>
      <c r="Y104" s="4" t="str">
        <f t="shared" si="1"/>
        <v>#N/A N/A</v>
      </c>
      <c r="Z104" s="4" t="str">
        <f t="shared" si="2"/>
        <v>Berlin Hyp AGAT MATURITYFLOATINGEURSr Non Preferred</v>
      </c>
    </row>
    <row r="105">
      <c r="A105" s="8">
        <v>104.0</v>
      </c>
      <c r="B105" s="8" t="s">
        <v>477</v>
      </c>
      <c r="C105" s="8" t="s">
        <v>480</v>
      </c>
      <c r="D105" s="8" t="s">
        <v>57</v>
      </c>
      <c r="E105" s="8" t="str">
        <f>VLOOKUP(G105,'CBs RAW'!$E$2:$H$427,4)</f>
        <v>#N/A N/A</v>
      </c>
      <c r="F105" s="8" t="s">
        <v>45</v>
      </c>
      <c r="G105" s="8" t="s">
        <v>2190</v>
      </c>
      <c r="H105" s="8" t="s">
        <v>2191</v>
      </c>
      <c r="I105" s="8" t="s">
        <v>2192</v>
      </c>
      <c r="J105" s="8" t="s">
        <v>55</v>
      </c>
      <c r="K105" s="8" t="s">
        <v>56</v>
      </c>
      <c r="L105" s="7">
        <v>1.056393E7</v>
      </c>
      <c r="M105" s="8" t="s">
        <v>459</v>
      </c>
      <c r="N105" s="8" t="s">
        <v>1771</v>
      </c>
      <c r="O105" s="8" t="s">
        <v>45</v>
      </c>
      <c r="P105" s="32">
        <v>44103.0</v>
      </c>
      <c r="Q105" s="7">
        <f>VLOOKUP(G105,'CBs RAW'!$E$2:$P$427,12)</f>
        <v>0.13</v>
      </c>
      <c r="R105" s="32">
        <v>48486.0</v>
      </c>
      <c r="S105" s="8" t="s">
        <v>226</v>
      </c>
      <c r="T105" s="8" t="s">
        <v>190</v>
      </c>
      <c r="U105" s="8" t="s">
        <v>115</v>
      </c>
      <c r="V105" s="8" t="s">
        <v>53</v>
      </c>
      <c r="W105" s="8" t="s">
        <v>2193</v>
      </c>
      <c r="X105" s="33" t="str">
        <f>VLOOKUP(G105,'CBs RAW'!$E$2:$W$427,19)</f>
        <v>#N/A N/A</v>
      </c>
      <c r="Y105" s="4" t="str">
        <f t="shared" si="1"/>
        <v>#N/A N/A</v>
      </c>
      <c r="Z105" s="4" t="str">
        <f t="shared" si="2"/>
        <v>Berlin Hyp AGCALLABLEFIXEDEURSecured</v>
      </c>
    </row>
    <row r="106">
      <c r="A106" s="8">
        <v>105.0</v>
      </c>
      <c r="B106" s="8" t="s">
        <v>477</v>
      </c>
      <c r="C106" s="8" t="s">
        <v>480</v>
      </c>
      <c r="D106" s="8" t="s">
        <v>57</v>
      </c>
      <c r="E106" s="8" t="str">
        <f>VLOOKUP(G106,'CBs RAW'!$E$2:$H$427,4)</f>
        <v>#N/A N/A</v>
      </c>
      <c r="F106" s="8" t="s">
        <v>45</v>
      </c>
      <c r="G106" s="8" t="s">
        <v>2194</v>
      </c>
      <c r="H106" s="8" t="s">
        <v>2195</v>
      </c>
      <c r="I106" s="8" t="s">
        <v>2196</v>
      </c>
      <c r="J106" s="8" t="s">
        <v>55</v>
      </c>
      <c r="K106" s="8" t="s">
        <v>1806</v>
      </c>
      <c r="L106" s="7">
        <v>1.77162E7</v>
      </c>
      <c r="M106" s="8" t="s">
        <v>459</v>
      </c>
      <c r="N106" s="8" t="s">
        <v>174</v>
      </c>
      <c r="O106" s="8" t="s">
        <v>45</v>
      </c>
      <c r="P106" s="32">
        <v>44116.0</v>
      </c>
      <c r="Q106" s="7">
        <f>VLOOKUP(G106,'CBs RAW'!$E$2:$P$427,12)</f>
        <v>0.03</v>
      </c>
      <c r="R106" s="32">
        <v>55073.0</v>
      </c>
      <c r="S106" s="8" t="s">
        <v>226</v>
      </c>
      <c r="T106" s="8" t="s">
        <v>190</v>
      </c>
      <c r="U106" s="8" t="s">
        <v>115</v>
      </c>
      <c r="V106" s="8" t="s">
        <v>53</v>
      </c>
      <c r="W106" s="8" t="s">
        <v>2197</v>
      </c>
      <c r="X106" s="33" t="str">
        <f>VLOOKUP(G106,'CBs RAW'!$E$2:$W$427,19)</f>
        <v>#N/A N/A</v>
      </c>
      <c r="Y106" s="4" t="str">
        <f t="shared" si="1"/>
        <v>#N/A N/A</v>
      </c>
      <c r="Z106" s="4" t="str">
        <f t="shared" si="2"/>
        <v>Berlin Hyp AGCALLABLESTEP CPNEURSecured</v>
      </c>
    </row>
    <row r="107">
      <c r="A107" s="8">
        <v>106.0</v>
      </c>
      <c r="B107" s="8" t="s">
        <v>477</v>
      </c>
      <c r="C107" s="8" t="s">
        <v>480</v>
      </c>
      <c r="D107" s="8" t="s">
        <v>57</v>
      </c>
      <c r="E107" s="8">
        <f>VLOOKUP(G107,'CBs RAW'!$E$2:$H$427,4)</f>
        <v>0.055</v>
      </c>
      <c r="F107" s="8" t="s">
        <v>45</v>
      </c>
      <c r="G107" s="8" t="s">
        <v>2198</v>
      </c>
      <c r="H107" s="8" t="s">
        <v>2199</v>
      </c>
      <c r="I107" s="8" t="s">
        <v>2200</v>
      </c>
      <c r="J107" s="8" t="s">
        <v>55</v>
      </c>
      <c r="K107" s="8" t="s">
        <v>56</v>
      </c>
      <c r="L107" s="7">
        <v>1.1719E7</v>
      </c>
      <c r="M107" s="8" t="s">
        <v>483</v>
      </c>
      <c r="N107" s="8" t="s">
        <v>1771</v>
      </c>
      <c r="O107" s="8" t="s">
        <v>45</v>
      </c>
      <c r="P107" s="32">
        <v>44120.0</v>
      </c>
      <c r="Q107" s="7">
        <f>VLOOKUP(G107,'CBs RAW'!$E$2:$P$427,12)</f>
        <v>0.055</v>
      </c>
      <c r="R107" s="32">
        <v>47772.0</v>
      </c>
      <c r="S107" s="8" t="s">
        <v>226</v>
      </c>
      <c r="T107" s="8" t="s">
        <v>484</v>
      </c>
      <c r="U107" s="8" t="s">
        <v>49</v>
      </c>
      <c r="V107" s="8" t="s">
        <v>53</v>
      </c>
      <c r="W107" s="8" t="s">
        <v>2201</v>
      </c>
      <c r="X107" s="33" t="str">
        <f>VLOOKUP(G107,'CBs RAW'!$E$2:$W$427,19)</f>
        <v>#N/A N/A</v>
      </c>
      <c r="Y107" s="4">
        <f t="shared" si="1"/>
        <v>0.055</v>
      </c>
      <c r="Z107" s="4" t="str">
        <f t="shared" si="2"/>
        <v>Berlin Hyp AGAT MATURITYFIXEDEURSr Preferred</v>
      </c>
    </row>
    <row r="108">
      <c r="A108" s="8">
        <v>107.0</v>
      </c>
      <c r="B108" s="8" t="s">
        <v>477</v>
      </c>
      <c r="C108" s="8" t="s">
        <v>480</v>
      </c>
      <c r="D108" s="8" t="s">
        <v>57</v>
      </c>
      <c r="E108" s="8" t="str">
        <f>VLOOKUP(G108,'CBs RAW'!$E$2:$H$427,4)</f>
        <v>#N/A N/A</v>
      </c>
      <c r="F108" s="8" t="s">
        <v>45</v>
      </c>
      <c r="G108" s="8" t="s">
        <v>2202</v>
      </c>
      <c r="H108" s="8" t="s">
        <v>2203</v>
      </c>
      <c r="I108" s="8" t="s">
        <v>2204</v>
      </c>
      <c r="J108" s="8" t="s">
        <v>55</v>
      </c>
      <c r="K108" s="8" t="s">
        <v>56</v>
      </c>
      <c r="L108" s="7">
        <v>3.3153E7</v>
      </c>
      <c r="M108" s="8" t="s">
        <v>483</v>
      </c>
      <c r="N108" s="8" t="s">
        <v>174</v>
      </c>
      <c r="O108" s="8" t="s">
        <v>45</v>
      </c>
      <c r="P108" s="32">
        <v>43853.0</v>
      </c>
      <c r="Q108" s="7">
        <f>VLOOKUP(G108,'CBs RAW'!$E$2:$P$427,12)</f>
        <v>0.089</v>
      </c>
      <c r="R108" s="32">
        <v>45680.0</v>
      </c>
      <c r="S108" s="8" t="s">
        <v>226</v>
      </c>
      <c r="T108" s="8" t="s">
        <v>484</v>
      </c>
      <c r="U108" s="8" t="s">
        <v>49</v>
      </c>
      <c r="V108" s="8" t="s">
        <v>53</v>
      </c>
      <c r="W108" s="8" t="s">
        <v>2205</v>
      </c>
      <c r="X108" s="33" t="str">
        <f>VLOOKUP(G108,'CBs RAW'!$E$2:$W$427,19)</f>
        <v>#N/A N/A</v>
      </c>
      <c r="Y108" s="4" t="str">
        <f t="shared" si="1"/>
        <v>#N/A N/A</v>
      </c>
      <c r="Z108" s="4" t="str">
        <f t="shared" si="2"/>
        <v>Berlin Hyp AGAT MATURITYFIXEDEURSr Preferred</v>
      </c>
    </row>
    <row r="109">
      <c r="A109" s="8">
        <v>108.0</v>
      </c>
      <c r="B109" s="8" t="s">
        <v>477</v>
      </c>
      <c r="C109" s="8" t="s">
        <v>480</v>
      </c>
      <c r="D109" s="8" t="s">
        <v>392</v>
      </c>
      <c r="E109" s="8" t="str">
        <f>VLOOKUP(G109,'CBs RAW'!$E$2:$H$427,4)</f>
        <v>#N/A N/A</v>
      </c>
      <c r="F109" s="8" t="s">
        <v>45</v>
      </c>
      <c r="G109" s="8" t="s">
        <v>2206</v>
      </c>
      <c r="H109" s="8" t="s">
        <v>2207</v>
      </c>
      <c r="I109" s="8" t="s">
        <v>2208</v>
      </c>
      <c r="J109" s="8" t="s">
        <v>55</v>
      </c>
      <c r="K109" s="8" t="s">
        <v>70</v>
      </c>
      <c r="L109" s="7">
        <v>2.20178E7</v>
      </c>
      <c r="M109" s="8" t="s">
        <v>459</v>
      </c>
      <c r="N109" s="8" t="s">
        <v>1771</v>
      </c>
      <c r="O109" s="8" t="s">
        <v>45</v>
      </c>
      <c r="P109" s="32">
        <v>43858.0</v>
      </c>
      <c r="Q109" s="7">
        <f>VLOOKUP(G109,'CBs RAW'!$E$2:$P$427,12)</f>
        <v>0.07</v>
      </c>
      <c r="R109" s="32">
        <v>45685.0</v>
      </c>
      <c r="S109" s="8" t="s">
        <v>226</v>
      </c>
      <c r="T109" s="8" t="s">
        <v>190</v>
      </c>
      <c r="U109" s="8" t="s">
        <v>49</v>
      </c>
      <c r="V109" s="8" t="s">
        <v>53</v>
      </c>
      <c r="W109" s="8" t="s">
        <v>2209</v>
      </c>
      <c r="X109" s="33" t="str">
        <f>VLOOKUP(G109,'CBs RAW'!$E$2:$W$427,19)</f>
        <v>#N/A N/A</v>
      </c>
      <c r="Y109" s="4" t="str">
        <f t="shared" si="1"/>
        <v>#N/A N/A</v>
      </c>
      <c r="Z109" s="4" t="str">
        <f t="shared" si="2"/>
        <v>Berlin Hyp AGAT MATURITYFLOATINGEURSecured</v>
      </c>
    </row>
    <row r="110">
      <c r="A110" s="8">
        <v>109.0</v>
      </c>
      <c r="B110" s="8" t="s">
        <v>477</v>
      </c>
      <c r="C110" s="8" t="s">
        <v>480</v>
      </c>
      <c r="D110" s="8" t="s">
        <v>57</v>
      </c>
      <c r="E110" s="8" t="str">
        <f>VLOOKUP(G110,'CBs RAW'!$E$2:$H$427,4)</f>
        <v>#N/A N/A</v>
      </c>
      <c r="F110" s="8" t="s">
        <v>45</v>
      </c>
      <c r="G110" s="8" t="s">
        <v>2210</v>
      </c>
      <c r="H110" s="8" t="s">
        <v>2211</v>
      </c>
      <c r="I110" s="8" t="s">
        <v>2212</v>
      </c>
      <c r="J110" s="8" t="s">
        <v>55</v>
      </c>
      <c r="K110" s="8" t="s">
        <v>56</v>
      </c>
      <c r="L110" s="7">
        <v>5.4161E8</v>
      </c>
      <c r="M110" s="8" t="s">
        <v>459</v>
      </c>
      <c r="N110" s="8" t="s">
        <v>174</v>
      </c>
      <c r="O110" s="8" t="s">
        <v>45</v>
      </c>
      <c r="P110" s="32">
        <v>43878.0</v>
      </c>
      <c r="Q110" s="7">
        <f>VLOOKUP(G110,'CBs RAW'!$E$2:$P$427,12)</f>
        <v>0.01</v>
      </c>
      <c r="R110" s="32">
        <v>46435.0</v>
      </c>
      <c r="S110" s="8" t="s">
        <v>174</v>
      </c>
      <c r="T110" s="8" t="s">
        <v>190</v>
      </c>
      <c r="U110" s="8" t="s">
        <v>49</v>
      </c>
      <c r="V110" s="8" t="s">
        <v>53</v>
      </c>
      <c r="W110" s="8" t="s">
        <v>2213</v>
      </c>
      <c r="X110" s="33">
        <f>VLOOKUP(G110,'CBs RAW'!$E$2:$W$427,19)</f>
        <v>-0.23</v>
      </c>
      <c r="Y110" s="34">
        <f t="shared" si="1"/>
        <v>-0.23</v>
      </c>
      <c r="Z110" s="4" t="str">
        <f t="shared" si="2"/>
        <v>Berlin Hyp AGAT MATURITYFIXEDEURSecured</v>
      </c>
    </row>
    <row r="111">
      <c r="A111" s="8">
        <v>110.0</v>
      </c>
      <c r="B111" s="8" t="s">
        <v>477</v>
      </c>
      <c r="C111" s="8" t="s">
        <v>480</v>
      </c>
      <c r="D111" s="8" t="s">
        <v>57</v>
      </c>
      <c r="E111" s="8" t="str">
        <f>VLOOKUP(G111,'CBs RAW'!$E$2:$H$427,4)</f>
        <v>#N/A N/A</v>
      </c>
      <c r="F111" s="8" t="s">
        <v>45</v>
      </c>
      <c r="G111" s="8" t="s">
        <v>2214</v>
      </c>
      <c r="H111" s="8" t="s">
        <v>2215</v>
      </c>
      <c r="I111" s="8" t="s">
        <v>2216</v>
      </c>
      <c r="J111" s="8" t="s">
        <v>55</v>
      </c>
      <c r="K111" s="8" t="s">
        <v>56</v>
      </c>
      <c r="L111" s="7">
        <v>1.11262E8</v>
      </c>
      <c r="M111" s="8" t="s">
        <v>459</v>
      </c>
      <c r="N111" s="8" t="s">
        <v>174</v>
      </c>
      <c r="O111" s="8" t="s">
        <v>45</v>
      </c>
      <c r="P111" s="32">
        <v>43755.0</v>
      </c>
      <c r="Q111" s="7">
        <f>VLOOKUP(G111,'CBs RAW'!$E$2:$P$427,12)</f>
        <v>0.01</v>
      </c>
      <c r="R111" s="32">
        <v>45947.0</v>
      </c>
      <c r="S111" s="8" t="s">
        <v>226</v>
      </c>
      <c r="T111" s="8" t="s">
        <v>190</v>
      </c>
      <c r="U111" s="8" t="s">
        <v>49</v>
      </c>
      <c r="V111" s="8" t="s">
        <v>53</v>
      </c>
      <c r="W111" s="8" t="s">
        <v>2217</v>
      </c>
      <c r="X111" s="33">
        <f>VLOOKUP(G111,'CBs RAW'!$E$2:$W$427,19)</f>
        <v>-0.325</v>
      </c>
      <c r="Y111" s="34">
        <f t="shared" si="1"/>
        <v>-0.325</v>
      </c>
      <c r="Z111" s="4" t="str">
        <f t="shared" si="2"/>
        <v>Berlin Hyp AGAT MATURITYFIXEDEURSecured</v>
      </c>
    </row>
    <row r="112">
      <c r="A112" s="8">
        <v>111.0</v>
      </c>
      <c r="B112" s="8" t="s">
        <v>477</v>
      </c>
      <c r="C112" s="8" t="s">
        <v>480</v>
      </c>
      <c r="D112" s="8" t="s">
        <v>392</v>
      </c>
      <c r="E112" s="8" t="str">
        <f>VLOOKUP(G112,'CBs RAW'!$E$2:$H$427,4)</f>
        <v>#N/A N/A</v>
      </c>
      <c r="F112" s="8" t="s">
        <v>45</v>
      </c>
      <c r="G112" s="8" t="s">
        <v>2218</v>
      </c>
      <c r="H112" s="8" t="s">
        <v>2219</v>
      </c>
      <c r="I112" s="8" t="s">
        <v>2220</v>
      </c>
      <c r="J112" s="8" t="s">
        <v>55</v>
      </c>
      <c r="K112" s="8" t="s">
        <v>70</v>
      </c>
      <c r="L112" s="7">
        <v>4.6774225E8</v>
      </c>
      <c r="M112" s="8" t="s">
        <v>459</v>
      </c>
      <c r="N112" s="8" t="s">
        <v>174</v>
      </c>
      <c r="O112" s="8" t="s">
        <v>45</v>
      </c>
      <c r="P112" s="32">
        <v>43794.0</v>
      </c>
      <c r="Q112" s="7">
        <f>VLOOKUP(G112,'CBs RAW'!$E$2:$P$427,12)</f>
        <v>0</v>
      </c>
      <c r="R112" s="32">
        <v>45610.0</v>
      </c>
      <c r="S112" s="8" t="s">
        <v>226</v>
      </c>
      <c r="T112" s="8" t="s">
        <v>190</v>
      </c>
      <c r="U112" s="8" t="s">
        <v>49</v>
      </c>
      <c r="V112" s="8" t="s">
        <v>53</v>
      </c>
      <c r="W112" s="8" t="s">
        <v>2221</v>
      </c>
      <c r="X112" s="33">
        <f>VLOOKUP(G112,'CBs RAW'!$E$2:$W$427,19)</f>
        <v>-0.005</v>
      </c>
      <c r="Y112" s="34">
        <f t="shared" si="1"/>
        <v>-0.005</v>
      </c>
      <c r="Z112" s="4" t="str">
        <f t="shared" si="2"/>
        <v>Berlin Hyp AGAT MATURITYFLOATINGEURSecured</v>
      </c>
    </row>
    <row r="113">
      <c r="A113" s="8">
        <v>112.0</v>
      </c>
      <c r="B113" s="8" t="s">
        <v>477</v>
      </c>
      <c r="C113" s="8" t="s">
        <v>480</v>
      </c>
      <c r="D113" s="8" t="s">
        <v>57</v>
      </c>
      <c r="E113" s="8" t="str">
        <f>VLOOKUP(G113,'CBs RAW'!$E$2:$H$427,4)</f>
        <v>#N/A N/A</v>
      </c>
      <c r="F113" s="8" t="s">
        <v>45</v>
      </c>
      <c r="G113" s="8" t="s">
        <v>2222</v>
      </c>
      <c r="H113" s="8" t="s">
        <v>2223</v>
      </c>
      <c r="I113" s="8" t="s">
        <v>2224</v>
      </c>
      <c r="J113" s="8" t="s">
        <v>55</v>
      </c>
      <c r="K113" s="8" t="s">
        <v>56</v>
      </c>
      <c r="L113" s="7">
        <v>4.975605E7</v>
      </c>
      <c r="M113" s="8" t="s">
        <v>2012</v>
      </c>
      <c r="N113" s="8" t="s">
        <v>2013</v>
      </c>
      <c r="O113" s="8" t="s">
        <v>45</v>
      </c>
      <c r="P113" s="32">
        <v>43808.0</v>
      </c>
      <c r="Q113" s="7">
        <f>VLOOKUP(G113,'CBs RAW'!$E$2:$P$427,12)</f>
        <v>1.157</v>
      </c>
      <c r="R113" s="32">
        <v>51113.0</v>
      </c>
      <c r="S113" s="8" t="s">
        <v>174</v>
      </c>
      <c r="T113" s="8" t="s">
        <v>117</v>
      </c>
      <c r="U113" s="8" t="s">
        <v>49</v>
      </c>
      <c r="V113" s="8" t="s">
        <v>53</v>
      </c>
      <c r="W113" s="8" t="s">
        <v>2225</v>
      </c>
      <c r="X113" s="33" t="str">
        <f>VLOOKUP(G113,'CBs RAW'!$E$2:$W$427,19)</f>
        <v>#N/A N/A</v>
      </c>
      <c r="Y113" s="4" t="str">
        <f t="shared" si="1"/>
        <v>#N/A N/A</v>
      </c>
      <c r="Z113" s="4" t="str">
        <f t="shared" si="2"/>
        <v>Berlin Hyp AGAT MATURITYFIXEDEURSr Non Preferred</v>
      </c>
    </row>
    <row r="114">
      <c r="A114" s="8">
        <v>113.0</v>
      </c>
      <c r="B114" s="8" t="s">
        <v>477</v>
      </c>
      <c r="C114" s="8" t="s">
        <v>480</v>
      </c>
      <c r="D114" s="8" t="s">
        <v>57</v>
      </c>
      <c r="E114" s="8" t="str">
        <f>VLOOKUP(G114,'CBs RAW'!$E$2:$H$427,4)</f>
        <v>#N/A N/A</v>
      </c>
      <c r="F114" s="8" t="s">
        <v>45</v>
      </c>
      <c r="G114" s="8" t="s">
        <v>2226</v>
      </c>
      <c r="H114" s="8" t="s">
        <v>2227</v>
      </c>
      <c r="I114" s="8" t="s">
        <v>2228</v>
      </c>
      <c r="J114" s="8" t="s">
        <v>55</v>
      </c>
      <c r="K114" s="8" t="s">
        <v>56</v>
      </c>
      <c r="L114" s="7">
        <v>1.10967E9</v>
      </c>
      <c r="M114" s="8" t="s">
        <v>459</v>
      </c>
      <c r="N114" s="8" t="s">
        <v>1771</v>
      </c>
      <c r="O114" s="8" t="s">
        <v>45</v>
      </c>
      <c r="P114" s="32">
        <v>43704.0</v>
      </c>
      <c r="Q114" s="7">
        <f>VLOOKUP(G114,'CBs RAW'!$E$2:$P$427,12)</f>
        <v>0.01</v>
      </c>
      <c r="R114" s="32">
        <v>44802.0</v>
      </c>
      <c r="S114" s="8" t="s">
        <v>226</v>
      </c>
      <c r="T114" s="8" t="s">
        <v>190</v>
      </c>
      <c r="U114" s="8" t="s">
        <v>49</v>
      </c>
      <c r="V114" s="8" t="s">
        <v>53</v>
      </c>
      <c r="W114" s="8" t="s">
        <v>2229</v>
      </c>
      <c r="X114" s="33">
        <f>VLOOKUP(G114,'CBs RAW'!$E$2:$W$427,19)</f>
        <v>-0.581</v>
      </c>
      <c r="Y114" s="34">
        <f t="shared" si="1"/>
        <v>-0.581</v>
      </c>
      <c r="Z114" s="4" t="str">
        <f t="shared" si="2"/>
        <v>Berlin Hyp AGAT MATURITYFIXEDEURSecured</v>
      </c>
    </row>
    <row r="115">
      <c r="A115" s="8">
        <v>114.0</v>
      </c>
      <c r="B115" s="8" t="s">
        <v>477</v>
      </c>
      <c r="C115" s="8" t="s">
        <v>480</v>
      </c>
      <c r="D115" s="8" t="s">
        <v>392</v>
      </c>
      <c r="E115" s="8" t="str">
        <f>VLOOKUP(G115,'CBs RAW'!$E$2:$H$427,4)</f>
        <v>#N/A N/A</v>
      </c>
      <c r="F115" s="8" t="s">
        <v>45</v>
      </c>
      <c r="G115" s="8" t="s">
        <v>2230</v>
      </c>
      <c r="H115" s="8" t="s">
        <v>2231</v>
      </c>
      <c r="I115" s="8" t="s">
        <v>2232</v>
      </c>
      <c r="J115" s="8" t="s">
        <v>55</v>
      </c>
      <c r="K115" s="8" t="s">
        <v>70</v>
      </c>
      <c r="L115" s="7">
        <v>1.635465E8</v>
      </c>
      <c r="M115" s="8" t="s">
        <v>459</v>
      </c>
      <c r="N115" s="8" t="s">
        <v>174</v>
      </c>
      <c r="O115" s="8" t="s">
        <v>45</v>
      </c>
      <c r="P115" s="32">
        <v>43738.0</v>
      </c>
      <c r="Q115" s="7">
        <f>VLOOKUP(G115,'CBs RAW'!$E$2:$P$427,12)</f>
        <v>0</v>
      </c>
      <c r="R115" s="32">
        <v>45230.0</v>
      </c>
      <c r="S115" s="8" t="s">
        <v>226</v>
      </c>
      <c r="T115" s="8" t="s">
        <v>190</v>
      </c>
      <c r="U115" s="8" t="s">
        <v>49</v>
      </c>
      <c r="V115" s="8" t="s">
        <v>53</v>
      </c>
      <c r="W115" s="8" t="s">
        <v>2233</v>
      </c>
      <c r="X115" s="33" t="str">
        <f>VLOOKUP(G115,'CBs RAW'!$E$2:$W$427,19)</f>
        <v>#N/A N/A</v>
      </c>
      <c r="Y115" s="4" t="str">
        <f t="shared" si="1"/>
        <v>#N/A N/A</v>
      </c>
      <c r="Z115" s="4" t="str">
        <f t="shared" si="2"/>
        <v>Berlin Hyp AGAT MATURITYFLOATINGEURSecured</v>
      </c>
    </row>
    <row r="116">
      <c r="A116" s="8">
        <v>115.0</v>
      </c>
      <c r="B116" s="8" t="s">
        <v>477</v>
      </c>
      <c r="C116" s="8" t="s">
        <v>480</v>
      </c>
      <c r="D116" s="8" t="s">
        <v>57</v>
      </c>
      <c r="E116" s="8" t="str">
        <f>VLOOKUP(G116,'CBs RAW'!$E$2:$H$427,4)</f>
        <v>#N/A N/A</v>
      </c>
      <c r="F116" s="8" t="s">
        <v>45</v>
      </c>
      <c r="G116" s="8" t="s">
        <v>2234</v>
      </c>
      <c r="H116" s="8" t="s">
        <v>2235</v>
      </c>
      <c r="I116" s="8" t="s">
        <v>2236</v>
      </c>
      <c r="J116" s="8" t="s">
        <v>55</v>
      </c>
      <c r="K116" s="8" t="s">
        <v>56</v>
      </c>
      <c r="L116" s="7">
        <v>5.5669E8</v>
      </c>
      <c r="M116" s="8" t="s">
        <v>459</v>
      </c>
      <c r="N116" s="8" t="s">
        <v>174</v>
      </c>
      <c r="O116" s="8" t="s">
        <v>45</v>
      </c>
      <c r="P116" s="32">
        <v>43614.0</v>
      </c>
      <c r="Q116" s="7">
        <f>VLOOKUP(G116,'CBs RAW'!$E$2:$P$427,12)</f>
        <v>0.375</v>
      </c>
      <c r="R116" s="32">
        <v>47267.0</v>
      </c>
      <c r="S116" s="8" t="s">
        <v>174</v>
      </c>
      <c r="T116" s="8" t="s">
        <v>190</v>
      </c>
      <c r="U116" s="8" t="s">
        <v>49</v>
      </c>
      <c r="V116" s="8" t="s">
        <v>53</v>
      </c>
      <c r="W116" s="8" t="s">
        <v>2237</v>
      </c>
      <c r="X116" s="33">
        <f>VLOOKUP(G116,'CBs RAW'!$E$2:$W$427,19)</f>
        <v>0.317</v>
      </c>
      <c r="Y116" s="34">
        <f t="shared" si="1"/>
        <v>0.317</v>
      </c>
      <c r="Z116" s="4" t="str">
        <f t="shared" si="2"/>
        <v>Berlin Hyp AGAT MATURITYFIXEDEURSecured</v>
      </c>
    </row>
    <row r="117">
      <c r="A117" s="8">
        <v>116.0</v>
      </c>
      <c r="B117" s="8" t="s">
        <v>933</v>
      </c>
      <c r="C117" s="8" t="s">
        <v>936</v>
      </c>
      <c r="D117" s="8" t="s">
        <v>71</v>
      </c>
      <c r="E117" s="8" t="str">
        <f>VLOOKUP(G117,'CBs RAW'!$E$2:$H$427,4)</f>
        <v>#N/A N/A</v>
      </c>
      <c r="F117" s="8" t="s">
        <v>45</v>
      </c>
      <c r="G117" s="8" t="s">
        <v>2238</v>
      </c>
      <c r="H117" s="8" t="s">
        <v>174</v>
      </c>
      <c r="I117" s="8" t="s">
        <v>2239</v>
      </c>
      <c r="J117" s="8" t="s">
        <v>55</v>
      </c>
      <c r="K117" s="8" t="s">
        <v>70</v>
      </c>
      <c r="L117" s="7">
        <v>7.18572E7</v>
      </c>
      <c r="M117" s="8" t="s">
        <v>52</v>
      </c>
      <c r="N117" s="8" t="s">
        <v>174</v>
      </c>
      <c r="O117" s="8" t="s">
        <v>45</v>
      </c>
      <c r="P117" s="32">
        <v>43234.0</v>
      </c>
      <c r="Q117" s="7">
        <f>VLOOKUP(G117,'CBs RAW'!$E$2:$P$427,12)</f>
        <v>0</v>
      </c>
      <c r="R117" s="32">
        <v>45060.0</v>
      </c>
      <c r="S117" s="8" t="s">
        <v>76</v>
      </c>
      <c r="T117" s="8" t="s">
        <v>54</v>
      </c>
      <c r="U117" s="8" t="s">
        <v>49</v>
      </c>
      <c r="V117" s="8" t="s">
        <v>53</v>
      </c>
      <c r="W117" s="8" t="s">
        <v>2240</v>
      </c>
      <c r="X117" s="33" t="str">
        <f>VLOOKUP(G117,'CBs RAW'!$E$2:$W$427,19)</f>
        <v>#N/A N/A</v>
      </c>
      <c r="Y117" s="4" t="str">
        <f t="shared" si="1"/>
        <v>#N/A N/A</v>
      </c>
      <c r="Z117" s="4" t="str">
        <f t="shared" si="2"/>
        <v>Biesterfeld AGAT MATURITYFLOATINGEURSr Unsecured</v>
      </c>
    </row>
    <row r="118">
      <c r="A118" s="8">
        <v>117.0</v>
      </c>
      <c r="B118" s="8" t="s">
        <v>933</v>
      </c>
      <c r="C118" s="8" t="s">
        <v>936</v>
      </c>
      <c r="D118" s="8" t="s">
        <v>71</v>
      </c>
      <c r="E118" s="8" t="str">
        <f>VLOOKUP(G118,'CBs RAW'!$E$2:$H$427,4)</f>
        <v>#N/A N/A</v>
      </c>
      <c r="F118" s="8" t="s">
        <v>45</v>
      </c>
      <c r="G118" s="8" t="s">
        <v>2241</v>
      </c>
      <c r="H118" s="8" t="s">
        <v>174</v>
      </c>
      <c r="I118" s="8" t="s">
        <v>2242</v>
      </c>
      <c r="J118" s="8" t="s">
        <v>55</v>
      </c>
      <c r="K118" s="8" t="s">
        <v>70</v>
      </c>
      <c r="L118" s="7">
        <v>7.18572E7</v>
      </c>
      <c r="M118" s="8" t="s">
        <v>52</v>
      </c>
      <c r="N118" s="8" t="s">
        <v>174</v>
      </c>
      <c r="O118" s="8" t="s">
        <v>45</v>
      </c>
      <c r="P118" s="32">
        <v>43234.0</v>
      </c>
      <c r="Q118" s="7">
        <f>VLOOKUP(G118,'CBs RAW'!$E$2:$P$427,12)</f>
        <v>0</v>
      </c>
      <c r="R118" s="32">
        <v>45426.0</v>
      </c>
      <c r="S118" s="8" t="s">
        <v>158</v>
      </c>
      <c r="T118" s="8" t="s">
        <v>54</v>
      </c>
      <c r="U118" s="8" t="s">
        <v>49</v>
      </c>
      <c r="V118" s="8" t="s">
        <v>53</v>
      </c>
      <c r="W118" s="8" t="s">
        <v>2243</v>
      </c>
      <c r="X118" s="33" t="str">
        <f>VLOOKUP(G118,'CBs RAW'!$E$2:$W$427,19)</f>
        <v>#N/A N/A</v>
      </c>
      <c r="Y118" s="4" t="str">
        <f t="shared" si="1"/>
        <v>#N/A N/A</v>
      </c>
      <c r="Z118" s="4" t="str">
        <f t="shared" si="2"/>
        <v>Biesterfeld AGAT MATURITYFLOATINGEURSr Unsecured</v>
      </c>
    </row>
    <row r="119">
      <c r="A119" s="8">
        <v>118.0</v>
      </c>
      <c r="B119" s="8" t="s">
        <v>933</v>
      </c>
      <c r="C119" s="8" t="s">
        <v>936</v>
      </c>
      <c r="D119" s="8" t="s">
        <v>71</v>
      </c>
      <c r="E119" s="8" t="str">
        <f>VLOOKUP(G119,'CBs RAW'!$E$2:$H$427,4)</f>
        <v>#N/A N/A</v>
      </c>
      <c r="F119" s="8" t="s">
        <v>45</v>
      </c>
      <c r="G119" s="8" t="s">
        <v>2244</v>
      </c>
      <c r="H119" s="8" t="s">
        <v>174</v>
      </c>
      <c r="I119" s="8" t="s">
        <v>2245</v>
      </c>
      <c r="J119" s="8" t="s">
        <v>55</v>
      </c>
      <c r="K119" s="8" t="s">
        <v>70</v>
      </c>
      <c r="L119" s="7">
        <v>7.18572E7</v>
      </c>
      <c r="M119" s="8" t="s">
        <v>52</v>
      </c>
      <c r="N119" s="8" t="s">
        <v>174</v>
      </c>
      <c r="O119" s="8" t="s">
        <v>45</v>
      </c>
      <c r="P119" s="32">
        <v>43234.0</v>
      </c>
      <c r="Q119" s="7">
        <f>VLOOKUP(G119,'CBs RAW'!$E$2:$P$427,12)</f>
        <v>0</v>
      </c>
      <c r="R119" s="32">
        <v>45791.0</v>
      </c>
      <c r="S119" s="8" t="s">
        <v>69</v>
      </c>
      <c r="T119" s="8" t="s">
        <v>54</v>
      </c>
      <c r="U119" s="8" t="s">
        <v>49</v>
      </c>
      <c r="V119" s="8" t="s">
        <v>53</v>
      </c>
      <c r="W119" s="8" t="s">
        <v>2246</v>
      </c>
      <c r="X119" s="33" t="str">
        <f>VLOOKUP(G119,'CBs RAW'!$E$2:$W$427,19)</f>
        <v>#N/A N/A</v>
      </c>
      <c r="Y119" s="4" t="str">
        <f t="shared" si="1"/>
        <v>#N/A N/A</v>
      </c>
      <c r="Z119" s="4" t="str">
        <f t="shared" si="2"/>
        <v>Biesterfeld AGAT MATURITYFLOATINGEURSr Unsecured</v>
      </c>
    </row>
    <row r="120">
      <c r="A120" s="8">
        <v>119.0</v>
      </c>
      <c r="B120" s="8" t="s">
        <v>1551</v>
      </c>
      <c r="C120" s="8" t="s">
        <v>1554</v>
      </c>
      <c r="D120" s="8" t="s">
        <v>57</v>
      </c>
      <c r="E120" s="8" t="str">
        <f>VLOOKUP(G120,'CBs RAW'!$E$2:$H$427,4)</f>
        <v>#N/A N/A</v>
      </c>
      <c r="F120" s="8" t="s">
        <v>1555</v>
      </c>
      <c r="G120" s="8" t="s">
        <v>2247</v>
      </c>
      <c r="H120" s="8" t="s">
        <v>2248</v>
      </c>
      <c r="I120" s="8" t="s">
        <v>2249</v>
      </c>
      <c r="J120" s="8" t="s">
        <v>55</v>
      </c>
      <c r="K120" s="8" t="s">
        <v>56</v>
      </c>
      <c r="L120" s="7">
        <v>6.0362E7</v>
      </c>
      <c r="M120" s="8" t="s">
        <v>52</v>
      </c>
      <c r="N120" s="8" t="s">
        <v>1776</v>
      </c>
      <c r="O120" s="8" t="s">
        <v>1555</v>
      </c>
      <c r="P120" s="32">
        <v>44174.0</v>
      </c>
      <c r="Q120" s="7">
        <f>VLOOKUP(G120,'CBs RAW'!$E$2:$P$427,12)</f>
        <v>4</v>
      </c>
      <c r="R120" s="32">
        <v>46000.0</v>
      </c>
      <c r="S120" s="8" t="s">
        <v>174</v>
      </c>
      <c r="T120" s="8" t="s">
        <v>54</v>
      </c>
      <c r="U120" s="8" t="s">
        <v>115</v>
      </c>
      <c r="V120" s="8" t="s">
        <v>53</v>
      </c>
      <c r="W120" s="8" t="s">
        <v>2250</v>
      </c>
      <c r="X120" s="33" t="str">
        <f>VLOOKUP(G120,'CBs RAW'!$E$2:$W$427,19)</f>
        <v>#N/A N/A</v>
      </c>
      <c r="Y120" s="4" t="str">
        <f t="shared" si="1"/>
        <v>#N/A N/A</v>
      </c>
      <c r="Z120" s="4" t="str">
        <f t="shared" si="2"/>
        <v>CapMan OyjCALLABLEFIXEDEURSr Unsecured</v>
      </c>
    </row>
    <row r="121">
      <c r="A121" s="8">
        <v>120.0</v>
      </c>
      <c r="B121" s="8" t="s">
        <v>1487</v>
      </c>
      <c r="C121" s="8" t="s">
        <v>1490</v>
      </c>
      <c r="D121" s="8" t="s">
        <v>174</v>
      </c>
      <c r="E121" s="8">
        <f>VLOOKUP(G121,'CBs RAW'!$E$2:$H$427,4)</f>
        <v>0.29</v>
      </c>
      <c r="F121" s="8" t="s">
        <v>185</v>
      </c>
      <c r="G121" s="8" t="s">
        <v>2251</v>
      </c>
      <c r="H121" s="8" t="s">
        <v>2252</v>
      </c>
      <c r="I121" s="8" t="s">
        <v>2253</v>
      </c>
      <c r="J121" s="8" t="s">
        <v>117</v>
      </c>
      <c r="K121" s="8" t="s">
        <v>676</v>
      </c>
      <c r="L121" s="7">
        <v>5.0E8</v>
      </c>
      <c r="M121" s="8" t="s">
        <v>52</v>
      </c>
      <c r="N121" s="8" t="s">
        <v>1771</v>
      </c>
      <c r="O121" s="8" t="s">
        <v>185</v>
      </c>
      <c r="P121" s="32">
        <v>42900.0</v>
      </c>
      <c r="Q121" s="7">
        <f>VLOOKUP(G121,'CBs RAW'!$E$2:$P$427,12)</f>
        <v>0</v>
      </c>
      <c r="R121" s="32">
        <v>45091.0</v>
      </c>
      <c r="S121" s="8" t="s">
        <v>1490</v>
      </c>
      <c r="T121" s="8" t="s">
        <v>54</v>
      </c>
      <c r="U121" s="8" t="s">
        <v>189</v>
      </c>
      <c r="V121" s="8" t="s">
        <v>263</v>
      </c>
      <c r="W121" s="8" t="s">
        <v>2254</v>
      </c>
      <c r="X121" s="33">
        <f>VLOOKUP(G121,'CBs RAW'!$E$2:$W$427,19)</f>
        <v>0.2</v>
      </c>
      <c r="Y121" s="34">
        <f t="shared" si="1"/>
        <v>0.2</v>
      </c>
      <c r="Z121" s="4" t="str">
        <f t="shared" si="2"/>
        <v>Carrefour SACONVERTIBLEZERO COUPONUSDSr Unsecured</v>
      </c>
    </row>
    <row r="122">
      <c r="A122" s="8">
        <v>121.0</v>
      </c>
      <c r="B122" s="8" t="s">
        <v>1487</v>
      </c>
      <c r="C122" s="8" t="s">
        <v>1490</v>
      </c>
      <c r="D122" s="8" t="s">
        <v>174</v>
      </c>
      <c r="E122" s="8" t="str">
        <f>VLOOKUP(G122,'CBs RAW'!$E$2:$H$427,4)</f>
        <v>#N/A N/A</v>
      </c>
      <c r="F122" s="8" t="s">
        <v>185</v>
      </c>
      <c r="G122" s="8" t="s">
        <v>2255</v>
      </c>
      <c r="H122" s="8" t="s">
        <v>2256</v>
      </c>
      <c r="I122" s="8" t="s">
        <v>2257</v>
      </c>
      <c r="J122" s="8" t="s">
        <v>117</v>
      </c>
      <c r="K122" s="8" t="s">
        <v>676</v>
      </c>
      <c r="L122" s="7">
        <v>5.0E8</v>
      </c>
      <c r="M122" s="8" t="s">
        <v>52</v>
      </c>
      <c r="N122" s="8" t="s">
        <v>2258</v>
      </c>
      <c r="O122" s="8" t="s">
        <v>185</v>
      </c>
      <c r="P122" s="32">
        <v>43186.0</v>
      </c>
      <c r="Q122" s="7">
        <f>VLOOKUP(G122,'CBs RAW'!$E$2:$P$427,12)</f>
        <v>0</v>
      </c>
      <c r="R122" s="32">
        <v>45378.0</v>
      </c>
      <c r="S122" s="8" t="s">
        <v>174</v>
      </c>
      <c r="T122" s="8" t="s">
        <v>54</v>
      </c>
      <c r="U122" s="8" t="s">
        <v>189</v>
      </c>
      <c r="V122" s="8" t="s">
        <v>263</v>
      </c>
      <c r="W122" s="8" t="s">
        <v>2259</v>
      </c>
      <c r="X122" s="33" t="str">
        <f>VLOOKUP(G122,'CBs RAW'!$E$2:$W$427,19)</f>
        <v>#N/A N/A</v>
      </c>
      <c r="Y122" s="4" t="str">
        <f t="shared" si="1"/>
        <v>#N/A N/A</v>
      </c>
      <c r="Z122" s="4" t="str">
        <f t="shared" si="2"/>
        <v>Carrefour SACONVERTIBLEZERO COUPONUSDSr Unsecured</v>
      </c>
    </row>
    <row r="123">
      <c r="A123" s="8">
        <v>122.0</v>
      </c>
      <c r="B123" s="8" t="s">
        <v>1487</v>
      </c>
      <c r="C123" s="8" t="s">
        <v>1490</v>
      </c>
      <c r="D123" s="8" t="s">
        <v>57</v>
      </c>
      <c r="E123" s="8" t="str">
        <f>VLOOKUP(G123,'CBs RAW'!$E$2:$H$427,4)</f>
        <v>#N/A N/A</v>
      </c>
      <c r="F123" s="8" t="s">
        <v>185</v>
      </c>
      <c r="G123" s="8" t="s">
        <v>2260</v>
      </c>
      <c r="H123" s="8" t="s">
        <v>2261</v>
      </c>
      <c r="I123" s="8" t="s">
        <v>2262</v>
      </c>
      <c r="J123" s="8" t="s">
        <v>117</v>
      </c>
      <c r="K123" s="8" t="s">
        <v>56</v>
      </c>
      <c r="L123" s="7">
        <v>5.8868E8</v>
      </c>
      <c r="M123" s="8" t="s">
        <v>52</v>
      </c>
      <c r="N123" s="8" t="s">
        <v>1771</v>
      </c>
      <c r="O123" s="8" t="s">
        <v>185</v>
      </c>
      <c r="P123" s="32">
        <v>43263.0</v>
      </c>
      <c r="Q123" s="7">
        <f>VLOOKUP(G123,'CBs RAW'!$E$2:$P$427,12)</f>
        <v>0.875</v>
      </c>
      <c r="R123" s="32">
        <v>45089.0</v>
      </c>
      <c r="S123" s="8" t="s">
        <v>226</v>
      </c>
      <c r="T123" s="8" t="s">
        <v>190</v>
      </c>
      <c r="U123" s="8" t="s">
        <v>115</v>
      </c>
      <c r="V123" s="8" t="s">
        <v>53</v>
      </c>
      <c r="W123" s="8" t="s">
        <v>2263</v>
      </c>
      <c r="X123" s="33">
        <f>VLOOKUP(G123,'CBs RAW'!$E$2:$W$427,19)</f>
        <v>0.954</v>
      </c>
      <c r="Y123" s="34">
        <f t="shared" si="1"/>
        <v>0.954</v>
      </c>
      <c r="Z123" s="4" t="str">
        <f t="shared" si="2"/>
        <v>Carrefour SACALLABLEFIXEDEURSr Unsecured</v>
      </c>
    </row>
    <row r="124">
      <c r="A124" s="8">
        <v>123.0</v>
      </c>
      <c r="B124" s="8" t="s">
        <v>1487</v>
      </c>
      <c r="C124" s="8" t="s">
        <v>1490</v>
      </c>
      <c r="D124" s="8" t="s">
        <v>57</v>
      </c>
      <c r="E124" s="8" t="str">
        <f>VLOOKUP(G124,'CBs RAW'!$E$2:$H$427,4)</f>
        <v>#N/A N/A</v>
      </c>
      <c r="F124" s="8" t="s">
        <v>185</v>
      </c>
      <c r="G124" s="8" t="s">
        <v>2264</v>
      </c>
      <c r="H124" s="8" t="s">
        <v>2265</v>
      </c>
      <c r="I124" s="8" t="s">
        <v>2266</v>
      </c>
      <c r="J124" s="8" t="s">
        <v>117</v>
      </c>
      <c r="K124" s="8" t="s">
        <v>56</v>
      </c>
      <c r="L124" s="7">
        <v>5.6714E8</v>
      </c>
      <c r="M124" s="8" t="s">
        <v>52</v>
      </c>
      <c r="N124" s="8" t="s">
        <v>1771</v>
      </c>
      <c r="O124" s="8" t="s">
        <v>185</v>
      </c>
      <c r="P124" s="32">
        <v>43438.0</v>
      </c>
      <c r="Q124" s="7">
        <f>VLOOKUP(G124,'CBs RAW'!$E$2:$P$427,12)</f>
        <v>1.75</v>
      </c>
      <c r="R124" s="32">
        <v>46146.0</v>
      </c>
      <c r="S124" s="8" t="s">
        <v>226</v>
      </c>
      <c r="T124" s="8" t="s">
        <v>190</v>
      </c>
      <c r="U124" s="8" t="s">
        <v>115</v>
      </c>
      <c r="V124" s="8" t="s">
        <v>53</v>
      </c>
      <c r="W124" s="8" t="s">
        <v>2267</v>
      </c>
      <c r="X124" s="33">
        <f>VLOOKUP(G124,'CBs RAW'!$E$2:$W$427,19)</f>
        <v>1.74</v>
      </c>
      <c r="Y124" s="34">
        <f t="shared" si="1"/>
        <v>1.74</v>
      </c>
      <c r="Z124" s="4" t="str">
        <f t="shared" si="2"/>
        <v>Carrefour SACALLABLEFIXEDEURSr Unsecured</v>
      </c>
    </row>
    <row r="125">
      <c r="A125" s="8">
        <v>124.0</v>
      </c>
      <c r="B125" s="8" t="s">
        <v>1487</v>
      </c>
      <c r="C125" s="8" t="s">
        <v>1490</v>
      </c>
      <c r="D125" s="8" t="s">
        <v>57</v>
      </c>
      <c r="E125" s="8" t="str">
        <f>VLOOKUP(G125,'CBs RAW'!$E$2:$H$427,4)</f>
        <v>#N/A N/A</v>
      </c>
      <c r="F125" s="8" t="s">
        <v>185</v>
      </c>
      <c r="G125" s="8" t="s">
        <v>2268</v>
      </c>
      <c r="H125" s="8" t="s">
        <v>2269</v>
      </c>
      <c r="I125" s="8" t="s">
        <v>2270</v>
      </c>
      <c r="J125" s="8" t="s">
        <v>117</v>
      </c>
      <c r="K125" s="8" t="s">
        <v>56</v>
      </c>
      <c r="L125" s="7">
        <v>1.09253E9</v>
      </c>
      <c r="M125" s="8" t="s">
        <v>52</v>
      </c>
      <c r="N125" s="8" t="s">
        <v>1771</v>
      </c>
      <c r="O125" s="8" t="s">
        <v>185</v>
      </c>
      <c r="P125" s="32">
        <v>43922.0</v>
      </c>
      <c r="Q125" s="7">
        <f>VLOOKUP(G125,'CBs RAW'!$E$2:$P$427,12)</f>
        <v>2.625</v>
      </c>
      <c r="R125" s="32">
        <v>46736.0</v>
      </c>
      <c r="S125" s="8" t="s">
        <v>2135</v>
      </c>
      <c r="T125" s="8" t="s">
        <v>190</v>
      </c>
      <c r="U125" s="8" t="s">
        <v>115</v>
      </c>
      <c r="V125" s="8" t="s">
        <v>53</v>
      </c>
      <c r="W125" s="8" t="s">
        <v>2271</v>
      </c>
      <c r="X125" s="33">
        <f>VLOOKUP(G125,'CBs RAW'!$E$2:$W$427,19)</f>
        <v>2.139</v>
      </c>
      <c r="Y125" s="34">
        <f t="shared" si="1"/>
        <v>2.139</v>
      </c>
      <c r="Z125" s="4" t="str">
        <f t="shared" si="2"/>
        <v>Carrefour SACALLABLEFIXEDEURSr Unsecured</v>
      </c>
    </row>
    <row r="126">
      <c r="A126" s="8">
        <v>125.0</v>
      </c>
      <c r="B126" s="8" t="s">
        <v>1487</v>
      </c>
      <c r="C126" s="8" t="s">
        <v>1490</v>
      </c>
      <c r="D126" s="8" t="s">
        <v>57</v>
      </c>
      <c r="E126" s="8">
        <f>VLOOKUP(G126,'CBs RAW'!$E$2:$H$427,4)</f>
        <v>1.846</v>
      </c>
      <c r="F126" s="8" t="s">
        <v>185</v>
      </c>
      <c r="G126" s="8" t="s">
        <v>2272</v>
      </c>
      <c r="H126" s="8" t="s">
        <v>2273</v>
      </c>
      <c r="I126" s="8" t="s">
        <v>2274</v>
      </c>
      <c r="J126" s="8" t="s">
        <v>117</v>
      </c>
      <c r="K126" s="8" t="s">
        <v>56</v>
      </c>
      <c r="L126" s="7">
        <v>1.35676E9</v>
      </c>
      <c r="M126" s="8" t="s">
        <v>52</v>
      </c>
      <c r="N126" s="8" t="s">
        <v>1771</v>
      </c>
      <c r="O126" s="8" t="s">
        <v>185</v>
      </c>
      <c r="P126" s="32">
        <v>41835.0</v>
      </c>
      <c r="Q126" s="7">
        <f>VLOOKUP(G126,'CBs RAW'!$E$2:$P$427,12)</f>
        <v>1.75</v>
      </c>
      <c r="R126" s="32">
        <v>44757.0</v>
      </c>
      <c r="S126" s="8" t="s">
        <v>226</v>
      </c>
      <c r="T126" s="8" t="s">
        <v>190</v>
      </c>
      <c r="U126" s="8" t="s">
        <v>115</v>
      </c>
      <c r="V126" s="8" t="s">
        <v>53</v>
      </c>
      <c r="W126" s="8" t="s">
        <v>2275</v>
      </c>
      <c r="X126" s="33" t="str">
        <f>VLOOKUP(G126,'CBs RAW'!$E$2:$W$427,19)</f>
        <v>#N/A N/A</v>
      </c>
      <c r="Y126" s="4">
        <f t="shared" si="1"/>
        <v>1.846</v>
      </c>
      <c r="Z126" s="4" t="str">
        <f t="shared" si="2"/>
        <v>Carrefour SACALLABLEFIXEDEURSr Unsecured</v>
      </c>
    </row>
    <row r="127">
      <c r="A127" s="8">
        <v>126.0</v>
      </c>
      <c r="B127" s="8" t="s">
        <v>1487</v>
      </c>
      <c r="C127" s="8" t="s">
        <v>1490</v>
      </c>
      <c r="D127" s="8" t="s">
        <v>57</v>
      </c>
      <c r="E127" s="8">
        <f>VLOOKUP(G127,'CBs RAW'!$E$2:$H$427,4)</f>
        <v>1.305</v>
      </c>
      <c r="F127" s="8" t="s">
        <v>185</v>
      </c>
      <c r="G127" s="8" t="s">
        <v>2276</v>
      </c>
      <c r="H127" s="8" t="s">
        <v>2277</v>
      </c>
      <c r="I127" s="8" t="s">
        <v>2278</v>
      </c>
      <c r="J127" s="8" t="s">
        <v>117</v>
      </c>
      <c r="K127" s="8" t="s">
        <v>56</v>
      </c>
      <c r="L127" s="7">
        <v>8.603475E8</v>
      </c>
      <c r="M127" s="8" t="s">
        <v>52</v>
      </c>
      <c r="N127" s="8" t="s">
        <v>1771</v>
      </c>
      <c r="O127" s="8" t="s">
        <v>185</v>
      </c>
      <c r="P127" s="32">
        <v>42038.0</v>
      </c>
      <c r="Q127" s="7">
        <f>VLOOKUP(G127,'CBs RAW'!$E$2:$P$427,12)</f>
        <v>1.25</v>
      </c>
      <c r="R127" s="32">
        <v>45811.0</v>
      </c>
      <c r="S127" s="8" t="s">
        <v>226</v>
      </c>
      <c r="T127" s="8" t="s">
        <v>190</v>
      </c>
      <c r="U127" s="8" t="s">
        <v>115</v>
      </c>
      <c r="V127" s="8" t="s">
        <v>53</v>
      </c>
      <c r="W127" s="8" t="s">
        <v>2279</v>
      </c>
      <c r="X127" s="33">
        <f>VLOOKUP(G127,'CBs RAW'!$E$2:$W$427,19)</f>
        <v>1.196</v>
      </c>
      <c r="Y127" s="34">
        <f t="shared" si="1"/>
        <v>1.196</v>
      </c>
      <c r="Z127" s="4" t="str">
        <f t="shared" si="2"/>
        <v>Carrefour SACALLABLEFIXEDEURSr Unsecured</v>
      </c>
    </row>
    <row r="128">
      <c r="A128" s="8">
        <v>127.0</v>
      </c>
      <c r="B128" s="8" t="s">
        <v>1487</v>
      </c>
      <c r="C128" s="8" t="s">
        <v>1490</v>
      </c>
      <c r="D128" s="8" t="s">
        <v>57</v>
      </c>
      <c r="E128" s="8" t="str">
        <f>VLOOKUP(G128,'CBs RAW'!$E$2:$H$427,4)</f>
        <v>#N/A N/A</v>
      </c>
      <c r="F128" s="8" t="s">
        <v>185</v>
      </c>
      <c r="G128" s="8" t="s">
        <v>2280</v>
      </c>
      <c r="H128" s="8" t="s">
        <v>2281</v>
      </c>
      <c r="I128" s="8" t="s">
        <v>2282</v>
      </c>
      <c r="J128" s="8" t="s">
        <v>117</v>
      </c>
      <c r="K128" s="8" t="s">
        <v>56</v>
      </c>
      <c r="L128" s="7">
        <v>8.471325E8</v>
      </c>
      <c r="M128" s="8" t="s">
        <v>52</v>
      </c>
      <c r="N128" s="8" t="s">
        <v>1771</v>
      </c>
      <c r="O128" s="8" t="s">
        <v>185</v>
      </c>
      <c r="P128" s="32">
        <v>42486.0</v>
      </c>
      <c r="Q128" s="7">
        <f>VLOOKUP(G128,'CBs RAW'!$E$2:$P$427,12)</f>
        <v>0.75</v>
      </c>
      <c r="R128" s="32">
        <v>45408.0</v>
      </c>
      <c r="S128" s="8" t="s">
        <v>226</v>
      </c>
      <c r="T128" s="8" t="s">
        <v>190</v>
      </c>
      <c r="U128" s="8" t="s">
        <v>115</v>
      </c>
      <c r="V128" s="8" t="s">
        <v>53</v>
      </c>
      <c r="W128" s="8" t="s">
        <v>2283</v>
      </c>
      <c r="X128" s="33">
        <f>VLOOKUP(G128,'CBs RAW'!$E$2:$W$427,19)</f>
        <v>0.911</v>
      </c>
      <c r="Y128" s="34">
        <f t="shared" si="1"/>
        <v>0.911</v>
      </c>
      <c r="Z128" s="4" t="str">
        <f t="shared" si="2"/>
        <v>Carrefour SACALLABLEFIXEDEURSr Unsecured</v>
      </c>
    </row>
    <row r="129">
      <c r="A129" s="8">
        <v>128.0</v>
      </c>
      <c r="B129" s="8" t="s">
        <v>1487</v>
      </c>
      <c r="C129" s="8" t="s">
        <v>1490</v>
      </c>
      <c r="D129" s="8" t="s">
        <v>57</v>
      </c>
      <c r="E129" s="8" t="str">
        <f>VLOOKUP(G129,'CBs RAW'!$E$2:$H$427,4)</f>
        <v>#N/A N/A</v>
      </c>
      <c r="F129" s="8" t="s">
        <v>185</v>
      </c>
      <c r="G129" s="8" t="s">
        <v>2284</v>
      </c>
      <c r="H129" s="8" t="s">
        <v>2285</v>
      </c>
      <c r="I129" s="8" t="s">
        <v>2286</v>
      </c>
      <c r="J129" s="8" t="s">
        <v>117</v>
      </c>
      <c r="K129" s="8" t="s">
        <v>56</v>
      </c>
      <c r="L129" s="7">
        <v>5.6032E8</v>
      </c>
      <c r="M129" s="8" t="s">
        <v>52</v>
      </c>
      <c r="N129" s="8" t="s">
        <v>1771</v>
      </c>
      <c r="O129" s="8" t="s">
        <v>185</v>
      </c>
      <c r="P129" s="32">
        <v>43600.0</v>
      </c>
      <c r="Q129" s="7">
        <f>VLOOKUP(G129,'CBs RAW'!$E$2:$P$427,12)</f>
        <v>1</v>
      </c>
      <c r="R129" s="32">
        <v>46524.0</v>
      </c>
      <c r="S129" s="8" t="s">
        <v>226</v>
      </c>
      <c r="T129" s="8" t="s">
        <v>190</v>
      </c>
      <c r="U129" s="8" t="s">
        <v>115</v>
      </c>
      <c r="V129" s="8" t="s">
        <v>53</v>
      </c>
      <c r="W129" s="8" t="s">
        <v>2287</v>
      </c>
      <c r="X129" s="33">
        <f>VLOOKUP(G129,'CBs RAW'!$E$2:$W$427,19)</f>
        <v>1.032</v>
      </c>
      <c r="Y129" s="34">
        <f t="shared" si="1"/>
        <v>1.032</v>
      </c>
      <c r="Z129" s="4" t="str">
        <f t="shared" si="2"/>
        <v>Carrefour SACALLABLEFIXEDEURSr Unsecured</v>
      </c>
    </row>
    <row r="130">
      <c r="A130" s="8">
        <v>129.0</v>
      </c>
      <c r="B130" s="8" t="s">
        <v>245</v>
      </c>
      <c r="C130" s="8" t="s">
        <v>248</v>
      </c>
      <c r="D130" s="8" t="s">
        <v>57</v>
      </c>
      <c r="E130" s="8" t="str">
        <f>VLOOKUP(G130,'CBs RAW'!$E$2:$H$427,4)</f>
        <v>#N/A N/A</v>
      </c>
      <c r="F130" s="8" t="s">
        <v>185</v>
      </c>
      <c r="G130" s="8" t="s">
        <v>2288</v>
      </c>
      <c r="H130" s="8" t="s">
        <v>2289</v>
      </c>
      <c r="I130" s="8" t="s">
        <v>2290</v>
      </c>
      <c r="J130" s="8" t="s">
        <v>55</v>
      </c>
      <c r="K130" s="8" t="s">
        <v>56</v>
      </c>
      <c r="L130" s="7">
        <v>4.50592E7</v>
      </c>
      <c r="M130" s="8" t="s">
        <v>52</v>
      </c>
      <c r="N130" s="8" t="s">
        <v>174</v>
      </c>
      <c r="O130" s="8" t="s">
        <v>185</v>
      </c>
      <c r="P130" s="32">
        <v>42893.0</v>
      </c>
      <c r="Q130" s="7">
        <f>VLOOKUP(G130,'CBs RAW'!$E$2:$P$427,12)</f>
        <v>3.16</v>
      </c>
      <c r="R130" s="32">
        <v>45815.0</v>
      </c>
      <c r="S130" s="8" t="s">
        <v>174</v>
      </c>
      <c r="T130" s="8" t="s">
        <v>54</v>
      </c>
      <c r="U130" s="8" t="s">
        <v>49</v>
      </c>
      <c r="V130" s="8" t="s">
        <v>53</v>
      </c>
      <c r="W130" s="8" t="s">
        <v>2291</v>
      </c>
      <c r="X130" s="33" t="str">
        <f>VLOOKUP(G130,'CBs RAW'!$E$2:$W$427,19)</f>
        <v>#N/A N/A</v>
      </c>
      <c r="Y130" s="4" t="str">
        <f t="shared" si="1"/>
        <v>#N/A N/A</v>
      </c>
      <c r="Z130" s="4" t="str">
        <f t="shared" si="2"/>
        <v>Chargeurs SAAT MATURITYFIXEDEURSr Unsecured</v>
      </c>
    </row>
    <row r="131">
      <c r="A131" s="8">
        <v>130.0</v>
      </c>
      <c r="B131" s="8" t="s">
        <v>690</v>
      </c>
      <c r="C131" s="8" t="s">
        <v>693</v>
      </c>
      <c r="D131" s="8" t="s">
        <v>57</v>
      </c>
      <c r="E131" s="8" t="str">
        <f>VLOOKUP(G131,'CBs RAW'!$E$2:$H$427,4)</f>
        <v>#N/A N/A</v>
      </c>
      <c r="F131" s="8" t="s">
        <v>258</v>
      </c>
      <c r="G131" s="8" t="s">
        <v>2292</v>
      </c>
      <c r="H131" s="8" t="s">
        <v>174</v>
      </c>
      <c r="I131" s="8" t="s">
        <v>2293</v>
      </c>
      <c r="J131" s="8" t="s">
        <v>55</v>
      </c>
      <c r="K131" s="8" t="s">
        <v>56</v>
      </c>
      <c r="L131" s="7">
        <v>1.7625E8</v>
      </c>
      <c r="M131" s="8" t="s">
        <v>52</v>
      </c>
      <c r="N131" s="8" t="s">
        <v>174</v>
      </c>
      <c r="O131" s="8" t="s">
        <v>258</v>
      </c>
      <c r="P131" s="32">
        <v>44286.0</v>
      </c>
      <c r="Q131" s="7">
        <f>VLOOKUP(G131,'CBs RAW'!$E$2:$P$427,12)</f>
        <v>0</v>
      </c>
      <c r="R131" s="32">
        <v>45016.0</v>
      </c>
      <c r="S131" s="8" t="s">
        <v>2294</v>
      </c>
      <c r="T131" s="8" t="s">
        <v>54</v>
      </c>
      <c r="U131" s="8" t="s">
        <v>49</v>
      </c>
      <c r="V131" s="8" t="s">
        <v>53</v>
      </c>
      <c r="W131" s="8" t="s">
        <v>2295</v>
      </c>
      <c r="X131" s="33" t="str">
        <f>VLOOKUP(G131,'CBs RAW'!$E$2:$W$427,19)</f>
        <v>#N/A N/A</v>
      </c>
      <c r="Y131" s="4" t="str">
        <f t="shared" si="1"/>
        <v>#N/A N/A</v>
      </c>
      <c r="Z131" s="4" t="str">
        <f t="shared" si="2"/>
        <v>Constantia Flexibles GmbHAT MATURITYFIXEDEURSr Unsecured</v>
      </c>
    </row>
    <row r="132">
      <c r="A132" s="8">
        <v>131.0</v>
      </c>
      <c r="B132" s="8" t="s">
        <v>345</v>
      </c>
      <c r="C132" s="8" t="s">
        <v>348</v>
      </c>
      <c r="D132" s="8" t="s">
        <v>71</v>
      </c>
      <c r="E132" s="8">
        <f>VLOOKUP(G132,'CBs RAW'!$E$2:$H$427,4)</f>
        <v>5.875</v>
      </c>
      <c r="F132" s="8" t="s">
        <v>186</v>
      </c>
      <c r="G132" s="8" t="s">
        <v>2296</v>
      </c>
      <c r="H132" s="8" t="s">
        <v>2297</v>
      </c>
      <c r="I132" s="8" t="s">
        <v>2298</v>
      </c>
      <c r="J132" s="8" t="s">
        <v>55</v>
      </c>
      <c r="K132" s="8" t="s">
        <v>56</v>
      </c>
      <c r="L132" s="7">
        <v>5.0E8</v>
      </c>
      <c r="M132" s="8" t="s">
        <v>52</v>
      </c>
      <c r="N132" s="8" t="s">
        <v>1840</v>
      </c>
      <c r="O132" s="8" t="s">
        <v>185</v>
      </c>
      <c r="P132" s="32">
        <v>43048.0</v>
      </c>
      <c r="Q132" s="7">
        <f>VLOOKUP(G132,'CBs RAW'!$E$2:$P$427,12)</f>
        <v>5.875</v>
      </c>
      <c r="R132" s="32">
        <v>46068.0</v>
      </c>
      <c r="S132" s="8" t="s">
        <v>262</v>
      </c>
      <c r="T132" s="8" t="s">
        <v>351</v>
      </c>
      <c r="U132" s="8" t="s">
        <v>115</v>
      </c>
      <c r="V132" s="8" t="s">
        <v>263</v>
      </c>
      <c r="W132" s="8" t="s">
        <v>2299</v>
      </c>
      <c r="X132" s="33">
        <f>VLOOKUP(G132,'CBs RAW'!$E$2:$W$427,19)</f>
        <v>5.739</v>
      </c>
      <c r="Y132" s="34">
        <f t="shared" si="1"/>
        <v>5.739</v>
      </c>
      <c r="Z132" s="4" t="str">
        <f t="shared" si="2"/>
        <v>Constellium SECALLABLEFIXEDUSDSr Unsecured</v>
      </c>
    </row>
    <row r="133">
      <c r="A133" s="8">
        <v>132.0</v>
      </c>
      <c r="B133" s="8" t="s">
        <v>345</v>
      </c>
      <c r="C133" s="8" t="s">
        <v>348</v>
      </c>
      <c r="D133" s="8" t="s">
        <v>71</v>
      </c>
      <c r="E133" s="8" t="str">
        <f>VLOOKUP(G133,'CBs RAW'!$E$2:$H$427,4)</f>
        <v>#N/A N/A</v>
      </c>
      <c r="F133" s="8" t="s">
        <v>186</v>
      </c>
      <c r="G133" s="8" t="s">
        <v>2300</v>
      </c>
      <c r="H133" s="8" t="s">
        <v>2301</v>
      </c>
      <c r="I133" s="8" t="s">
        <v>2302</v>
      </c>
      <c r="J133" s="8" t="s">
        <v>55</v>
      </c>
      <c r="K133" s="8" t="s">
        <v>56</v>
      </c>
      <c r="L133" s="7">
        <v>4.65612E8</v>
      </c>
      <c r="M133" s="8" t="s">
        <v>52</v>
      </c>
      <c r="N133" s="8" t="s">
        <v>1840</v>
      </c>
      <c r="O133" s="8" t="s">
        <v>185</v>
      </c>
      <c r="P133" s="32">
        <v>43048.0</v>
      </c>
      <c r="Q133" s="7">
        <f>VLOOKUP(G133,'CBs RAW'!$E$2:$P$427,12)</f>
        <v>4.25</v>
      </c>
      <c r="R133" s="32">
        <v>46068.0</v>
      </c>
      <c r="S133" s="8" t="s">
        <v>271</v>
      </c>
      <c r="T133" s="8" t="s">
        <v>351</v>
      </c>
      <c r="U133" s="8" t="s">
        <v>115</v>
      </c>
      <c r="V133" s="8" t="s">
        <v>53</v>
      </c>
      <c r="W133" s="8" t="s">
        <v>2303</v>
      </c>
      <c r="X133" s="33">
        <f>VLOOKUP(G133,'CBs RAW'!$E$2:$W$427,19)</f>
        <v>4.172</v>
      </c>
      <c r="Y133" s="34">
        <f t="shared" si="1"/>
        <v>4.172</v>
      </c>
      <c r="Z133" s="4" t="str">
        <f t="shared" si="2"/>
        <v>Constellium SECALLABLEFIXEDEURSr Unsecured</v>
      </c>
    </row>
    <row r="134">
      <c r="A134" s="8">
        <v>133.0</v>
      </c>
      <c r="B134" s="8" t="s">
        <v>345</v>
      </c>
      <c r="C134" s="8" t="s">
        <v>348</v>
      </c>
      <c r="D134" s="8" t="s">
        <v>71</v>
      </c>
      <c r="E134" s="8" t="str">
        <f>VLOOKUP(G134,'CBs RAW'!$E$2:$H$427,4)</f>
        <v>#N/A N/A</v>
      </c>
      <c r="F134" s="8" t="s">
        <v>186</v>
      </c>
      <c r="G134" s="8" t="s">
        <v>2304</v>
      </c>
      <c r="H134" s="8" t="s">
        <v>2305</v>
      </c>
      <c r="I134" s="8" t="s">
        <v>2306</v>
      </c>
      <c r="J134" s="8" t="s">
        <v>55</v>
      </c>
      <c r="K134" s="8" t="s">
        <v>56</v>
      </c>
      <c r="L134" s="7">
        <v>4.65612E8</v>
      </c>
      <c r="M134" s="8" t="s">
        <v>52</v>
      </c>
      <c r="N134" s="8" t="s">
        <v>1840</v>
      </c>
      <c r="O134" s="8" t="s">
        <v>185</v>
      </c>
      <c r="P134" s="32">
        <v>43048.0</v>
      </c>
      <c r="Q134" s="7">
        <f>VLOOKUP(G134,'CBs RAW'!$E$2:$P$427,12)</f>
        <v>4.25</v>
      </c>
      <c r="R134" s="32">
        <v>46068.0</v>
      </c>
      <c r="S134" s="8" t="s">
        <v>262</v>
      </c>
      <c r="T134" s="8" t="s">
        <v>351</v>
      </c>
      <c r="U134" s="8" t="s">
        <v>115</v>
      </c>
      <c r="V134" s="8" t="s">
        <v>53</v>
      </c>
      <c r="W134" s="8" t="s">
        <v>2307</v>
      </c>
      <c r="X134" s="33">
        <f>VLOOKUP(G134,'CBs RAW'!$E$2:$W$427,19)</f>
        <v>4.178</v>
      </c>
      <c r="Y134" s="34">
        <f t="shared" si="1"/>
        <v>4.178</v>
      </c>
      <c r="Z134" s="4" t="str">
        <f t="shared" si="2"/>
        <v>Constellium SECALLABLEFIXEDEURSr Unsecured</v>
      </c>
    </row>
    <row r="135">
      <c r="A135" s="8">
        <v>134.0</v>
      </c>
      <c r="B135" s="8" t="s">
        <v>345</v>
      </c>
      <c r="C135" s="8" t="s">
        <v>348</v>
      </c>
      <c r="D135" s="8" t="s">
        <v>71</v>
      </c>
      <c r="E135" s="8">
        <f>VLOOKUP(G135,'CBs RAW'!$E$2:$H$427,4)</f>
        <v>5.875</v>
      </c>
      <c r="F135" s="8" t="s">
        <v>186</v>
      </c>
      <c r="G135" s="8" t="s">
        <v>2308</v>
      </c>
      <c r="H135" s="8" t="s">
        <v>2309</v>
      </c>
      <c r="I135" s="8" t="s">
        <v>2310</v>
      </c>
      <c r="J135" s="8" t="s">
        <v>55</v>
      </c>
      <c r="K135" s="8" t="s">
        <v>56</v>
      </c>
      <c r="L135" s="7">
        <v>5.0E8</v>
      </c>
      <c r="M135" s="8" t="s">
        <v>52</v>
      </c>
      <c r="N135" s="8" t="s">
        <v>1840</v>
      </c>
      <c r="O135" s="8" t="s">
        <v>185</v>
      </c>
      <c r="P135" s="32">
        <v>43048.0</v>
      </c>
      <c r="Q135" s="7">
        <f>VLOOKUP(G135,'CBs RAW'!$E$2:$P$427,12)</f>
        <v>5.875</v>
      </c>
      <c r="R135" s="32">
        <v>46068.0</v>
      </c>
      <c r="S135" s="8" t="s">
        <v>271</v>
      </c>
      <c r="T135" s="8" t="s">
        <v>351</v>
      </c>
      <c r="U135" s="8" t="s">
        <v>115</v>
      </c>
      <c r="V135" s="8" t="s">
        <v>263</v>
      </c>
      <c r="W135" s="8" t="s">
        <v>2311</v>
      </c>
      <c r="X135" s="33">
        <f>VLOOKUP(G135,'CBs RAW'!$E$2:$W$427,19)</f>
        <v>5.677</v>
      </c>
      <c r="Y135" s="34">
        <f t="shared" si="1"/>
        <v>5.677</v>
      </c>
      <c r="Z135" s="4" t="str">
        <f t="shared" si="2"/>
        <v>Constellium SECALLABLEFIXEDUSDSr Unsecured</v>
      </c>
    </row>
    <row r="136">
      <c r="A136" s="8">
        <v>135.0</v>
      </c>
      <c r="B136" s="8" t="s">
        <v>345</v>
      </c>
      <c r="C136" s="8" t="s">
        <v>348</v>
      </c>
      <c r="D136" s="8" t="s">
        <v>71</v>
      </c>
      <c r="E136" s="8">
        <f>VLOOKUP(G136,'CBs RAW'!$E$2:$H$427,4)</f>
        <v>5.625</v>
      </c>
      <c r="F136" s="8" t="s">
        <v>186</v>
      </c>
      <c r="G136" s="8" t="s">
        <v>2312</v>
      </c>
      <c r="H136" s="8" t="s">
        <v>2313</v>
      </c>
      <c r="I136" s="8" t="s">
        <v>2314</v>
      </c>
      <c r="J136" s="8" t="s">
        <v>55</v>
      </c>
      <c r="K136" s="8" t="s">
        <v>56</v>
      </c>
      <c r="L136" s="7">
        <v>3.25E8</v>
      </c>
      <c r="M136" s="8" t="s">
        <v>52</v>
      </c>
      <c r="N136" s="8" t="s">
        <v>1776</v>
      </c>
      <c r="O136" s="8" t="s">
        <v>185</v>
      </c>
      <c r="P136" s="32">
        <v>44012.0</v>
      </c>
      <c r="Q136" s="7">
        <f>VLOOKUP(G136,'CBs RAW'!$E$2:$P$427,12)</f>
        <v>5.625</v>
      </c>
      <c r="R136" s="32">
        <v>46919.0</v>
      </c>
      <c r="S136" s="8" t="s">
        <v>262</v>
      </c>
      <c r="T136" s="8" t="s">
        <v>351</v>
      </c>
      <c r="U136" s="8" t="s">
        <v>115</v>
      </c>
      <c r="V136" s="8" t="s">
        <v>263</v>
      </c>
      <c r="W136" s="8" t="s">
        <v>2315</v>
      </c>
      <c r="X136" s="33">
        <f>VLOOKUP(G136,'CBs RAW'!$E$2:$W$427,19)</f>
        <v>5.702</v>
      </c>
      <c r="Y136" s="34">
        <f t="shared" si="1"/>
        <v>5.702</v>
      </c>
      <c r="Z136" s="4" t="str">
        <f t="shared" si="2"/>
        <v>Constellium SECALLABLEFIXEDUSDSr Unsecured</v>
      </c>
    </row>
    <row r="137">
      <c r="A137" s="8">
        <v>136.0</v>
      </c>
      <c r="B137" s="8" t="s">
        <v>345</v>
      </c>
      <c r="C137" s="8" t="s">
        <v>348</v>
      </c>
      <c r="D137" s="8" t="s">
        <v>71</v>
      </c>
      <c r="E137" s="8">
        <f>VLOOKUP(G137,'CBs RAW'!$E$2:$H$427,4)</f>
        <v>5.625</v>
      </c>
      <c r="F137" s="8" t="s">
        <v>186</v>
      </c>
      <c r="G137" s="8" t="s">
        <v>2316</v>
      </c>
      <c r="H137" s="8" t="s">
        <v>2317</v>
      </c>
      <c r="I137" s="8" t="s">
        <v>2318</v>
      </c>
      <c r="J137" s="8" t="s">
        <v>55</v>
      </c>
      <c r="K137" s="8" t="s">
        <v>56</v>
      </c>
      <c r="L137" s="7">
        <v>3.25E8</v>
      </c>
      <c r="M137" s="8" t="s">
        <v>52</v>
      </c>
      <c r="N137" s="8" t="s">
        <v>1776</v>
      </c>
      <c r="O137" s="8" t="s">
        <v>185</v>
      </c>
      <c r="P137" s="32">
        <v>44012.0</v>
      </c>
      <c r="Q137" s="7">
        <f>VLOOKUP(G137,'CBs RAW'!$E$2:$P$427,12)</f>
        <v>5.625</v>
      </c>
      <c r="R137" s="32">
        <v>46919.0</v>
      </c>
      <c r="S137" s="8" t="s">
        <v>271</v>
      </c>
      <c r="T137" s="8" t="s">
        <v>351</v>
      </c>
      <c r="U137" s="8" t="s">
        <v>115</v>
      </c>
      <c r="V137" s="8" t="s">
        <v>263</v>
      </c>
      <c r="W137" s="8" t="s">
        <v>2319</v>
      </c>
      <c r="X137" s="33">
        <f>VLOOKUP(G137,'CBs RAW'!$E$2:$W$427,19)</f>
        <v>5.652</v>
      </c>
      <c r="Y137" s="34">
        <f t="shared" si="1"/>
        <v>5.652</v>
      </c>
      <c r="Z137" s="4" t="str">
        <f t="shared" si="2"/>
        <v>Constellium SECALLABLEFIXEDUSDSr Unsecured</v>
      </c>
    </row>
    <row r="138">
      <c r="A138" s="8">
        <v>137.0</v>
      </c>
      <c r="B138" s="8" t="s">
        <v>1336</v>
      </c>
      <c r="C138" s="8" t="s">
        <v>1339</v>
      </c>
      <c r="D138" s="8" t="s">
        <v>57</v>
      </c>
      <c r="E138" s="8" t="str">
        <f>VLOOKUP(G138,'CBs RAW'!$E$2:$H$427,4)</f>
        <v>#N/A N/A</v>
      </c>
      <c r="F138" s="8" t="s">
        <v>1340</v>
      </c>
      <c r="G138" s="8" t="s">
        <v>2320</v>
      </c>
      <c r="H138" s="8" t="s">
        <v>2321</v>
      </c>
      <c r="I138" s="8" t="s">
        <v>2322</v>
      </c>
      <c r="J138" s="8" t="s">
        <v>55</v>
      </c>
      <c r="K138" s="8" t="s">
        <v>56</v>
      </c>
      <c r="L138" s="7">
        <v>1.6498185E8</v>
      </c>
      <c r="M138" s="8" t="s">
        <v>52</v>
      </c>
      <c r="N138" s="8" t="s">
        <v>174</v>
      </c>
      <c r="O138" s="8" t="s">
        <v>170</v>
      </c>
      <c r="P138" s="32">
        <v>43398.0</v>
      </c>
      <c r="Q138" s="7">
        <f>VLOOKUP(G138,'CBs RAW'!$E$2:$P$427,12)</f>
        <v>1.63</v>
      </c>
      <c r="R138" s="32">
        <v>45224.0</v>
      </c>
      <c r="S138" s="8" t="s">
        <v>226</v>
      </c>
      <c r="T138" s="8" t="s">
        <v>175</v>
      </c>
      <c r="U138" s="8" t="s">
        <v>115</v>
      </c>
      <c r="V138" s="8" t="s">
        <v>1807</v>
      </c>
      <c r="W138" s="8" t="s">
        <v>2323</v>
      </c>
      <c r="X138" s="33">
        <f>VLOOKUP(G138,'CBs RAW'!$E$2:$W$427,19)</f>
        <v>1.588</v>
      </c>
      <c r="Y138" s="34">
        <f t="shared" si="1"/>
        <v>1.588</v>
      </c>
      <c r="Z138" s="4" t="str">
        <f t="shared" si="2"/>
        <v>CPI Property Group SACALLABLEFIXEDCHFSr Unsecured</v>
      </c>
    </row>
    <row r="139">
      <c r="A139" s="8">
        <v>138.0</v>
      </c>
      <c r="B139" s="8" t="s">
        <v>1336</v>
      </c>
      <c r="C139" s="8" t="s">
        <v>1339</v>
      </c>
      <c r="D139" s="8" t="s">
        <v>71</v>
      </c>
      <c r="E139" s="8">
        <f>VLOOKUP(G139,'CBs RAW'!$E$2:$H$427,4)</f>
        <v>1.995</v>
      </c>
      <c r="F139" s="8" t="s">
        <v>1340</v>
      </c>
      <c r="G139" s="8" t="s">
        <v>2324</v>
      </c>
      <c r="H139" s="8" t="s">
        <v>2325</v>
      </c>
      <c r="I139" s="8" t="s">
        <v>2326</v>
      </c>
      <c r="J139" s="8" t="s">
        <v>55</v>
      </c>
      <c r="K139" s="8" t="s">
        <v>56</v>
      </c>
      <c r="L139" s="7">
        <v>2.651991E7</v>
      </c>
      <c r="M139" s="8" t="s">
        <v>52</v>
      </c>
      <c r="N139" s="8" t="s">
        <v>1776</v>
      </c>
      <c r="O139" s="8" t="s">
        <v>170</v>
      </c>
      <c r="P139" s="32">
        <v>43444.0</v>
      </c>
      <c r="Q139" s="7">
        <f>VLOOKUP(G139,'CBs RAW'!$E$2:$P$427,12)</f>
        <v>1.995</v>
      </c>
      <c r="R139" s="32">
        <v>47095.0</v>
      </c>
      <c r="S139" s="8" t="s">
        <v>226</v>
      </c>
      <c r="T139" s="8" t="s">
        <v>175</v>
      </c>
      <c r="U139" s="8" t="s">
        <v>49</v>
      </c>
      <c r="V139" s="8" t="s">
        <v>976</v>
      </c>
      <c r="W139" s="8" t="s">
        <v>2327</v>
      </c>
      <c r="X139" s="33">
        <f>VLOOKUP(G139,'CBs RAW'!$E$2:$W$427,19)</f>
        <v>1.959</v>
      </c>
      <c r="Y139" s="34">
        <f t="shared" si="1"/>
        <v>1.959</v>
      </c>
      <c r="Z139" s="4" t="str">
        <f t="shared" si="2"/>
        <v>CPI Property Group SAAT MATURITYFIXEDJPYSr Unsecured</v>
      </c>
    </row>
    <row r="140">
      <c r="A140" s="8">
        <v>139.0</v>
      </c>
      <c r="B140" s="8" t="s">
        <v>1336</v>
      </c>
      <c r="C140" s="8" t="s">
        <v>1339</v>
      </c>
      <c r="D140" s="8" t="s">
        <v>57</v>
      </c>
      <c r="E140" s="8">
        <f>VLOOKUP(G140,'CBs RAW'!$E$2:$H$427,4)</f>
        <v>4.51</v>
      </c>
      <c r="F140" s="8" t="s">
        <v>1340</v>
      </c>
      <c r="G140" s="8" t="s">
        <v>2328</v>
      </c>
      <c r="H140" s="8" t="s">
        <v>2329</v>
      </c>
      <c r="I140" s="8" t="s">
        <v>2330</v>
      </c>
      <c r="J140" s="8" t="s">
        <v>55</v>
      </c>
      <c r="K140" s="8" t="s">
        <v>56</v>
      </c>
      <c r="L140" s="7">
        <v>5.73354E7</v>
      </c>
      <c r="M140" s="8" t="s">
        <v>52</v>
      </c>
      <c r="N140" s="8" t="s">
        <v>174</v>
      </c>
      <c r="O140" s="8" t="s">
        <v>170</v>
      </c>
      <c r="P140" s="32">
        <v>43508.0</v>
      </c>
      <c r="Q140" s="7">
        <f>VLOOKUP(G140,'CBs RAW'!$E$2:$P$427,12)</f>
        <v>4.51</v>
      </c>
      <c r="R140" s="32">
        <v>45334.0</v>
      </c>
      <c r="S140" s="8" t="s">
        <v>226</v>
      </c>
      <c r="T140" s="8" t="s">
        <v>175</v>
      </c>
      <c r="U140" s="8" t="s">
        <v>49</v>
      </c>
      <c r="V140" s="8" t="s">
        <v>2331</v>
      </c>
      <c r="W140" s="8" t="s">
        <v>2332</v>
      </c>
      <c r="X140" s="33" t="str">
        <f>VLOOKUP(G140,'CBs RAW'!$E$2:$W$427,19)</f>
        <v>#N/A N/A</v>
      </c>
      <c r="Y140" s="4">
        <f t="shared" si="1"/>
        <v>4.51</v>
      </c>
      <c r="Z140" s="4" t="str">
        <f t="shared" si="2"/>
        <v>CPI Property Group SAAT MATURITYFIXEDHKDSr Unsecured</v>
      </c>
    </row>
    <row r="141">
      <c r="A141" s="8">
        <v>140.0</v>
      </c>
      <c r="B141" s="8" t="s">
        <v>1336</v>
      </c>
      <c r="C141" s="8" t="s">
        <v>1339</v>
      </c>
      <c r="D141" s="8" t="s">
        <v>57</v>
      </c>
      <c r="E141" s="8" t="str">
        <f>VLOOKUP(G141,'CBs RAW'!$E$2:$H$427,4)</f>
        <v>#N/A N/A</v>
      </c>
      <c r="F141" s="8" t="s">
        <v>1340</v>
      </c>
      <c r="G141" s="8" t="s">
        <v>2333</v>
      </c>
      <c r="H141" s="8" t="s">
        <v>174</v>
      </c>
      <c r="I141" s="8" t="s">
        <v>2334</v>
      </c>
      <c r="J141" s="8" t="s">
        <v>55</v>
      </c>
      <c r="K141" s="8" t="s">
        <v>56</v>
      </c>
      <c r="L141" s="7">
        <v>1.929993E8</v>
      </c>
      <c r="M141" s="8" t="s">
        <v>52</v>
      </c>
      <c r="N141" s="8" t="s">
        <v>1776</v>
      </c>
      <c r="O141" s="8" t="s">
        <v>170</v>
      </c>
      <c r="P141" s="32">
        <v>43545.0</v>
      </c>
      <c r="Q141" s="7">
        <f>VLOOKUP(G141,'CBs RAW'!$E$2:$P$427,12)</f>
        <v>2.696</v>
      </c>
      <c r="R141" s="32">
        <v>46467.0</v>
      </c>
      <c r="S141" s="8" t="s">
        <v>1036</v>
      </c>
      <c r="T141" s="8" t="s">
        <v>54</v>
      </c>
      <c r="U141" s="8" t="s">
        <v>49</v>
      </c>
      <c r="V141" s="8" t="s">
        <v>53</v>
      </c>
      <c r="W141" s="8" t="s">
        <v>2335</v>
      </c>
      <c r="X141" s="33" t="str">
        <f>VLOOKUP(G141,'CBs RAW'!$E$2:$W$427,19)</f>
        <v>#N/A N/A</v>
      </c>
      <c r="Y141" s="4" t="str">
        <f t="shared" si="1"/>
        <v>#N/A N/A</v>
      </c>
      <c r="Z141" s="4" t="str">
        <f t="shared" si="2"/>
        <v>CPI Property Group SAAT MATURITYFIXEDEURSr Unsecured</v>
      </c>
    </row>
    <row r="142">
      <c r="A142" s="8">
        <v>141.0</v>
      </c>
      <c r="B142" s="8" t="s">
        <v>1336</v>
      </c>
      <c r="C142" s="8" t="s">
        <v>1339</v>
      </c>
      <c r="D142" s="8" t="s">
        <v>57</v>
      </c>
      <c r="E142" s="8" t="str">
        <f>VLOOKUP(G142,'CBs RAW'!$E$2:$H$427,4)</f>
        <v>#N/A N/A</v>
      </c>
      <c r="F142" s="8" t="s">
        <v>1340</v>
      </c>
      <c r="G142" s="8" t="s">
        <v>2336</v>
      </c>
      <c r="H142" s="8" t="s">
        <v>2337</v>
      </c>
      <c r="I142" s="8" t="s">
        <v>2338</v>
      </c>
      <c r="J142" s="8" t="s">
        <v>55</v>
      </c>
      <c r="K142" s="8" t="s">
        <v>56</v>
      </c>
      <c r="L142" s="7">
        <v>1.0300215E9</v>
      </c>
      <c r="M142" s="8" t="s">
        <v>52</v>
      </c>
      <c r="N142" s="8" t="s">
        <v>1771</v>
      </c>
      <c r="O142" s="8" t="s">
        <v>170</v>
      </c>
      <c r="P142" s="32">
        <v>44223.0</v>
      </c>
      <c r="Q142" s="7">
        <f>VLOOKUP(G142,'CBs RAW'!$E$2:$P$427,12)</f>
        <v>1.5</v>
      </c>
      <c r="R142" s="32">
        <v>47875.0</v>
      </c>
      <c r="S142" s="8" t="s">
        <v>226</v>
      </c>
      <c r="T142" s="8" t="s">
        <v>175</v>
      </c>
      <c r="U142" s="8" t="s">
        <v>115</v>
      </c>
      <c r="V142" s="8" t="s">
        <v>53</v>
      </c>
      <c r="W142" s="8" t="s">
        <v>2339</v>
      </c>
      <c r="X142" s="33">
        <f>VLOOKUP(G142,'CBs RAW'!$E$2:$W$427,19)</f>
        <v>1.572</v>
      </c>
      <c r="Y142" s="34">
        <f t="shared" si="1"/>
        <v>1.572</v>
      </c>
      <c r="Z142" s="4" t="str">
        <f t="shared" si="2"/>
        <v>CPI Property Group SACALLABLEFIXEDEURSr Unsecured</v>
      </c>
    </row>
    <row r="143">
      <c r="A143" s="8">
        <v>142.0</v>
      </c>
      <c r="B143" s="8" t="s">
        <v>1336</v>
      </c>
      <c r="C143" s="8" t="s">
        <v>1339</v>
      </c>
      <c r="D143" s="8" t="s">
        <v>71</v>
      </c>
      <c r="E143" s="8">
        <f>VLOOKUP(G143,'CBs RAW'!$E$2:$H$427,4)</f>
        <v>0.71</v>
      </c>
      <c r="F143" s="8" t="s">
        <v>1340</v>
      </c>
      <c r="G143" s="8" t="s">
        <v>2340</v>
      </c>
      <c r="H143" s="8" t="s">
        <v>2341</v>
      </c>
      <c r="I143" s="8" t="s">
        <v>2342</v>
      </c>
      <c r="J143" s="8" t="s">
        <v>55</v>
      </c>
      <c r="K143" s="8" t="s">
        <v>56</v>
      </c>
      <c r="L143" s="7">
        <v>2.821578E7</v>
      </c>
      <c r="M143" s="8" t="s">
        <v>52</v>
      </c>
      <c r="N143" s="8" t="s">
        <v>1771</v>
      </c>
      <c r="O143" s="8" t="s">
        <v>170</v>
      </c>
      <c r="P143" s="32">
        <v>44252.0</v>
      </c>
      <c r="Q143" s="7">
        <f>VLOOKUP(G143,'CBs RAW'!$E$2:$P$427,12)</f>
        <v>0.71</v>
      </c>
      <c r="R143" s="32">
        <v>45713.0</v>
      </c>
      <c r="S143" s="8" t="s">
        <v>226</v>
      </c>
      <c r="T143" s="8" t="s">
        <v>54</v>
      </c>
      <c r="U143" s="8" t="s">
        <v>49</v>
      </c>
      <c r="V143" s="8" t="s">
        <v>976</v>
      </c>
      <c r="W143" s="8" t="s">
        <v>2343</v>
      </c>
      <c r="X143" s="33">
        <f>VLOOKUP(G143,'CBs RAW'!$E$2:$W$427,19)</f>
        <v>0.525</v>
      </c>
      <c r="Y143" s="34">
        <f t="shared" si="1"/>
        <v>0.525</v>
      </c>
      <c r="Z143" s="4" t="str">
        <f t="shared" si="2"/>
        <v>CPI Property Group SAAT MATURITYFIXEDJPYSr Unsecured</v>
      </c>
    </row>
    <row r="144">
      <c r="A144" s="8">
        <v>143.0</v>
      </c>
      <c r="B144" s="8" t="s">
        <v>1336</v>
      </c>
      <c r="C144" s="8" t="s">
        <v>1339</v>
      </c>
      <c r="D144" s="8" t="s">
        <v>71</v>
      </c>
      <c r="E144" s="8" t="str">
        <f>VLOOKUP(G144,'CBs RAW'!$E$2:$H$427,4)</f>
        <v>#N/A N/A</v>
      </c>
      <c r="F144" s="8" t="s">
        <v>1340</v>
      </c>
      <c r="G144" s="8" t="s">
        <v>2344</v>
      </c>
      <c r="H144" s="8" t="s">
        <v>2345</v>
      </c>
      <c r="I144" s="8" t="s">
        <v>2346</v>
      </c>
      <c r="J144" s="8" t="s">
        <v>55</v>
      </c>
      <c r="K144" s="8" t="s">
        <v>56</v>
      </c>
      <c r="L144" s="7">
        <v>2.3292282E7</v>
      </c>
      <c r="M144" s="8" t="s">
        <v>52</v>
      </c>
      <c r="N144" s="8" t="s">
        <v>1771</v>
      </c>
      <c r="O144" s="8" t="s">
        <v>170</v>
      </c>
      <c r="P144" s="32">
        <v>44476.0</v>
      </c>
      <c r="Q144" s="7">
        <f>VLOOKUP(G144,'CBs RAW'!$E$2:$P$427,12)</f>
        <v>0.35</v>
      </c>
      <c r="R144" s="32">
        <v>45754.0</v>
      </c>
      <c r="S144" s="8" t="s">
        <v>226</v>
      </c>
      <c r="T144" s="8" t="s">
        <v>54</v>
      </c>
      <c r="U144" s="8" t="s">
        <v>49</v>
      </c>
      <c r="V144" s="8" t="s">
        <v>976</v>
      </c>
      <c r="W144" s="8" t="s">
        <v>2347</v>
      </c>
      <c r="X144" s="33">
        <f>VLOOKUP(G144,'CBs RAW'!$E$2:$W$427,19)</f>
        <v>0.362</v>
      </c>
      <c r="Y144" s="34">
        <f t="shared" si="1"/>
        <v>0.362</v>
      </c>
      <c r="Z144" s="4" t="str">
        <f t="shared" si="2"/>
        <v>CPI Property Group SAAT MATURITYFIXEDJPYSr Unsecured</v>
      </c>
    </row>
    <row r="145">
      <c r="A145" s="8">
        <v>144.0</v>
      </c>
      <c r="B145" s="8" t="s">
        <v>1336</v>
      </c>
      <c r="C145" s="8" t="s">
        <v>1339</v>
      </c>
      <c r="D145" s="8" t="s">
        <v>71</v>
      </c>
      <c r="E145" s="8" t="str">
        <f>VLOOKUP(G145,'CBs RAW'!$E$2:$H$427,4)</f>
        <v>#N/A N/A</v>
      </c>
      <c r="F145" s="8" t="s">
        <v>1340</v>
      </c>
      <c r="G145" s="8" t="s">
        <v>2348</v>
      </c>
      <c r="H145" s="8" t="s">
        <v>174</v>
      </c>
      <c r="I145" s="8" t="s">
        <v>2349</v>
      </c>
      <c r="J145" s="8" t="s">
        <v>55</v>
      </c>
      <c r="K145" s="8" t="s">
        <v>70</v>
      </c>
      <c r="L145" s="7">
        <v>1.4473193E8</v>
      </c>
      <c r="M145" s="8" t="s">
        <v>52</v>
      </c>
      <c r="N145" s="8" t="s">
        <v>1771</v>
      </c>
      <c r="O145" s="8" t="s">
        <v>170</v>
      </c>
      <c r="P145" s="32">
        <v>44664.0</v>
      </c>
      <c r="Q145" s="7">
        <f>VLOOKUP(G145,'CBs RAW'!$E$2:$P$427,12)</f>
        <v>0</v>
      </c>
      <c r="R145" s="32">
        <v>46856.0</v>
      </c>
      <c r="S145" s="8" t="s">
        <v>158</v>
      </c>
      <c r="T145" s="8" t="s">
        <v>54</v>
      </c>
      <c r="U145" s="8" t="s">
        <v>49</v>
      </c>
      <c r="V145" s="8" t="s">
        <v>53</v>
      </c>
      <c r="W145" s="8" t="s">
        <v>2350</v>
      </c>
      <c r="X145" s="33" t="str">
        <f>VLOOKUP(G145,'CBs RAW'!$E$2:$W$427,19)</f>
        <v>#N/A N/A</v>
      </c>
      <c r="Y145" s="4" t="str">
        <f t="shared" si="1"/>
        <v>#N/A N/A</v>
      </c>
      <c r="Z145" s="4" t="str">
        <f t="shared" si="2"/>
        <v>CPI Property Group SAAT MATURITYFLOATINGEURSr Unsecured</v>
      </c>
    </row>
    <row r="146">
      <c r="A146" s="8">
        <v>145.0</v>
      </c>
      <c r="B146" s="8" t="s">
        <v>1336</v>
      </c>
      <c r="C146" s="8" t="s">
        <v>1339</v>
      </c>
      <c r="D146" s="8" t="s">
        <v>71</v>
      </c>
      <c r="E146" s="8" t="str">
        <f>VLOOKUP(G146,'CBs RAW'!$E$2:$H$427,4)</f>
        <v>#N/A N/A</v>
      </c>
      <c r="F146" s="8" t="s">
        <v>1340</v>
      </c>
      <c r="G146" s="8" t="s">
        <v>2351</v>
      </c>
      <c r="H146" s="8" t="s">
        <v>174</v>
      </c>
      <c r="I146" s="8" t="s">
        <v>2352</v>
      </c>
      <c r="J146" s="8" t="s">
        <v>55</v>
      </c>
      <c r="K146" s="8" t="s">
        <v>70</v>
      </c>
      <c r="L146" s="7">
        <v>1.4473193E8</v>
      </c>
      <c r="M146" s="8" t="s">
        <v>52</v>
      </c>
      <c r="N146" s="8" t="s">
        <v>1771</v>
      </c>
      <c r="O146" s="8" t="s">
        <v>170</v>
      </c>
      <c r="P146" s="32">
        <v>44664.0</v>
      </c>
      <c r="Q146" s="7">
        <f>VLOOKUP(G146,'CBs RAW'!$E$2:$P$427,12)</f>
        <v>0</v>
      </c>
      <c r="R146" s="32">
        <v>46125.0</v>
      </c>
      <c r="S146" s="8" t="s">
        <v>162</v>
      </c>
      <c r="T146" s="8" t="s">
        <v>54</v>
      </c>
      <c r="U146" s="8" t="s">
        <v>49</v>
      </c>
      <c r="V146" s="8" t="s">
        <v>53</v>
      </c>
      <c r="W146" s="8" t="s">
        <v>2353</v>
      </c>
      <c r="X146" s="33" t="str">
        <f>VLOOKUP(G146,'CBs RAW'!$E$2:$W$427,19)</f>
        <v>#N/A N/A</v>
      </c>
      <c r="Y146" s="4" t="str">
        <f t="shared" si="1"/>
        <v>#N/A N/A</v>
      </c>
      <c r="Z146" s="4" t="str">
        <f t="shared" si="2"/>
        <v>CPI Property Group SAAT MATURITYFLOATINGEURSr Unsecured</v>
      </c>
    </row>
    <row r="147">
      <c r="A147" s="8">
        <v>146.0</v>
      </c>
      <c r="B147" s="8" t="s">
        <v>1336</v>
      </c>
      <c r="C147" s="8" t="s">
        <v>1339</v>
      </c>
      <c r="D147" s="8" t="s">
        <v>57</v>
      </c>
      <c r="E147" s="8" t="str">
        <f>VLOOKUP(G147,'CBs RAW'!$E$2:$H$427,4)</f>
        <v>#N/A N/A</v>
      </c>
      <c r="F147" s="8" t="s">
        <v>1340</v>
      </c>
      <c r="G147" s="8" t="s">
        <v>2354</v>
      </c>
      <c r="H147" s="8" t="s">
        <v>2355</v>
      </c>
      <c r="I147" s="8" t="s">
        <v>2356</v>
      </c>
      <c r="J147" s="8" t="s">
        <v>55</v>
      </c>
      <c r="K147" s="8" t="s">
        <v>56</v>
      </c>
      <c r="L147" s="7">
        <v>3.21865E7</v>
      </c>
      <c r="M147" s="8" t="s">
        <v>52</v>
      </c>
      <c r="N147" s="8" t="s">
        <v>174</v>
      </c>
      <c r="O147" s="8" t="s">
        <v>170</v>
      </c>
      <c r="P147" s="32">
        <v>43874.0</v>
      </c>
      <c r="Q147" s="7">
        <f>VLOOKUP(G147,'CBs RAW'!$E$2:$P$427,12)</f>
        <v>3.014</v>
      </c>
      <c r="R147" s="32">
        <v>47527.0</v>
      </c>
      <c r="S147" s="8" t="s">
        <v>226</v>
      </c>
      <c r="T147" s="8" t="s">
        <v>175</v>
      </c>
      <c r="U147" s="8" t="s">
        <v>49</v>
      </c>
      <c r="V147" s="8" t="s">
        <v>2331</v>
      </c>
      <c r="W147" s="8" t="s">
        <v>2357</v>
      </c>
      <c r="X147" s="33" t="str">
        <f>VLOOKUP(G147,'CBs RAW'!$E$2:$W$427,19)</f>
        <v>#N/A N/A</v>
      </c>
      <c r="Y147" s="4" t="str">
        <f t="shared" si="1"/>
        <v>#N/A N/A</v>
      </c>
      <c r="Z147" s="4" t="str">
        <f t="shared" si="2"/>
        <v>CPI Property Group SAAT MATURITYFIXEDHKDSr Unsecured</v>
      </c>
    </row>
    <row r="148">
      <c r="A148" s="8">
        <v>147.0</v>
      </c>
      <c r="B148" s="8" t="s">
        <v>1336</v>
      </c>
      <c r="C148" s="8" t="s">
        <v>1339</v>
      </c>
      <c r="D148" s="8" t="s">
        <v>57</v>
      </c>
      <c r="E148" s="8" t="str">
        <f>VLOOKUP(G148,'CBs RAW'!$E$2:$H$427,4)</f>
        <v>#N/A N/A</v>
      </c>
      <c r="F148" s="8" t="s">
        <v>1340</v>
      </c>
      <c r="G148" s="8" t="s">
        <v>2358</v>
      </c>
      <c r="H148" s="8" t="s">
        <v>2359</v>
      </c>
      <c r="I148" s="8" t="s">
        <v>2360</v>
      </c>
      <c r="J148" s="8" t="s">
        <v>55</v>
      </c>
      <c r="K148" s="8" t="s">
        <v>56</v>
      </c>
      <c r="L148" s="7">
        <v>3.609665E7</v>
      </c>
      <c r="M148" s="8" t="s">
        <v>52</v>
      </c>
      <c r="N148" s="8" t="s">
        <v>174</v>
      </c>
      <c r="O148" s="8" t="s">
        <v>170</v>
      </c>
      <c r="P148" s="32">
        <v>43622.0</v>
      </c>
      <c r="Q148" s="7">
        <f>VLOOKUP(G148,'CBs RAW'!$E$2:$P$427,12)</f>
        <v>4.45</v>
      </c>
      <c r="R148" s="32">
        <v>46179.0</v>
      </c>
      <c r="S148" s="8" t="s">
        <v>226</v>
      </c>
      <c r="T148" s="8" t="s">
        <v>175</v>
      </c>
      <c r="U148" s="8" t="s">
        <v>49</v>
      </c>
      <c r="V148" s="8" t="s">
        <v>2331</v>
      </c>
      <c r="W148" s="8" t="s">
        <v>2361</v>
      </c>
      <c r="X148" s="33" t="str">
        <f>VLOOKUP(G148,'CBs RAW'!$E$2:$W$427,19)</f>
        <v>#N/A N/A</v>
      </c>
      <c r="Y148" s="4" t="str">
        <f t="shared" si="1"/>
        <v>#N/A N/A</v>
      </c>
      <c r="Z148" s="4" t="str">
        <f t="shared" si="2"/>
        <v>CPI Property Group SAAT MATURITYFIXEDHKDSr Unsecured</v>
      </c>
    </row>
    <row r="149">
      <c r="A149" s="8">
        <v>148.0</v>
      </c>
      <c r="B149" s="8" t="s">
        <v>41</v>
      </c>
      <c r="C149" s="8" t="s">
        <v>44</v>
      </c>
      <c r="D149" s="8" t="s">
        <v>57</v>
      </c>
      <c r="E149" s="8" t="str">
        <f>VLOOKUP(G149,'CBs RAW'!$E$2:$H$427,4)</f>
        <v>#N/A N/A</v>
      </c>
      <c r="F149" s="8" t="s">
        <v>45</v>
      </c>
      <c r="G149" s="8" t="s">
        <v>2362</v>
      </c>
      <c r="H149" s="8" t="s">
        <v>2363</v>
      </c>
      <c r="I149" s="8" t="s">
        <v>2364</v>
      </c>
      <c r="J149" s="8" t="s">
        <v>55</v>
      </c>
      <c r="K149" s="8" t="s">
        <v>56</v>
      </c>
      <c r="L149" s="7">
        <v>1.76172E8</v>
      </c>
      <c r="M149" s="8" t="s">
        <v>52</v>
      </c>
      <c r="N149" s="8" t="s">
        <v>1816</v>
      </c>
      <c r="O149" s="8" t="s">
        <v>45</v>
      </c>
      <c r="P149" s="32">
        <v>44105.0</v>
      </c>
      <c r="Q149" s="7">
        <f>VLOOKUP(G149,'CBs RAW'!$E$2:$P$427,12)</f>
        <v>0.75</v>
      </c>
      <c r="R149" s="32">
        <v>46037.0</v>
      </c>
      <c r="S149" s="8" t="s">
        <v>2365</v>
      </c>
      <c r="T149" s="8" t="s">
        <v>54</v>
      </c>
      <c r="U149" s="8" t="s">
        <v>189</v>
      </c>
      <c r="V149" s="8" t="s">
        <v>53</v>
      </c>
      <c r="W149" s="8" t="s">
        <v>2366</v>
      </c>
      <c r="X149" s="33">
        <f>VLOOKUP(G149,'CBs RAW'!$E$2:$W$427,19)</f>
        <v>0.039</v>
      </c>
      <c r="Y149" s="34">
        <f t="shared" si="1"/>
        <v>0.039</v>
      </c>
      <c r="Z149" s="4" t="str">
        <f t="shared" si="2"/>
        <v>Duerr AGCONVERTIBLEFIXEDEURSr Unsecured</v>
      </c>
    </row>
    <row r="150">
      <c r="A150" s="8">
        <v>149.0</v>
      </c>
      <c r="B150" s="8" t="s">
        <v>671</v>
      </c>
      <c r="C150" s="8" t="s">
        <v>674</v>
      </c>
      <c r="D150" s="8" t="s">
        <v>57</v>
      </c>
      <c r="E150" s="8" t="str">
        <f>VLOOKUP(G150,'CBs RAW'!$E$2:$H$427,4)</f>
        <v>#N/A N/A</v>
      </c>
      <c r="F150" s="8" t="s">
        <v>185</v>
      </c>
      <c r="G150" s="8" t="s">
        <v>2367</v>
      </c>
      <c r="H150" s="8" t="s">
        <v>2368</v>
      </c>
      <c r="I150" s="8" t="s">
        <v>2369</v>
      </c>
      <c r="J150" s="8" t="s">
        <v>421</v>
      </c>
      <c r="K150" s="8" t="s">
        <v>56</v>
      </c>
      <c r="L150" s="7">
        <v>5.35195E8</v>
      </c>
      <c r="M150" s="8" t="s">
        <v>52</v>
      </c>
      <c r="N150" s="8" t="s">
        <v>1771</v>
      </c>
      <c r="O150" s="8" t="s">
        <v>185</v>
      </c>
      <c r="P150" s="32">
        <v>42824.0</v>
      </c>
      <c r="Q150" s="7">
        <f>VLOOKUP(G150,'CBs RAW'!$E$2:$P$427,12)</f>
        <v>1.875</v>
      </c>
      <c r="R150" s="32">
        <v>46476.0</v>
      </c>
      <c r="S150" s="8" t="s">
        <v>174</v>
      </c>
      <c r="T150" s="8" t="s">
        <v>190</v>
      </c>
      <c r="U150" s="8" t="s">
        <v>115</v>
      </c>
      <c r="V150" s="8" t="s">
        <v>53</v>
      </c>
      <c r="W150" s="8" t="s">
        <v>2370</v>
      </c>
      <c r="X150" s="33">
        <f>VLOOKUP(G150,'CBs RAW'!$E$2:$W$427,19)</f>
        <v>1.89</v>
      </c>
      <c r="Y150" s="34">
        <f t="shared" si="1"/>
        <v>1.89</v>
      </c>
      <c r="Z150" s="4" t="str">
        <f t="shared" si="2"/>
        <v>EdenredCALLABLEFIXEDEURSr Unsecured</v>
      </c>
    </row>
    <row r="151">
      <c r="A151" s="8">
        <v>150.0</v>
      </c>
      <c r="B151" s="8" t="s">
        <v>671</v>
      </c>
      <c r="C151" s="8" t="s">
        <v>674</v>
      </c>
      <c r="D151" s="8" t="s">
        <v>57</v>
      </c>
      <c r="E151" s="8" t="str">
        <f>VLOOKUP(G151,'CBs RAW'!$E$2:$H$427,4)</f>
        <v>#N/A N/A</v>
      </c>
      <c r="F151" s="8" t="s">
        <v>185</v>
      </c>
      <c r="G151" s="8" t="s">
        <v>2371</v>
      </c>
      <c r="H151" s="8" t="s">
        <v>2372</v>
      </c>
      <c r="I151" s="8" t="s">
        <v>2373</v>
      </c>
      <c r="J151" s="8" t="s">
        <v>421</v>
      </c>
      <c r="K151" s="8" t="s">
        <v>56</v>
      </c>
      <c r="L151" s="7">
        <v>5.69325E8</v>
      </c>
      <c r="M151" s="8" t="s">
        <v>52</v>
      </c>
      <c r="N151" s="8" t="s">
        <v>1771</v>
      </c>
      <c r="O151" s="8" t="s">
        <v>185</v>
      </c>
      <c r="P151" s="32">
        <v>43440.0</v>
      </c>
      <c r="Q151" s="7">
        <f>VLOOKUP(G151,'CBs RAW'!$E$2:$P$427,12)</f>
        <v>1.875</v>
      </c>
      <c r="R151" s="32">
        <v>46087.0</v>
      </c>
      <c r="S151" s="8" t="s">
        <v>174</v>
      </c>
      <c r="T151" s="8" t="s">
        <v>190</v>
      </c>
      <c r="U151" s="8" t="s">
        <v>115</v>
      </c>
      <c r="V151" s="8" t="s">
        <v>53</v>
      </c>
      <c r="W151" s="8" t="s">
        <v>2374</v>
      </c>
      <c r="X151" s="33">
        <f>VLOOKUP(G151,'CBs RAW'!$E$2:$W$427,19)</f>
        <v>2.012</v>
      </c>
      <c r="Y151" s="34">
        <f t="shared" si="1"/>
        <v>2.012</v>
      </c>
      <c r="Z151" s="4" t="str">
        <f t="shared" si="2"/>
        <v>EdenredCALLABLEFIXEDEURSr Unsecured</v>
      </c>
    </row>
    <row r="152">
      <c r="A152" s="8">
        <v>151.0</v>
      </c>
      <c r="B152" s="8" t="s">
        <v>671</v>
      </c>
      <c r="C152" s="8" t="s">
        <v>674</v>
      </c>
      <c r="D152" s="8" t="s">
        <v>57</v>
      </c>
      <c r="E152" s="8">
        <f>VLOOKUP(G152,'CBs RAW'!$E$2:$H$427,4)</f>
        <v>1.38</v>
      </c>
      <c r="F152" s="8" t="s">
        <v>185</v>
      </c>
      <c r="G152" s="8" t="s">
        <v>2375</v>
      </c>
      <c r="H152" s="8" t="s">
        <v>2376</v>
      </c>
      <c r="I152" s="8" t="s">
        <v>2377</v>
      </c>
      <c r="J152" s="8" t="s">
        <v>421</v>
      </c>
      <c r="K152" s="8" t="s">
        <v>56</v>
      </c>
      <c r="L152" s="7">
        <v>6.71616E8</v>
      </c>
      <c r="M152" s="8" t="s">
        <v>52</v>
      </c>
      <c r="N152" s="8" t="s">
        <v>1771</v>
      </c>
      <c r="O152" s="8" t="s">
        <v>185</v>
      </c>
      <c r="P152" s="32">
        <v>44000.0</v>
      </c>
      <c r="Q152" s="7">
        <f>VLOOKUP(G152,'CBs RAW'!$E$2:$P$427,12)</f>
        <v>1.375</v>
      </c>
      <c r="R152" s="32">
        <v>47287.0</v>
      </c>
      <c r="S152" s="8" t="s">
        <v>174</v>
      </c>
      <c r="T152" s="8" t="s">
        <v>190</v>
      </c>
      <c r="U152" s="8" t="s">
        <v>115</v>
      </c>
      <c r="V152" s="8" t="s">
        <v>53</v>
      </c>
      <c r="W152" s="8" t="s">
        <v>2378</v>
      </c>
      <c r="X152" s="33">
        <f>VLOOKUP(G152,'CBs RAW'!$E$2:$W$427,19)</f>
        <v>1.306</v>
      </c>
      <c r="Y152" s="34">
        <f t="shared" si="1"/>
        <v>1.306</v>
      </c>
      <c r="Z152" s="4" t="str">
        <f t="shared" si="2"/>
        <v>EdenredCALLABLEFIXEDEURSr Unsecured</v>
      </c>
    </row>
    <row r="153">
      <c r="A153" s="8">
        <v>152.0</v>
      </c>
      <c r="B153" s="8" t="s">
        <v>671</v>
      </c>
      <c r="C153" s="8" t="s">
        <v>674</v>
      </c>
      <c r="D153" s="8" t="s">
        <v>57</v>
      </c>
      <c r="E153" s="8">
        <f>VLOOKUP(G153,'CBs RAW'!$E$2:$H$427,4)</f>
        <v>1.49</v>
      </c>
      <c r="F153" s="8" t="s">
        <v>185</v>
      </c>
      <c r="G153" s="8" t="s">
        <v>2379</v>
      </c>
      <c r="H153" s="8" t="s">
        <v>2380</v>
      </c>
      <c r="I153" s="8" t="s">
        <v>2381</v>
      </c>
      <c r="J153" s="8" t="s">
        <v>421</v>
      </c>
      <c r="K153" s="8" t="s">
        <v>56</v>
      </c>
      <c r="L153" s="7">
        <v>5.35955E8</v>
      </c>
      <c r="M153" s="8" t="s">
        <v>52</v>
      </c>
      <c r="N153" s="8" t="s">
        <v>1776</v>
      </c>
      <c r="O153" s="8" t="s">
        <v>185</v>
      </c>
      <c r="P153" s="32">
        <v>42073.0</v>
      </c>
      <c r="Q153" s="7">
        <f>VLOOKUP(G153,'CBs RAW'!$E$2:$P$427,12)</f>
        <v>1.375</v>
      </c>
      <c r="R153" s="32">
        <v>45726.0</v>
      </c>
      <c r="S153" s="8" t="s">
        <v>174</v>
      </c>
      <c r="T153" s="8" t="s">
        <v>190</v>
      </c>
      <c r="U153" s="8" t="s">
        <v>115</v>
      </c>
      <c r="V153" s="8" t="s">
        <v>53</v>
      </c>
      <c r="W153" s="8" t="s">
        <v>2382</v>
      </c>
      <c r="X153" s="33">
        <f>VLOOKUP(G153,'CBs RAW'!$E$2:$W$427,19)</f>
        <v>1.334</v>
      </c>
      <c r="Y153" s="34">
        <f t="shared" si="1"/>
        <v>1.334</v>
      </c>
      <c r="Z153" s="4" t="str">
        <f t="shared" si="2"/>
        <v>EdenredCALLABLEFIXEDEURSr Unsecured</v>
      </c>
    </row>
    <row r="154">
      <c r="A154" s="8">
        <v>153.0</v>
      </c>
      <c r="B154" s="8" t="s">
        <v>671</v>
      </c>
      <c r="C154" s="8" t="s">
        <v>674</v>
      </c>
      <c r="D154" s="8" t="s">
        <v>174</v>
      </c>
      <c r="E154" s="8" t="str">
        <f>VLOOKUP(G154,'CBs RAW'!$E$2:$H$427,4)</f>
        <v>#N/A N/A</v>
      </c>
      <c r="F154" s="8" t="s">
        <v>185</v>
      </c>
      <c r="G154" s="8" t="s">
        <v>2383</v>
      </c>
      <c r="H154" s="8" t="s">
        <v>2384</v>
      </c>
      <c r="I154" s="8" t="s">
        <v>2385</v>
      </c>
      <c r="J154" s="8" t="s">
        <v>421</v>
      </c>
      <c r="K154" s="8" t="s">
        <v>676</v>
      </c>
      <c r="L154" s="7">
        <v>5.5177E8</v>
      </c>
      <c r="M154" s="8" t="s">
        <v>52</v>
      </c>
      <c r="N154" s="8" t="s">
        <v>1771</v>
      </c>
      <c r="O154" s="8" t="s">
        <v>185</v>
      </c>
      <c r="P154" s="32">
        <v>43714.0</v>
      </c>
      <c r="Q154" s="7">
        <f>VLOOKUP(G154,'CBs RAW'!$E$2:$P$427,12)</f>
        <v>0</v>
      </c>
      <c r="R154" s="32">
        <v>45541.0</v>
      </c>
      <c r="S154" s="8" t="s">
        <v>675</v>
      </c>
      <c r="T154" s="8" t="s">
        <v>54</v>
      </c>
      <c r="U154" s="8" t="s">
        <v>189</v>
      </c>
      <c r="V154" s="8" t="s">
        <v>53</v>
      </c>
      <c r="W154" s="8" t="s">
        <v>2386</v>
      </c>
      <c r="X154" s="33">
        <f>VLOOKUP(G154,'CBs RAW'!$E$2:$W$427,19)</f>
        <v>-1.604</v>
      </c>
      <c r="Y154" s="34">
        <f t="shared" si="1"/>
        <v>-1.604</v>
      </c>
      <c r="Z154" s="4" t="str">
        <f t="shared" si="2"/>
        <v>EdenredCONVERTIBLEZERO COUPONEURSr Unsecured</v>
      </c>
    </row>
    <row r="155">
      <c r="A155" s="8">
        <v>154.0</v>
      </c>
      <c r="B155" s="8" t="s">
        <v>1250</v>
      </c>
      <c r="C155" s="8" t="s">
        <v>1253</v>
      </c>
      <c r="D155" s="8" t="s">
        <v>71</v>
      </c>
      <c r="E155" s="8" t="str">
        <f>VLOOKUP(G155,'CBs RAW'!$E$2:$H$427,4)</f>
        <v>#N/A N/A</v>
      </c>
      <c r="F155" s="8" t="s">
        <v>368</v>
      </c>
      <c r="G155" s="8" t="s">
        <v>2387</v>
      </c>
      <c r="H155" s="8" t="s">
        <v>174</v>
      </c>
      <c r="I155" s="8" t="s">
        <v>2388</v>
      </c>
      <c r="J155" s="8" t="s">
        <v>55</v>
      </c>
      <c r="K155" s="8" t="s">
        <v>56</v>
      </c>
      <c r="L155" s="12"/>
      <c r="M155" s="8" t="s">
        <v>118</v>
      </c>
      <c r="N155" s="8" t="s">
        <v>174</v>
      </c>
      <c r="O155" s="8" t="s">
        <v>368</v>
      </c>
      <c r="P155" s="32">
        <v>43589.0</v>
      </c>
      <c r="Q155" s="7">
        <f>VLOOKUP(G155,'CBs RAW'!$E$2:$P$427,12)</f>
        <v>5.21</v>
      </c>
      <c r="R155" s="32">
        <v>45050.0</v>
      </c>
      <c r="S155" s="8" t="s">
        <v>174</v>
      </c>
      <c r="T155" s="8" t="s">
        <v>54</v>
      </c>
      <c r="U155" s="8" t="s">
        <v>49</v>
      </c>
      <c r="V155" s="8" t="s">
        <v>263</v>
      </c>
      <c r="W155" s="8" t="s">
        <v>2389</v>
      </c>
      <c r="X155" s="33" t="str">
        <f>VLOOKUP(G155,'CBs RAW'!$E$2:$W$427,19)</f>
        <v>#N/A N/A</v>
      </c>
      <c r="Y155" s="4" t="str">
        <f t="shared" si="1"/>
        <v>#N/A N/A</v>
      </c>
      <c r="Z155" s="4" t="str">
        <f t="shared" si="2"/>
        <v>Elekta ABAT MATURITYFIXEDUSDUnsecured</v>
      </c>
    </row>
    <row r="156">
      <c r="A156" s="8">
        <v>155.0</v>
      </c>
      <c r="B156" s="8" t="s">
        <v>1250</v>
      </c>
      <c r="C156" s="8" t="s">
        <v>1253</v>
      </c>
      <c r="D156" s="8" t="s">
        <v>392</v>
      </c>
      <c r="E156" s="8" t="str">
        <f>VLOOKUP(G156,'CBs RAW'!$E$2:$H$427,4)</f>
        <v>#N/A N/A</v>
      </c>
      <c r="F156" s="8" t="s">
        <v>368</v>
      </c>
      <c r="G156" s="8" t="s">
        <v>2390</v>
      </c>
      <c r="H156" s="8" t="s">
        <v>2391</v>
      </c>
      <c r="I156" s="8" t="s">
        <v>2392</v>
      </c>
      <c r="J156" s="8" t="s">
        <v>55</v>
      </c>
      <c r="K156" s="8" t="s">
        <v>70</v>
      </c>
      <c r="L156" s="7">
        <v>5.13025E7</v>
      </c>
      <c r="M156" s="8" t="s">
        <v>52</v>
      </c>
      <c r="N156" s="8" t="s">
        <v>174</v>
      </c>
      <c r="O156" s="8" t="s">
        <v>368</v>
      </c>
      <c r="P156" s="32">
        <v>43903.0</v>
      </c>
      <c r="Q156" s="7">
        <f>VLOOKUP(G156,'CBs RAW'!$E$2:$P$427,12)</f>
        <v>0.921</v>
      </c>
      <c r="R156" s="32">
        <v>44998.0</v>
      </c>
      <c r="S156" s="8" t="s">
        <v>686</v>
      </c>
      <c r="T156" s="8" t="s">
        <v>190</v>
      </c>
      <c r="U156" s="8" t="s">
        <v>49</v>
      </c>
      <c r="V156" s="8" t="s">
        <v>687</v>
      </c>
      <c r="W156" s="8" t="s">
        <v>2393</v>
      </c>
      <c r="X156" s="33">
        <f>VLOOKUP(G156,'CBs RAW'!$E$2:$W$427,19)</f>
        <v>1.439</v>
      </c>
      <c r="Y156" s="34">
        <f t="shared" si="1"/>
        <v>1.439</v>
      </c>
      <c r="Z156" s="4" t="str">
        <f t="shared" si="2"/>
        <v>Elekta ABAT MATURITYFLOATINGSEKSr Unsecured</v>
      </c>
    </row>
    <row r="157">
      <c r="A157" s="8">
        <v>156.0</v>
      </c>
      <c r="B157" s="8" t="s">
        <v>1250</v>
      </c>
      <c r="C157" s="8" t="s">
        <v>1253</v>
      </c>
      <c r="D157" s="8" t="s">
        <v>392</v>
      </c>
      <c r="E157" s="8" t="str">
        <f>VLOOKUP(G157,'CBs RAW'!$E$2:$H$427,4)</f>
        <v>#N/A N/A</v>
      </c>
      <c r="F157" s="8" t="s">
        <v>368</v>
      </c>
      <c r="G157" s="8" t="s">
        <v>2394</v>
      </c>
      <c r="H157" s="8" t="s">
        <v>2395</v>
      </c>
      <c r="I157" s="8" t="s">
        <v>2396</v>
      </c>
      <c r="J157" s="8" t="s">
        <v>55</v>
      </c>
      <c r="K157" s="8" t="s">
        <v>70</v>
      </c>
      <c r="L157" s="7">
        <v>1.02605E8</v>
      </c>
      <c r="M157" s="8" t="s">
        <v>52</v>
      </c>
      <c r="N157" s="8" t="s">
        <v>174</v>
      </c>
      <c r="O157" s="8" t="s">
        <v>368</v>
      </c>
      <c r="P157" s="32">
        <v>43903.0</v>
      </c>
      <c r="Q157" s="7">
        <f>VLOOKUP(G157,'CBs RAW'!$E$2:$P$427,12)</f>
        <v>1.371</v>
      </c>
      <c r="R157" s="32">
        <v>45729.0</v>
      </c>
      <c r="S157" s="8" t="s">
        <v>686</v>
      </c>
      <c r="T157" s="8" t="s">
        <v>190</v>
      </c>
      <c r="U157" s="8" t="s">
        <v>49</v>
      </c>
      <c r="V157" s="8" t="s">
        <v>687</v>
      </c>
      <c r="W157" s="8" t="s">
        <v>2397</v>
      </c>
      <c r="X157" s="33" t="str">
        <f>VLOOKUP(G157,'CBs RAW'!$E$2:$W$427,19)</f>
        <v>#N/A N/A</v>
      </c>
      <c r="Y157" s="4" t="str">
        <f t="shared" si="1"/>
        <v>#N/A N/A</v>
      </c>
      <c r="Z157" s="4" t="str">
        <f t="shared" si="2"/>
        <v>Elekta ABAT MATURITYFLOATINGSEKSr Unsecured</v>
      </c>
    </row>
    <row r="158">
      <c r="A158" s="8">
        <v>157.0</v>
      </c>
      <c r="B158" s="8" t="s">
        <v>642</v>
      </c>
      <c r="C158" s="8" t="s">
        <v>645</v>
      </c>
      <c r="D158" s="8" t="s">
        <v>57</v>
      </c>
      <c r="E158" s="8" t="str">
        <f>VLOOKUP(G158,'CBs RAW'!$E$2:$H$427,4)</f>
        <v>#N/A N/A</v>
      </c>
      <c r="F158" s="8" t="s">
        <v>200</v>
      </c>
      <c r="G158" s="8" t="s">
        <v>2398</v>
      </c>
      <c r="H158" s="8" t="s">
        <v>2399</v>
      </c>
      <c r="I158" s="8" t="s">
        <v>2400</v>
      </c>
      <c r="J158" s="8" t="s">
        <v>55</v>
      </c>
      <c r="K158" s="8" t="s">
        <v>56</v>
      </c>
      <c r="L158" s="7">
        <v>2.22563025E8</v>
      </c>
      <c r="M158" s="8" t="s">
        <v>52</v>
      </c>
      <c r="N158" s="8" t="s">
        <v>174</v>
      </c>
      <c r="O158" s="8" t="s">
        <v>367</v>
      </c>
      <c r="P158" s="32">
        <v>42797.0</v>
      </c>
      <c r="Q158" s="7">
        <f>VLOOKUP(G158,'CBs RAW'!$E$2:$P$427,12)</f>
        <v>0.55</v>
      </c>
      <c r="R158" s="32">
        <v>45538.0</v>
      </c>
      <c r="S158" s="8" t="s">
        <v>226</v>
      </c>
      <c r="T158" s="8" t="s">
        <v>620</v>
      </c>
      <c r="U158" s="8" t="s">
        <v>49</v>
      </c>
      <c r="V158" s="8" t="s">
        <v>1807</v>
      </c>
      <c r="W158" s="8" t="s">
        <v>2401</v>
      </c>
      <c r="X158" s="33">
        <f>VLOOKUP(G158,'CBs RAW'!$E$2:$W$427,19)</f>
        <v>0.477</v>
      </c>
      <c r="Y158" s="34">
        <f t="shared" si="1"/>
        <v>0.477</v>
      </c>
      <c r="Z158" s="4" t="str">
        <f t="shared" si="2"/>
        <v>Enel Finance International NVAT MATURITYFIXEDCHFSr Unsecured</v>
      </c>
    </row>
    <row r="159">
      <c r="A159" s="8">
        <v>158.0</v>
      </c>
      <c r="B159" s="8" t="s">
        <v>642</v>
      </c>
      <c r="C159" s="8" t="s">
        <v>645</v>
      </c>
      <c r="D159" s="8" t="s">
        <v>71</v>
      </c>
      <c r="E159" s="8">
        <f>VLOOKUP(G159,'CBs RAW'!$E$2:$H$427,4)</f>
        <v>4.76</v>
      </c>
      <c r="F159" s="8" t="s">
        <v>200</v>
      </c>
      <c r="G159" s="8" t="s">
        <v>2402</v>
      </c>
      <c r="H159" s="8" t="s">
        <v>2403</v>
      </c>
      <c r="I159" s="8" t="s">
        <v>2404</v>
      </c>
      <c r="J159" s="8" t="s">
        <v>55</v>
      </c>
      <c r="K159" s="8" t="s">
        <v>56</v>
      </c>
      <c r="L159" s="7">
        <v>1.5E9</v>
      </c>
      <c r="M159" s="8" t="s">
        <v>52</v>
      </c>
      <c r="N159" s="8" t="s">
        <v>1776</v>
      </c>
      <c r="O159" s="8" t="s">
        <v>367</v>
      </c>
      <c r="P159" s="32">
        <v>42880.0</v>
      </c>
      <c r="Q159" s="7">
        <f>VLOOKUP(G159,'CBs RAW'!$E$2:$P$427,12)</f>
        <v>4.75</v>
      </c>
      <c r="R159" s="32">
        <v>53837.0</v>
      </c>
      <c r="S159" s="8" t="s">
        <v>271</v>
      </c>
      <c r="T159" s="8" t="s">
        <v>620</v>
      </c>
      <c r="U159" s="8" t="s">
        <v>49</v>
      </c>
      <c r="V159" s="8" t="s">
        <v>263</v>
      </c>
      <c r="W159" s="8" t="s">
        <v>2405</v>
      </c>
      <c r="X159" s="33">
        <f>VLOOKUP(G159,'CBs RAW'!$E$2:$W$427,19)</f>
        <v>4.72</v>
      </c>
      <c r="Y159" s="34">
        <f t="shared" si="1"/>
        <v>4.72</v>
      </c>
      <c r="Z159" s="4" t="str">
        <f t="shared" si="2"/>
        <v>Enel Finance International NVAT MATURITYFIXEDUSDSr Unsecured</v>
      </c>
    </row>
    <row r="160">
      <c r="A160" s="8">
        <v>159.0</v>
      </c>
      <c r="B160" s="8" t="s">
        <v>642</v>
      </c>
      <c r="C160" s="8" t="s">
        <v>645</v>
      </c>
      <c r="D160" s="8" t="s">
        <v>71</v>
      </c>
      <c r="E160" s="8">
        <f>VLOOKUP(G160,'CBs RAW'!$E$2:$H$427,4)</f>
        <v>4.76</v>
      </c>
      <c r="F160" s="8" t="s">
        <v>200</v>
      </c>
      <c r="G160" s="8" t="s">
        <v>2406</v>
      </c>
      <c r="H160" s="8" t="s">
        <v>2407</v>
      </c>
      <c r="I160" s="8" t="s">
        <v>2408</v>
      </c>
      <c r="J160" s="8" t="s">
        <v>55</v>
      </c>
      <c r="K160" s="8" t="s">
        <v>56</v>
      </c>
      <c r="L160" s="7">
        <v>1.5E9</v>
      </c>
      <c r="M160" s="8" t="s">
        <v>52</v>
      </c>
      <c r="N160" s="8" t="s">
        <v>1776</v>
      </c>
      <c r="O160" s="8" t="s">
        <v>367</v>
      </c>
      <c r="P160" s="32">
        <v>42880.0</v>
      </c>
      <c r="Q160" s="7">
        <f>VLOOKUP(G160,'CBs RAW'!$E$2:$P$427,12)</f>
        <v>4.75</v>
      </c>
      <c r="R160" s="32">
        <v>53837.0</v>
      </c>
      <c r="S160" s="8" t="s">
        <v>262</v>
      </c>
      <c r="T160" s="8" t="s">
        <v>620</v>
      </c>
      <c r="U160" s="8" t="s">
        <v>49</v>
      </c>
      <c r="V160" s="8" t="s">
        <v>263</v>
      </c>
      <c r="W160" s="8" t="s">
        <v>2409</v>
      </c>
      <c r="X160" s="33">
        <f>VLOOKUP(G160,'CBs RAW'!$E$2:$W$427,19)</f>
        <v>4.715</v>
      </c>
      <c r="Y160" s="34">
        <f t="shared" si="1"/>
        <v>4.715</v>
      </c>
      <c r="Z160" s="4" t="str">
        <f t="shared" si="2"/>
        <v>Enel Finance International NVAT MATURITYFIXEDUSDSr Unsecured</v>
      </c>
    </row>
    <row r="161">
      <c r="A161" s="8">
        <v>160.0</v>
      </c>
      <c r="B161" s="8" t="s">
        <v>642</v>
      </c>
      <c r="C161" s="8" t="s">
        <v>645</v>
      </c>
      <c r="D161" s="8" t="s">
        <v>71</v>
      </c>
      <c r="E161" s="8">
        <f>VLOOKUP(G161,'CBs RAW'!$E$2:$H$427,4)</f>
        <v>3.747</v>
      </c>
      <c r="F161" s="8" t="s">
        <v>200</v>
      </c>
      <c r="G161" s="8" t="s">
        <v>2410</v>
      </c>
      <c r="H161" s="8" t="s">
        <v>2411</v>
      </c>
      <c r="I161" s="8" t="s">
        <v>2412</v>
      </c>
      <c r="J161" s="8" t="s">
        <v>55</v>
      </c>
      <c r="K161" s="8" t="s">
        <v>56</v>
      </c>
      <c r="L161" s="7">
        <v>2.0E9</v>
      </c>
      <c r="M161" s="8" t="s">
        <v>52</v>
      </c>
      <c r="N161" s="8" t="s">
        <v>1776</v>
      </c>
      <c r="O161" s="8" t="s">
        <v>367</v>
      </c>
      <c r="P161" s="32">
        <v>42880.0</v>
      </c>
      <c r="Q161" s="7">
        <f>VLOOKUP(G161,'CBs RAW'!$E$2:$P$427,12)</f>
        <v>3.625</v>
      </c>
      <c r="R161" s="32">
        <v>46532.0</v>
      </c>
      <c r="S161" s="8" t="s">
        <v>262</v>
      </c>
      <c r="T161" s="8" t="s">
        <v>620</v>
      </c>
      <c r="U161" s="8" t="s">
        <v>49</v>
      </c>
      <c r="V161" s="8" t="s">
        <v>263</v>
      </c>
      <c r="W161" s="8" t="s">
        <v>2413</v>
      </c>
      <c r="X161" s="33">
        <f>VLOOKUP(G161,'CBs RAW'!$E$2:$W$427,19)</f>
        <v>3.742</v>
      </c>
      <c r="Y161" s="34">
        <f t="shared" si="1"/>
        <v>3.742</v>
      </c>
      <c r="Z161" s="4" t="str">
        <f t="shared" si="2"/>
        <v>Enel Finance International NVAT MATURITYFIXEDUSDSr Unsecured</v>
      </c>
    </row>
    <row r="162">
      <c r="A162" s="8">
        <v>161.0</v>
      </c>
      <c r="B162" s="8" t="s">
        <v>642</v>
      </c>
      <c r="C162" s="8" t="s">
        <v>645</v>
      </c>
      <c r="D162" s="8" t="s">
        <v>71</v>
      </c>
      <c r="E162" s="8">
        <f>VLOOKUP(G162,'CBs RAW'!$E$2:$H$427,4)</f>
        <v>3.747</v>
      </c>
      <c r="F162" s="8" t="s">
        <v>200</v>
      </c>
      <c r="G162" s="8" t="s">
        <v>2414</v>
      </c>
      <c r="H162" s="8" t="s">
        <v>2415</v>
      </c>
      <c r="I162" s="8" t="s">
        <v>2416</v>
      </c>
      <c r="J162" s="8" t="s">
        <v>55</v>
      </c>
      <c r="K162" s="8" t="s">
        <v>56</v>
      </c>
      <c r="L162" s="7">
        <v>2.0E9</v>
      </c>
      <c r="M162" s="8" t="s">
        <v>52</v>
      </c>
      <c r="N162" s="8" t="s">
        <v>1776</v>
      </c>
      <c r="O162" s="8" t="s">
        <v>367</v>
      </c>
      <c r="P162" s="32">
        <v>42880.0</v>
      </c>
      <c r="Q162" s="7">
        <f>VLOOKUP(G162,'CBs RAW'!$E$2:$P$427,12)</f>
        <v>3.625</v>
      </c>
      <c r="R162" s="32">
        <v>46532.0</v>
      </c>
      <c r="S162" s="8" t="s">
        <v>271</v>
      </c>
      <c r="T162" s="8" t="s">
        <v>620</v>
      </c>
      <c r="U162" s="8" t="s">
        <v>49</v>
      </c>
      <c r="V162" s="8" t="s">
        <v>263</v>
      </c>
      <c r="W162" s="8" t="s">
        <v>2417</v>
      </c>
      <c r="X162" s="33">
        <f>VLOOKUP(G162,'CBs RAW'!$E$2:$W$427,19)</f>
        <v>3.74</v>
      </c>
      <c r="Y162" s="34">
        <f t="shared" si="1"/>
        <v>3.74</v>
      </c>
      <c r="Z162" s="4" t="str">
        <f t="shared" si="2"/>
        <v>Enel Finance International NVAT MATURITYFIXEDUSDSr Unsecured</v>
      </c>
    </row>
    <row r="163">
      <c r="A163" s="8">
        <v>162.0</v>
      </c>
      <c r="B163" s="8" t="s">
        <v>642</v>
      </c>
      <c r="C163" s="8" t="s">
        <v>645</v>
      </c>
      <c r="D163" s="8" t="s">
        <v>71</v>
      </c>
      <c r="E163" s="8">
        <f>VLOOKUP(G163,'CBs RAW'!$E$2:$H$427,4)</f>
        <v>3.643</v>
      </c>
      <c r="F163" s="8" t="s">
        <v>200</v>
      </c>
      <c r="G163" s="8" t="s">
        <v>2418</v>
      </c>
      <c r="H163" s="8" t="s">
        <v>2419</v>
      </c>
      <c r="I163" s="8" t="s">
        <v>2420</v>
      </c>
      <c r="J163" s="8" t="s">
        <v>55</v>
      </c>
      <c r="K163" s="8" t="s">
        <v>56</v>
      </c>
      <c r="L163" s="7">
        <v>1.25E9</v>
      </c>
      <c r="M163" s="8" t="s">
        <v>52</v>
      </c>
      <c r="N163" s="8" t="s">
        <v>1776</v>
      </c>
      <c r="O163" s="8" t="s">
        <v>367</v>
      </c>
      <c r="P163" s="32">
        <v>43014.0</v>
      </c>
      <c r="Q163" s="7">
        <f>VLOOKUP(G163,'CBs RAW'!$E$2:$P$427,12)</f>
        <v>3.5</v>
      </c>
      <c r="R163" s="32">
        <v>46849.0</v>
      </c>
      <c r="S163" s="8" t="s">
        <v>262</v>
      </c>
      <c r="T163" s="8" t="s">
        <v>620</v>
      </c>
      <c r="U163" s="8" t="s">
        <v>49</v>
      </c>
      <c r="V163" s="8" t="s">
        <v>263</v>
      </c>
      <c r="W163" s="8" t="s">
        <v>2421</v>
      </c>
      <c r="X163" s="33">
        <f>VLOOKUP(G163,'CBs RAW'!$E$2:$W$427,19)</f>
        <v>3.621</v>
      </c>
      <c r="Y163" s="34">
        <f t="shared" si="1"/>
        <v>3.621</v>
      </c>
      <c r="Z163" s="4" t="str">
        <f t="shared" si="2"/>
        <v>Enel Finance International NVAT MATURITYFIXEDUSDSr Unsecured</v>
      </c>
    </row>
    <row r="164">
      <c r="A164" s="8">
        <v>163.0</v>
      </c>
      <c r="B164" s="8" t="s">
        <v>642</v>
      </c>
      <c r="C164" s="8" t="s">
        <v>645</v>
      </c>
      <c r="D164" s="8" t="s">
        <v>71</v>
      </c>
      <c r="E164" s="8">
        <f>VLOOKUP(G164,'CBs RAW'!$E$2:$H$427,4)</f>
        <v>3.643</v>
      </c>
      <c r="F164" s="8" t="s">
        <v>200</v>
      </c>
      <c r="G164" s="8" t="s">
        <v>2422</v>
      </c>
      <c r="H164" s="8" t="s">
        <v>2423</v>
      </c>
      <c r="I164" s="8" t="s">
        <v>2424</v>
      </c>
      <c r="J164" s="8" t="s">
        <v>55</v>
      </c>
      <c r="K164" s="8" t="s">
        <v>56</v>
      </c>
      <c r="L164" s="7">
        <v>1.25E9</v>
      </c>
      <c r="M164" s="8" t="s">
        <v>52</v>
      </c>
      <c r="N164" s="8" t="s">
        <v>1776</v>
      </c>
      <c r="O164" s="8" t="s">
        <v>367</v>
      </c>
      <c r="P164" s="32">
        <v>43014.0</v>
      </c>
      <c r="Q164" s="7">
        <f>VLOOKUP(G164,'CBs RAW'!$E$2:$P$427,12)</f>
        <v>3.5</v>
      </c>
      <c r="R164" s="32">
        <v>46849.0</v>
      </c>
      <c r="S164" s="8" t="s">
        <v>271</v>
      </c>
      <c r="T164" s="8" t="s">
        <v>620</v>
      </c>
      <c r="U164" s="8" t="s">
        <v>49</v>
      </c>
      <c r="V164" s="8" t="s">
        <v>263</v>
      </c>
      <c r="W164" s="8" t="s">
        <v>2425</v>
      </c>
      <c r="X164" s="33">
        <f>VLOOKUP(G164,'CBs RAW'!$E$2:$W$427,19)</f>
        <v>3.623</v>
      </c>
      <c r="Y164" s="34">
        <f t="shared" si="1"/>
        <v>3.623</v>
      </c>
      <c r="Z164" s="4" t="str">
        <f t="shared" si="2"/>
        <v>Enel Finance International NVAT MATURITYFIXEDUSDSr Unsecured</v>
      </c>
    </row>
    <row r="165">
      <c r="A165" s="8">
        <v>164.0</v>
      </c>
      <c r="B165" s="8" t="s">
        <v>642</v>
      </c>
      <c r="C165" s="8" t="s">
        <v>645</v>
      </c>
      <c r="D165" s="8" t="s">
        <v>71</v>
      </c>
      <c r="E165" s="8">
        <f>VLOOKUP(G165,'CBs RAW'!$E$2:$H$427,4)</f>
        <v>4.974</v>
      </c>
      <c r="F165" s="8" t="s">
        <v>200</v>
      </c>
      <c r="G165" s="8" t="s">
        <v>2426</v>
      </c>
      <c r="H165" s="8" t="s">
        <v>2427</v>
      </c>
      <c r="I165" s="8" t="s">
        <v>2428</v>
      </c>
      <c r="J165" s="8" t="s">
        <v>55</v>
      </c>
      <c r="K165" s="8" t="s">
        <v>56</v>
      </c>
      <c r="L165" s="7">
        <v>1.25E9</v>
      </c>
      <c r="M165" s="8" t="s">
        <v>52</v>
      </c>
      <c r="N165" s="8" t="s">
        <v>1776</v>
      </c>
      <c r="O165" s="8" t="s">
        <v>367</v>
      </c>
      <c r="P165" s="32">
        <v>43357.0</v>
      </c>
      <c r="Q165" s="7">
        <f>VLOOKUP(G165,'CBs RAW'!$E$2:$P$427,12)</f>
        <v>4.875</v>
      </c>
      <c r="R165" s="32">
        <v>47283.0</v>
      </c>
      <c r="S165" s="8" t="s">
        <v>262</v>
      </c>
      <c r="T165" s="8" t="s">
        <v>620</v>
      </c>
      <c r="U165" s="8" t="s">
        <v>49</v>
      </c>
      <c r="V165" s="8" t="s">
        <v>263</v>
      </c>
      <c r="W165" s="8" t="s">
        <v>2429</v>
      </c>
      <c r="X165" s="33" t="str">
        <f>VLOOKUP(G165,'CBs RAW'!$E$2:$W$427,19)</f>
        <v>#N/A N/A</v>
      </c>
      <c r="Y165" s="4">
        <f t="shared" si="1"/>
        <v>4.974</v>
      </c>
      <c r="Z165" s="4" t="str">
        <f t="shared" si="2"/>
        <v>Enel Finance International NVAT MATURITYFIXEDUSDSr Unsecured</v>
      </c>
    </row>
    <row r="166">
      <c r="A166" s="8">
        <v>165.0</v>
      </c>
      <c r="B166" s="8" t="s">
        <v>642</v>
      </c>
      <c r="C166" s="8" t="s">
        <v>645</v>
      </c>
      <c r="D166" s="8" t="s">
        <v>71</v>
      </c>
      <c r="E166" s="8">
        <f>VLOOKUP(G166,'CBs RAW'!$E$2:$H$427,4)</f>
        <v>4.974</v>
      </c>
      <c r="F166" s="8" t="s">
        <v>200</v>
      </c>
      <c r="G166" s="8" t="s">
        <v>2430</v>
      </c>
      <c r="H166" s="8" t="s">
        <v>2431</v>
      </c>
      <c r="I166" s="8" t="s">
        <v>2432</v>
      </c>
      <c r="J166" s="8" t="s">
        <v>55</v>
      </c>
      <c r="K166" s="8" t="s">
        <v>56</v>
      </c>
      <c r="L166" s="7">
        <v>1.25E9</v>
      </c>
      <c r="M166" s="8" t="s">
        <v>52</v>
      </c>
      <c r="N166" s="8" t="s">
        <v>1776</v>
      </c>
      <c r="O166" s="8" t="s">
        <v>367</v>
      </c>
      <c r="P166" s="32">
        <v>43357.0</v>
      </c>
      <c r="Q166" s="7">
        <f>VLOOKUP(G166,'CBs RAW'!$E$2:$P$427,12)</f>
        <v>4.875</v>
      </c>
      <c r="R166" s="32">
        <v>47283.0</v>
      </c>
      <c r="S166" s="8" t="s">
        <v>271</v>
      </c>
      <c r="T166" s="8" t="s">
        <v>620</v>
      </c>
      <c r="U166" s="8" t="s">
        <v>49</v>
      </c>
      <c r="V166" s="8" t="s">
        <v>263</v>
      </c>
      <c r="W166" s="8" t="s">
        <v>2433</v>
      </c>
      <c r="X166" s="33" t="str">
        <f>VLOOKUP(G166,'CBs RAW'!$E$2:$W$427,19)</f>
        <v>#N/A N/A</v>
      </c>
      <c r="Y166" s="4">
        <f t="shared" si="1"/>
        <v>4.974</v>
      </c>
      <c r="Z166" s="4" t="str">
        <f t="shared" si="2"/>
        <v>Enel Finance International NVAT MATURITYFIXEDUSDSr Unsecured</v>
      </c>
    </row>
    <row r="167">
      <c r="A167" s="8">
        <v>166.0</v>
      </c>
      <c r="B167" s="8" t="s">
        <v>642</v>
      </c>
      <c r="C167" s="8" t="s">
        <v>645</v>
      </c>
      <c r="D167" s="8" t="s">
        <v>57</v>
      </c>
      <c r="E167" s="8">
        <f>VLOOKUP(G167,'CBs RAW'!$E$2:$H$427,4)</f>
        <v>1.966</v>
      </c>
      <c r="F167" s="8" t="s">
        <v>200</v>
      </c>
      <c r="G167" s="8" t="s">
        <v>2434</v>
      </c>
      <c r="H167" s="8" t="s">
        <v>2435</v>
      </c>
      <c r="I167" s="8" t="s">
        <v>2436</v>
      </c>
      <c r="J167" s="8" t="s">
        <v>55</v>
      </c>
      <c r="K167" s="8" t="s">
        <v>56</v>
      </c>
      <c r="L167" s="7">
        <v>1.660434682E9</v>
      </c>
      <c r="M167" s="8" t="s">
        <v>52</v>
      </c>
      <c r="N167" s="8" t="s">
        <v>1771</v>
      </c>
      <c r="O167" s="8" t="s">
        <v>367</v>
      </c>
      <c r="P167" s="32">
        <v>42031.0</v>
      </c>
      <c r="Q167" s="7">
        <f>VLOOKUP(G167,'CBs RAW'!$E$2:$P$427,12)</f>
        <v>1.966</v>
      </c>
      <c r="R167" s="32">
        <v>45684.0</v>
      </c>
      <c r="S167" s="8" t="s">
        <v>226</v>
      </c>
      <c r="T167" s="8" t="s">
        <v>620</v>
      </c>
      <c r="U167" s="8" t="s">
        <v>49</v>
      </c>
      <c r="V167" s="8" t="s">
        <v>53</v>
      </c>
      <c r="W167" s="8" t="s">
        <v>2437</v>
      </c>
      <c r="X167" s="33">
        <f>VLOOKUP(G167,'CBs RAW'!$E$2:$W$427,19)</f>
        <v>1.468</v>
      </c>
      <c r="Y167" s="34">
        <f t="shared" si="1"/>
        <v>1.468</v>
      </c>
      <c r="Z167" s="4" t="str">
        <f t="shared" si="2"/>
        <v>Enel Finance International NVAT MATURITYFIXEDEURSr Unsecured</v>
      </c>
    </row>
    <row r="168">
      <c r="A168" s="8">
        <v>167.0</v>
      </c>
      <c r="B168" s="8" t="s">
        <v>642</v>
      </c>
      <c r="C168" s="8" t="s">
        <v>645</v>
      </c>
      <c r="D168" s="8" t="s">
        <v>57</v>
      </c>
      <c r="E168" s="8" t="str">
        <f>VLOOKUP(G168,'CBs RAW'!$E$2:$H$427,4)</f>
        <v>#N/A N/A</v>
      </c>
      <c r="F168" s="8" t="s">
        <v>200</v>
      </c>
      <c r="G168" s="8" t="s">
        <v>2438</v>
      </c>
      <c r="H168" s="8" t="s">
        <v>2439</v>
      </c>
      <c r="I168" s="8" t="s">
        <v>2440</v>
      </c>
      <c r="J168" s="8" t="s">
        <v>55</v>
      </c>
      <c r="K168" s="8" t="s">
        <v>56</v>
      </c>
      <c r="L168" s="7">
        <v>1.404981872E9</v>
      </c>
      <c r="M168" s="8" t="s">
        <v>52</v>
      </c>
      <c r="N168" s="8" t="s">
        <v>1771</v>
      </c>
      <c r="O168" s="8" t="s">
        <v>367</v>
      </c>
      <c r="P168" s="32">
        <v>42522.0</v>
      </c>
      <c r="Q168" s="7">
        <f>VLOOKUP(G168,'CBs RAW'!$E$2:$P$427,12)</f>
        <v>1.375</v>
      </c>
      <c r="R168" s="32">
        <v>46174.0</v>
      </c>
      <c r="S168" s="8" t="s">
        <v>174</v>
      </c>
      <c r="T168" s="8" t="s">
        <v>620</v>
      </c>
      <c r="U168" s="8" t="s">
        <v>49</v>
      </c>
      <c r="V168" s="8" t="s">
        <v>53</v>
      </c>
      <c r="W168" s="8" t="s">
        <v>2441</v>
      </c>
      <c r="X168" s="33">
        <f>VLOOKUP(G168,'CBs RAW'!$E$2:$W$427,19)</f>
        <v>1.295</v>
      </c>
      <c r="Y168" s="34">
        <f t="shared" si="1"/>
        <v>1.295</v>
      </c>
      <c r="Z168" s="4" t="str">
        <f t="shared" si="2"/>
        <v>Enel Finance International NVAT MATURITYFIXEDEURSr Unsecured</v>
      </c>
    </row>
    <row r="169">
      <c r="A169" s="8">
        <v>168.0</v>
      </c>
      <c r="B169" s="8" t="s">
        <v>614</v>
      </c>
      <c r="C169" s="8" t="s">
        <v>617</v>
      </c>
      <c r="D169" s="8" t="s">
        <v>57</v>
      </c>
      <c r="E169" s="8">
        <f>VLOOKUP(G169,'CBs RAW'!$E$2:$H$427,4)</f>
        <v>1.584</v>
      </c>
      <c r="F169" s="8" t="s">
        <v>200</v>
      </c>
      <c r="G169" s="8" t="s">
        <v>2442</v>
      </c>
      <c r="H169" s="8" t="s">
        <v>2443</v>
      </c>
      <c r="I169" s="8" t="s">
        <v>2444</v>
      </c>
      <c r="J169" s="8" t="s">
        <v>117</v>
      </c>
      <c r="K169" s="8" t="s">
        <v>56</v>
      </c>
      <c r="L169" s="7">
        <v>8.02455E8</v>
      </c>
      <c r="M169" s="8" t="s">
        <v>52</v>
      </c>
      <c r="N169" s="8" t="s">
        <v>1771</v>
      </c>
      <c r="O169" s="8" t="s">
        <v>200</v>
      </c>
      <c r="P169" s="32">
        <v>42752.0</v>
      </c>
      <c r="Q169" s="7">
        <f>VLOOKUP(G169,'CBs RAW'!$E$2:$P$427,12)</f>
        <v>1.5</v>
      </c>
      <c r="R169" s="32">
        <v>46404.0</v>
      </c>
      <c r="S169" s="8" t="s">
        <v>226</v>
      </c>
      <c r="T169" s="8" t="s">
        <v>620</v>
      </c>
      <c r="U169" s="8" t="s">
        <v>49</v>
      </c>
      <c r="V169" s="8" t="s">
        <v>53</v>
      </c>
      <c r="W169" s="8" t="s">
        <v>2445</v>
      </c>
      <c r="X169" s="33">
        <f>VLOOKUP(G169,'CBs RAW'!$E$2:$W$427,19)</f>
        <v>1.554</v>
      </c>
      <c r="Y169" s="34">
        <f t="shared" si="1"/>
        <v>1.554</v>
      </c>
      <c r="Z169" s="4" t="str">
        <f t="shared" si="2"/>
        <v>Eni SpAAT MATURITYFIXEDEURSr Unsecured</v>
      </c>
    </row>
    <row r="170">
      <c r="A170" s="8">
        <v>169.0</v>
      </c>
      <c r="B170" s="8" t="s">
        <v>614</v>
      </c>
      <c r="C170" s="8" t="s">
        <v>617</v>
      </c>
      <c r="D170" s="8" t="s">
        <v>57</v>
      </c>
      <c r="E170" s="8" t="str">
        <f>VLOOKUP(G170,'CBs RAW'!$E$2:$H$427,4)</f>
        <v>#N/A N/A</v>
      </c>
      <c r="F170" s="8" t="s">
        <v>200</v>
      </c>
      <c r="G170" s="8" t="s">
        <v>2446</v>
      </c>
      <c r="H170" s="8" t="s">
        <v>2447</v>
      </c>
      <c r="I170" s="8" t="s">
        <v>2448</v>
      </c>
      <c r="J170" s="8" t="s">
        <v>117</v>
      </c>
      <c r="K170" s="8" t="s">
        <v>56</v>
      </c>
      <c r="L170" s="7">
        <v>7.764445E8</v>
      </c>
      <c r="M170" s="8" t="s">
        <v>52</v>
      </c>
      <c r="N170" s="8" t="s">
        <v>1771</v>
      </c>
      <c r="O170" s="8" t="s">
        <v>200</v>
      </c>
      <c r="P170" s="32">
        <v>42993.0</v>
      </c>
      <c r="Q170" s="7">
        <f>VLOOKUP(G170,'CBs RAW'!$E$2:$P$427,12)</f>
        <v>1</v>
      </c>
      <c r="R170" s="32">
        <v>45730.0</v>
      </c>
      <c r="S170" s="8" t="s">
        <v>226</v>
      </c>
      <c r="T170" s="8" t="s">
        <v>620</v>
      </c>
      <c r="U170" s="8" t="s">
        <v>49</v>
      </c>
      <c r="V170" s="8" t="s">
        <v>53</v>
      </c>
      <c r="W170" s="8" t="s">
        <v>2449</v>
      </c>
      <c r="X170" s="33">
        <f>VLOOKUP(G170,'CBs RAW'!$E$2:$W$427,19)</f>
        <v>1.111</v>
      </c>
      <c r="Y170" s="34">
        <f t="shared" si="1"/>
        <v>1.111</v>
      </c>
      <c r="Z170" s="4" t="str">
        <f t="shared" si="2"/>
        <v>Eni SpAAT MATURITYFIXEDEURSr Unsecured</v>
      </c>
    </row>
    <row r="171">
      <c r="A171" s="8">
        <v>170.0</v>
      </c>
      <c r="B171" s="8" t="s">
        <v>614</v>
      </c>
      <c r="C171" s="8" t="s">
        <v>617</v>
      </c>
      <c r="D171" s="8" t="s">
        <v>71</v>
      </c>
      <c r="E171" s="8">
        <f>VLOOKUP(G171,'CBs RAW'!$E$2:$H$427,4)</f>
        <v>4.12</v>
      </c>
      <c r="F171" s="8" t="s">
        <v>200</v>
      </c>
      <c r="G171" s="8" t="s">
        <v>2450</v>
      </c>
      <c r="H171" s="8" t="s">
        <v>2451</v>
      </c>
      <c r="I171" s="8" t="s">
        <v>2452</v>
      </c>
      <c r="J171" s="8" t="s">
        <v>117</v>
      </c>
      <c r="K171" s="8" t="s">
        <v>56</v>
      </c>
      <c r="L171" s="7">
        <v>1.0E9</v>
      </c>
      <c r="M171" s="8" t="s">
        <v>52</v>
      </c>
      <c r="N171" s="8" t="s">
        <v>1776</v>
      </c>
      <c r="O171" s="8" t="s">
        <v>200</v>
      </c>
      <c r="P171" s="32">
        <v>43355.0</v>
      </c>
      <c r="Q171" s="7">
        <f>VLOOKUP(G171,'CBs RAW'!$E$2:$P$427,12)</f>
        <v>4</v>
      </c>
      <c r="R171" s="32">
        <v>45181.0</v>
      </c>
      <c r="S171" s="8" t="s">
        <v>2453</v>
      </c>
      <c r="T171" s="8" t="s">
        <v>620</v>
      </c>
      <c r="U171" s="8" t="s">
        <v>49</v>
      </c>
      <c r="V171" s="8" t="s">
        <v>263</v>
      </c>
      <c r="W171" s="8" t="s">
        <v>2454</v>
      </c>
      <c r="X171" s="33">
        <f>VLOOKUP(G171,'CBs RAW'!$E$2:$W$427,19)</f>
        <v>4.006</v>
      </c>
      <c r="Y171" s="34">
        <f t="shared" si="1"/>
        <v>4.006</v>
      </c>
      <c r="Z171" s="4" t="str">
        <f t="shared" si="2"/>
        <v>Eni SpAAT MATURITYFIXEDUSDSr Unsecured</v>
      </c>
    </row>
    <row r="172">
      <c r="A172" s="8">
        <v>171.0</v>
      </c>
      <c r="B172" s="8" t="s">
        <v>614</v>
      </c>
      <c r="C172" s="8" t="s">
        <v>617</v>
      </c>
      <c r="D172" s="8" t="s">
        <v>71</v>
      </c>
      <c r="E172" s="8">
        <f>VLOOKUP(G172,'CBs RAW'!$E$2:$H$427,4)</f>
        <v>4.12</v>
      </c>
      <c r="F172" s="8" t="s">
        <v>200</v>
      </c>
      <c r="G172" s="8" t="s">
        <v>2455</v>
      </c>
      <c r="H172" s="8" t="s">
        <v>2456</v>
      </c>
      <c r="I172" s="8" t="s">
        <v>2457</v>
      </c>
      <c r="J172" s="8" t="s">
        <v>117</v>
      </c>
      <c r="K172" s="8" t="s">
        <v>56</v>
      </c>
      <c r="L172" s="7">
        <v>1.0E9</v>
      </c>
      <c r="M172" s="8" t="s">
        <v>52</v>
      </c>
      <c r="N172" s="8" t="s">
        <v>1776</v>
      </c>
      <c r="O172" s="8" t="s">
        <v>200</v>
      </c>
      <c r="P172" s="32">
        <v>43355.0</v>
      </c>
      <c r="Q172" s="7">
        <f>VLOOKUP(G172,'CBs RAW'!$E$2:$P$427,12)</f>
        <v>4</v>
      </c>
      <c r="R172" s="32">
        <v>45181.0</v>
      </c>
      <c r="S172" s="8" t="s">
        <v>271</v>
      </c>
      <c r="T172" s="8" t="s">
        <v>620</v>
      </c>
      <c r="U172" s="8" t="s">
        <v>49</v>
      </c>
      <c r="V172" s="8" t="s">
        <v>263</v>
      </c>
      <c r="W172" s="8" t="s">
        <v>2458</v>
      </c>
      <c r="X172" s="33">
        <f>VLOOKUP(G172,'CBs RAW'!$E$2:$W$427,19)</f>
        <v>4.025</v>
      </c>
      <c r="Y172" s="34">
        <f t="shared" si="1"/>
        <v>4.025</v>
      </c>
      <c r="Z172" s="4" t="str">
        <f t="shared" si="2"/>
        <v>Eni SpAAT MATURITYFIXEDUSDSr Unsecured</v>
      </c>
    </row>
    <row r="173">
      <c r="A173" s="8">
        <v>172.0</v>
      </c>
      <c r="B173" s="8" t="s">
        <v>614</v>
      </c>
      <c r="C173" s="8" t="s">
        <v>617</v>
      </c>
      <c r="D173" s="8" t="s">
        <v>71</v>
      </c>
      <c r="E173" s="8">
        <f>VLOOKUP(G173,'CBs RAW'!$E$2:$H$427,4)</f>
        <v>4.852</v>
      </c>
      <c r="F173" s="8" t="s">
        <v>200</v>
      </c>
      <c r="G173" s="8" t="s">
        <v>2459</v>
      </c>
      <c r="H173" s="8" t="s">
        <v>2460</v>
      </c>
      <c r="I173" s="8" t="s">
        <v>2461</v>
      </c>
      <c r="J173" s="8" t="s">
        <v>117</v>
      </c>
      <c r="K173" s="8" t="s">
        <v>56</v>
      </c>
      <c r="L173" s="7">
        <v>1.0E9</v>
      </c>
      <c r="M173" s="8" t="s">
        <v>52</v>
      </c>
      <c r="N173" s="8" t="s">
        <v>1776</v>
      </c>
      <c r="O173" s="8" t="s">
        <v>200</v>
      </c>
      <c r="P173" s="32">
        <v>43355.0</v>
      </c>
      <c r="Q173" s="7">
        <f>VLOOKUP(G173,'CBs RAW'!$E$2:$P$427,12)</f>
        <v>4.75</v>
      </c>
      <c r="R173" s="32">
        <v>47008.0</v>
      </c>
      <c r="S173" s="8" t="s">
        <v>2453</v>
      </c>
      <c r="T173" s="8" t="s">
        <v>620</v>
      </c>
      <c r="U173" s="8" t="s">
        <v>49</v>
      </c>
      <c r="V173" s="8" t="s">
        <v>263</v>
      </c>
      <c r="W173" s="8" t="s">
        <v>2462</v>
      </c>
      <c r="X173" s="33">
        <f>VLOOKUP(G173,'CBs RAW'!$E$2:$W$427,19)</f>
        <v>4.748</v>
      </c>
      <c r="Y173" s="34">
        <f t="shared" si="1"/>
        <v>4.748</v>
      </c>
      <c r="Z173" s="4" t="str">
        <f t="shared" si="2"/>
        <v>Eni SpAAT MATURITYFIXEDUSDSr Unsecured</v>
      </c>
    </row>
    <row r="174">
      <c r="A174" s="8">
        <v>173.0</v>
      </c>
      <c r="B174" s="8" t="s">
        <v>614</v>
      </c>
      <c r="C174" s="8" t="s">
        <v>617</v>
      </c>
      <c r="D174" s="8" t="s">
        <v>71</v>
      </c>
      <c r="E174" s="8">
        <f>VLOOKUP(G174,'CBs RAW'!$E$2:$H$427,4)</f>
        <v>4.852</v>
      </c>
      <c r="F174" s="8" t="s">
        <v>200</v>
      </c>
      <c r="G174" s="8" t="s">
        <v>2463</v>
      </c>
      <c r="H174" s="8" t="s">
        <v>2464</v>
      </c>
      <c r="I174" s="8" t="s">
        <v>2465</v>
      </c>
      <c r="J174" s="8" t="s">
        <v>117</v>
      </c>
      <c r="K174" s="8" t="s">
        <v>56</v>
      </c>
      <c r="L174" s="7">
        <v>1.0E9</v>
      </c>
      <c r="M174" s="8" t="s">
        <v>52</v>
      </c>
      <c r="N174" s="8" t="s">
        <v>1776</v>
      </c>
      <c r="O174" s="8" t="s">
        <v>200</v>
      </c>
      <c r="P174" s="32">
        <v>43355.0</v>
      </c>
      <c r="Q174" s="7">
        <f>VLOOKUP(G174,'CBs RAW'!$E$2:$P$427,12)</f>
        <v>4.75</v>
      </c>
      <c r="R174" s="32">
        <v>47008.0</v>
      </c>
      <c r="S174" s="8" t="s">
        <v>271</v>
      </c>
      <c r="T174" s="8" t="s">
        <v>620</v>
      </c>
      <c r="U174" s="8" t="s">
        <v>49</v>
      </c>
      <c r="V174" s="8" t="s">
        <v>263</v>
      </c>
      <c r="W174" s="8" t="s">
        <v>2466</v>
      </c>
      <c r="X174" s="33" t="str">
        <f>VLOOKUP(G174,'CBs RAW'!$E$2:$W$427,19)</f>
        <v>#N/A N/A</v>
      </c>
      <c r="Y174" s="4">
        <f t="shared" si="1"/>
        <v>4.852</v>
      </c>
      <c r="Z174" s="4" t="str">
        <f t="shared" si="2"/>
        <v>Eni SpAAT MATURITYFIXEDUSDSr Unsecured</v>
      </c>
    </row>
    <row r="175">
      <c r="A175" s="8">
        <v>174.0</v>
      </c>
      <c r="B175" s="8" t="s">
        <v>614</v>
      </c>
      <c r="C175" s="8" t="s">
        <v>617</v>
      </c>
      <c r="D175" s="8" t="s">
        <v>71</v>
      </c>
      <c r="E175" s="8">
        <f>VLOOKUP(G175,'CBs RAW'!$E$2:$H$427,4)</f>
        <v>4.852</v>
      </c>
      <c r="F175" s="8" t="s">
        <v>200</v>
      </c>
      <c r="G175" s="8" t="s">
        <v>2467</v>
      </c>
      <c r="H175" s="8" t="s">
        <v>2468</v>
      </c>
      <c r="I175" s="8" t="s">
        <v>2469</v>
      </c>
      <c r="J175" s="8" t="s">
        <v>117</v>
      </c>
      <c r="K175" s="8" t="s">
        <v>56</v>
      </c>
      <c r="L175" s="7">
        <v>1.0E9</v>
      </c>
      <c r="M175" s="8" t="s">
        <v>52</v>
      </c>
      <c r="N175" s="8" t="s">
        <v>1776</v>
      </c>
      <c r="O175" s="8" t="s">
        <v>200</v>
      </c>
      <c r="P175" s="32">
        <v>43355.0</v>
      </c>
      <c r="Q175" s="7">
        <f>VLOOKUP(G175,'CBs RAW'!$E$2:$P$427,12)</f>
        <v>4.75</v>
      </c>
      <c r="R175" s="32">
        <v>47008.0</v>
      </c>
      <c r="S175" s="8" t="s">
        <v>2470</v>
      </c>
      <c r="T175" s="8" t="s">
        <v>620</v>
      </c>
      <c r="U175" s="8" t="s">
        <v>49</v>
      </c>
      <c r="V175" s="8" t="s">
        <v>263</v>
      </c>
      <c r="W175" s="8" t="s">
        <v>2471</v>
      </c>
      <c r="X175" s="33">
        <f>VLOOKUP(G175,'CBs RAW'!$E$2:$W$427,19)</f>
        <v>4.794</v>
      </c>
      <c r="Y175" s="34">
        <f t="shared" si="1"/>
        <v>4.794</v>
      </c>
      <c r="Z175" s="4" t="str">
        <f t="shared" si="2"/>
        <v>Eni SpAAT MATURITYFIXEDUSDSr Unsecured</v>
      </c>
    </row>
    <row r="176">
      <c r="A176" s="8">
        <v>175.0</v>
      </c>
      <c r="B176" s="8" t="s">
        <v>614</v>
      </c>
      <c r="C176" s="8" t="s">
        <v>617</v>
      </c>
      <c r="D176" s="8" t="s">
        <v>71</v>
      </c>
      <c r="E176" s="8">
        <f>VLOOKUP(G176,'CBs RAW'!$E$2:$H$427,4)</f>
        <v>4.852</v>
      </c>
      <c r="F176" s="8" t="s">
        <v>200</v>
      </c>
      <c r="G176" s="8" t="s">
        <v>2472</v>
      </c>
      <c r="H176" s="8" t="s">
        <v>2473</v>
      </c>
      <c r="I176" s="8" t="s">
        <v>2474</v>
      </c>
      <c r="J176" s="8" t="s">
        <v>117</v>
      </c>
      <c r="K176" s="8" t="s">
        <v>56</v>
      </c>
      <c r="L176" s="7">
        <v>1.0E9</v>
      </c>
      <c r="M176" s="8" t="s">
        <v>52</v>
      </c>
      <c r="N176" s="8" t="s">
        <v>1776</v>
      </c>
      <c r="O176" s="8" t="s">
        <v>200</v>
      </c>
      <c r="P176" s="32">
        <v>43355.0</v>
      </c>
      <c r="Q176" s="7">
        <f>VLOOKUP(G176,'CBs RAW'!$E$2:$P$427,12)</f>
        <v>4.75</v>
      </c>
      <c r="R176" s="32">
        <v>47008.0</v>
      </c>
      <c r="S176" s="8" t="s">
        <v>2475</v>
      </c>
      <c r="T176" s="8" t="s">
        <v>620</v>
      </c>
      <c r="U176" s="8" t="s">
        <v>49</v>
      </c>
      <c r="V176" s="8" t="s">
        <v>263</v>
      </c>
      <c r="W176" s="8" t="s">
        <v>2476</v>
      </c>
      <c r="X176" s="33" t="str">
        <f>VLOOKUP(G176,'CBs RAW'!$E$2:$W$427,19)</f>
        <v>#N/A N/A</v>
      </c>
      <c r="Y176" s="4">
        <f t="shared" si="1"/>
        <v>4.852</v>
      </c>
      <c r="Z176" s="4" t="str">
        <f t="shared" si="2"/>
        <v>Eni SpAAT MATURITYFIXEDUSDSr Unsecured</v>
      </c>
    </row>
    <row r="177">
      <c r="A177" s="8">
        <v>176.0</v>
      </c>
      <c r="B177" s="8" t="s">
        <v>614</v>
      </c>
      <c r="C177" s="8" t="s">
        <v>617</v>
      </c>
      <c r="D177" s="8" t="s">
        <v>71</v>
      </c>
      <c r="E177" s="8">
        <f>VLOOKUP(G177,'CBs RAW'!$E$2:$H$427,4)</f>
        <v>4.12</v>
      </c>
      <c r="F177" s="8" t="s">
        <v>200</v>
      </c>
      <c r="G177" s="8" t="s">
        <v>2477</v>
      </c>
      <c r="H177" s="8" t="s">
        <v>2478</v>
      </c>
      <c r="I177" s="8" t="s">
        <v>2479</v>
      </c>
      <c r="J177" s="8" t="s">
        <v>117</v>
      </c>
      <c r="K177" s="8" t="s">
        <v>56</v>
      </c>
      <c r="L177" s="7">
        <v>1.0E9</v>
      </c>
      <c r="M177" s="8" t="s">
        <v>52</v>
      </c>
      <c r="N177" s="8" t="s">
        <v>1776</v>
      </c>
      <c r="O177" s="8" t="s">
        <v>200</v>
      </c>
      <c r="P177" s="32">
        <v>43355.0</v>
      </c>
      <c r="Q177" s="7">
        <f>VLOOKUP(G177,'CBs RAW'!$E$2:$P$427,12)</f>
        <v>4</v>
      </c>
      <c r="R177" s="32">
        <v>45181.0</v>
      </c>
      <c r="S177" s="8" t="s">
        <v>2470</v>
      </c>
      <c r="T177" s="8" t="s">
        <v>620</v>
      </c>
      <c r="U177" s="8" t="s">
        <v>49</v>
      </c>
      <c r="V177" s="8" t="s">
        <v>263</v>
      </c>
      <c r="W177" s="8" t="s">
        <v>2480</v>
      </c>
      <c r="X177" s="33">
        <f>VLOOKUP(G177,'CBs RAW'!$E$2:$W$427,19)</f>
        <v>4.058</v>
      </c>
      <c r="Y177" s="34">
        <f t="shared" si="1"/>
        <v>4.058</v>
      </c>
      <c r="Z177" s="4" t="str">
        <f t="shared" si="2"/>
        <v>Eni SpAAT MATURITYFIXEDUSDSr Unsecured</v>
      </c>
    </row>
    <row r="178">
      <c r="A178" s="8">
        <v>177.0</v>
      </c>
      <c r="B178" s="8" t="s">
        <v>614</v>
      </c>
      <c r="C178" s="8" t="s">
        <v>617</v>
      </c>
      <c r="D178" s="8" t="s">
        <v>71</v>
      </c>
      <c r="E178" s="8">
        <f>VLOOKUP(G178,'CBs RAW'!$E$2:$H$427,4)</f>
        <v>4.12</v>
      </c>
      <c r="F178" s="8" t="s">
        <v>200</v>
      </c>
      <c r="G178" s="8" t="s">
        <v>2481</v>
      </c>
      <c r="H178" s="8" t="s">
        <v>2482</v>
      </c>
      <c r="I178" s="8" t="s">
        <v>2483</v>
      </c>
      <c r="J178" s="8" t="s">
        <v>117</v>
      </c>
      <c r="K178" s="8" t="s">
        <v>56</v>
      </c>
      <c r="L178" s="7">
        <v>1.0E9</v>
      </c>
      <c r="M178" s="8" t="s">
        <v>52</v>
      </c>
      <c r="N178" s="8" t="s">
        <v>1776</v>
      </c>
      <c r="O178" s="8" t="s">
        <v>200</v>
      </c>
      <c r="P178" s="32">
        <v>43355.0</v>
      </c>
      <c r="Q178" s="7">
        <f>VLOOKUP(G178,'CBs RAW'!$E$2:$P$427,12)</f>
        <v>4</v>
      </c>
      <c r="R178" s="32">
        <v>45181.0</v>
      </c>
      <c r="S178" s="8" t="s">
        <v>2475</v>
      </c>
      <c r="T178" s="8" t="s">
        <v>620</v>
      </c>
      <c r="U178" s="8" t="s">
        <v>49</v>
      </c>
      <c r="V178" s="8" t="s">
        <v>263</v>
      </c>
      <c r="W178" s="8" t="s">
        <v>2484</v>
      </c>
      <c r="X178" s="33" t="str">
        <f>VLOOKUP(G178,'CBs RAW'!$E$2:$W$427,19)</f>
        <v>#N/A N/A</v>
      </c>
      <c r="Y178" s="4">
        <f t="shared" si="1"/>
        <v>4.12</v>
      </c>
      <c r="Z178" s="4" t="str">
        <f t="shared" si="2"/>
        <v>Eni SpAAT MATURITYFIXEDUSDSr Unsecured</v>
      </c>
    </row>
    <row r="179">
      <c r="A179" s="8">
        <v>178.0</v>
      </c>
      <c r="B179" s="8" t="s">
        <v>614</v>
      </c>
      <c r="C179" s="8" t="s">
        <v>617</v>
      </c>
      <c r="D179" s="8" t="s">
        <v>71</v>
      </c>
      <c r="E179" s="8">
        <f>VLOOKUP(G179,'CBs RAW'!$E$2:$H$427,4)</f>
        <v>4.852</v>
      </c>
      <c r="F179" s="8" t="s">
        <v>200</v>
      </c>
      <c r="G179" s="8" t="s">
        <v>2485</v>
      </c>
      <c r="H179" s="8" t="s">
        <v>2486</v>
      </c>
      <c r="I179" s="8" t="s">
        <v>2487</v>
      </c>
      <c r="J179" s="8" t="s">
        <v>117</v>
      </c>
      <c r="K179" s="8" t="s">
        <v>56</v>
      </c>
      <c r="L179" s="7">
        <v>1.0E9</v>
      </c>
      <c r="M179" s="8" t="s">
        <v>52</v>
      </c>
      <c r="N179" s="8" t="s">
        <v>1776</v>
      </c>
      <c r="O179" s="8" t="s">
        <v>200</v>
      </c>
      <c r="P179" s="32">
        <v>43355.0</v>
      </c>
      <c r="Q179" s="7">
        <f>VLOOKUP(G179,'CBs RAW'!$E$2:$P$427,12)</f>
        <v>4.75</v>
      </c>
      <c r="R179" s="32">
        <v>47008.0</v>
      </c>
      <c r="S179" s="8" t="s">
        <v>50</v>
      </c>
      <c r="T179" s="8" t="s">
        <v>190</v>
      </c>
      <c r="U179" s="8" t="s">
        <v>49</v>
      </c>
      <c r="V179" s="8" t="s">
        <v>263</v>
      </c>
      <c r="W179" s="8" t="s">
        <v>2488</v>
      </c>
      <c r="X179" s="33">
        <f>VLOOKUP(G179,'CBs RAW'!$E$2:$W$427,19)</f>
        <v>4.798</v>
      </c>
      <c r="Y179" s="34">
        <f t="shared" si="1"/>
        <v>4.798</v>
      </c>
      <c r="Z179" s="4" t="str">
        <f t="shared" si="2"/>
        <v>Eni SpAAT MATURITYFIXEDUSDSr Unsecured</v>
      </c>
    </row>
    <row r="180">
      <c r="A180" s="8">
        <v>179.0</v>
      </c>
      <c r="B180" s="8" t="s">
        <v>614</v>
      </c>
      <c r="C180" s="8" t="s">
        <v>617</v>
      </c>
      <c r="D180" s="8" t="s">
        <v>71</v>
      </c>
      <c r="E180" s="8">
        <f>VLOOKUP(G180,'CBs RAW'!$E$2:$H$427,4)</f>
        <v>4.12</v>
      </c>
      <c r="F180" s="8" t="s">
        <v>200</v>
      </c>
      <c r="G180" s="8" t="s">
        <v>2489</v>
      </c>
      <c r="H180" s="8" t="s">
        <v>2490</v>
      </c>
      <c r="I180" s="8" t="s">
        <v>2491</v>
      </c>
      <c r="J180" s="8" t="s">
        <v>117</v>
      </c>
      <c r="K180" s="8" t="s">
        <v>56</v>
      </c>
      <c r="L180" s="7">
        <v>1.0E9</v>
      </c>
      <c r="M180" s="8" t="s">
        <v>52</v>
      </c>
      <c r="N180" s="8" t="s">
        <v>1776</v>
      </c>
      <c r="O180" s="8" t="s">
        <v>200</v>
      </c>
      <c r="P180" s="32">
        <v>43355.0</v>
      </c>
      <c r="Q180" s="7">
        <f>VLOOKUP(G180,'CBs RAW'!$E$2:$P$427,12)</f>
        <v>4</v>
      </c>
      <c r="R180" s="32">
        <v>45181.0</v>
      </c>
      <c r="S180" s="8" t="s">
        <v>50</v>
      </c>
      <c r="T180" s="8" t="s">
        <v>190</v>
      </c>
      <c r="U180" s="8" t="s">
        <v>49</v>
      </c>
      <c r="V180" s="8" t="s">
        <v>263</v>
      </c>
      <c r="W180" s="8" t="s">
        <v>2492</v>
      </c>
      <c r="X180" s="33">
        <f>VLOOKUP(G180,'CBs RAW'!$E$2:$W$427,19)</f>
        <v>4.105</v>
      </c>
      <c r="Y180" s="34">
        <f t="shared" si="1"/>
        <v>4.105</v>
      </c>
      <c r="Z180" s="4" t="str">
        <f t="shared" si="2"/>
        <v>Eni SpAAT MATURITYFIXEDUSDSr Unsecured</v>
      </c>
    </row>
    <row r="181">
      <c r="A181" s="8">
        <v>180.0</v>
      </c>
      <c r="B181" s="8" t="s">
        <v>614</v>
      </c>
      <c r="C181" s="8" t="s">
        <v>617</v>
      </c>
      <c r="D181" s="8" t="s">
        <v>57</v>
      </c>
      <c r="E181" s="8" t="str">
        <f>VLOOKUP(G181,'CBs RAW'!$E$2:$H$427,4)</f>
        <v>#N/A N/A</v>
      </c>
      <c r="F181" s="8" t="s">
        <v>200</v>
      </c>
      <c r="G181" s="8" t="s">
        <v>2493</v>
      </c>
      <c r="H181" s="8" t="s">
        <v>2494</v>
      </c>
      <c r="I181" s="8" t="s">
        <v>2495</v>
      </c>
      <c r="J181" s="8" t="s">
        <v>117</v>
      </c>
      <c r="K181" s="8" t="s">
        <v>56</v>
      </c>
      <c r="L181" s="7">
        <v>1.09093E9</v>
      </c>
      <c r="M181" s="8" t="s">
        <v>52</v>
      </c>
      <c r="N181" s="8" t="s">
        <v>1771</v>
      </c>
      <c r="O181" s="8" t="s">
        <v>200</v>
      </c>
      <c r="P181" s="32">
        <v>43969.0</v>
      </c>
      <c r="Q181" s="7">
        <f>VLOOKUP(G181,'CBs RAW'!$E$2:$P$427,12)</f>
        <v>1.25</v>
      </c>
      <c r="R181" s="32">
        <v>46160.0</v>
      </c>
      <c r="S181" s="8" t="s">
        <v>226</v>
      </c>
      <c r="T181" s="8" t="s">
        <v>620</v>
      </c>
      <c r="U181" s="8" t="s">
        <v>49</v>
      </c>
      <c r="V181" s="8" t="s">
        <v>53</v>
      </c>
      <c r="W181" s="8" t="s">
        <v>2496</v>
      </c>
      <c r="X181" s="33">
        <f>VLOOKUP(G181,'CBs RAW'!$E$2:$W$427,19)</f>
        <v>1.382</v>
      </c>
      <c r="Y181" s="34">
        <f t="shared" si="1"/>
        <v>1.382</v>
      </c>
      <c r="Z181" s="4" t="str">
        <f t="shared" si="2"/>
        <v>Eni SpAAT MATURITYFIXEDEURSr Unsecured</v>
      </c>
    </row>
    <row r="182">
      <c r="A182" s="8">
        <v>181.0</v>
      </c>
      <c r="B182" s="8" t="s">
        <v>614</v>
      </c>
      <c r="C182" s="8" t="s">
        <v>617</v>
      </c>
      <c r="D182" s="8" t="s">
        <v>57</v>
      </c>
      <c r="E182" s="8" t="str">
        <f>VLOOKUP(G182,'CBs RAW'!$E$2:$H$427,4)</f>
        <v>#N/A N/A</v>
      </c>
      <c r="F182" s="8" t="s">
        <v>200</v>
      </c>
      <c r="G182" s="8" t="s">
        <v>2497</v>
      </c>
      <c r="H182" s="8" t="s">
        <v>2498</v>
      </c>
      <c r="I182" s="8" t="s">
        <v>2499</v>
      </c>
      <c r="J182" s="8" t="s">
        <v>117</v>
      </c>
      <c r="K182" s="8" t="s">
        <v>56</v>
      </c>
      <c r="L182" s="7">
        <v>1.09093E9</v>
      </c>
      <c r="M182" s="8" t="s">
        <v>52</v>
      </c>
      <c r="N182" s="8" t="s">
        <v>1771</v>
      </c>
      <c r="O182" s="8" t="s">
        <v>200</v>
      </c>
      <c r="P182" s="32">
        <v>43969.0</v>
      </c>
      <c r="Q182" s="7">
        <f>VLOOKUP(G182,'CBs RAW'!$E$2:$P$427,12)</f>
        <v>2</v>
      </c>
      <c r="R182" s="32">
        <v>47986.0</v>
      </c>
      <c r="S182" s="8" t="s">
        <v>226</v>
      </c>
      <c r="T182" s="8" t="s">
        <v>620</v>
      </c>
      <c r="U182" s="8" t="s">
        <v>49</v>
      </c>
      <c r="V182" s="8" t="s">
        <v>53</v>
      </c>
      <c r="W182" s="8" t="s">
        <v>2500</v>
      </c>
      <c r="X182" s="33">
        <f>VLOOKUP(G182,'CBs RAW'!$E$2:$W$427,19)</f>
        <v>1.977</v>
      </c>
      <c r="Y182" s="34">
        <f t="shared" si="1"/>
        <v>1.977</v>
      </c>
      <c r="Z182" s="4" t="str">
        <f t="shared" si="2"/>
        <v>Eni SpAAT MATURITYFIXEDEURSr Unsecured</v>
      </c>
    </row>
    <row r="183">
      <c r="A183" s="8">
        <v>182.0</v>
      </c>
      <c r="B183" s="8" t="s">
        <v>614</v>
      </c>
      <c r="C183" s="8" t="s">
        <v>617</v>
      </c>
      <c r="D183" s="8" t="s">
        <v>57</v>
      </c>
      <c r="E183" s="8" t="str">
        <f>VLOOKUP(G183,'CBs RAW'!$E$2:$H$427,4)</f>
        <v>#N/A N/A</v>
      </c>
      <c r="F183" s="8" t="s">
        <v>200</v>
      </c>
      <c r="G183" s="8" t="s">
        <v>2501</v>
      </c>
      <c r="H183" s="8" t="s">
        <v>2502</v>
      </c>
      <c r="I183" s="8" t="s">
        <v>2503</v>
      </c>
      <c r="J183" s="8" t="s">
        <v>117</v>
      </c>
      <c r="K183" s="8" t="s">
        <v>56</v>
      </c>
      <c r="L183" s="7">
        <v>1.27917E9</v>
      </c>
      <c r="M183" s="8" t="s">
        <v>52</v>
      </c>
      <c r="N183" s="8" t="s">
        <v>1771</v>
      </c>
      <c r="O183" s="8" t="s">
        <v>200</v>
      </c>
      <c r="P183" s="32">
        <v>41464.0</v>
      </c>
      <c r="Q183" s="7">
        <f>VLOOKUP(G183,'CBs RAW'!$E$2:$P$427,12)</f>
        <v>3.25</v>
      </c>
      <c r="R183" s="32">
        <v>45117.0</v>
      </c>
      <c r="S183" s="8" t="s">
        <v>226</v>
      </c>
      <c r="T183" s="8" t="s">
        <v>620</v>
      </c>
      <c r="U183" s="8" t="s">
        <v>49</v>
      </c>
      <c r="V183" s="8" t="s">
        <v>53</v>
      </c>
      <c r="W183" s="8" t="s">
        <v>2504</v>
      </c>
      <c r="X183" s="33">
        <f>VLOOKUP(G183,'CBs RAW'!$E$2:$W$427,19)</f>
        <v>3.117</v>
      </c>
      <c r="Y183" s="34">
        <f t="shared" si="1"/>
        <v>3.117</v>
      </c>
      <c r="Z183" s="4" t="str">
        <f t="shared" si="2"/>
        <v>Eni SpAAT MATURITYFIXEDEURSr Unsecured</v>
      </c>
    </row>
    <row r="184">
      <c r="A184" s="8">
        <v>183.0</v>
      </c>
      <c r="B184" s="8" t="s">
        <v>614</v>
      </c>
      <c r="C184" s="8" t="s">
        <v>617</v>
      </c>
      <c r="D184" s="8" t="s">
        <v>57</v>
      </c>
      <c r="E184" s="8" t="str">
        <f>VLOOKUP(G184,'CBs RAW'!$E$2:$H$427,4)</f>
        <v>#N/A N/A</v>
      </c>
      <c r="F184" s="8" t="s">
        <v>200</v>
      </c>
      <c r="G184" s="8" t="s">
        <v>2505</v>
      </c>
      <c r="H184" s="8" t="s">
        <v>2506</v>
      </c>
      <c r="I184" s="8" t="s">
        <v>2507</v>
      </c>
      <c r="J184" s="8" t="s">
        <v>117</v>
      </c>
      <c r="K184" s="8" t="s">
        <v>56</v>
      </c>
      <c r="L184" s="7">
        <v>1.597272E9</v>
      </c>
      <c r="M184" s="8" t="s">
        <v>52</v>
      </c>
      <c r="N184" s="8" t="s">
        <v>1771</v>
      </c>
      <c r="O184" s="8" t="s">
        <v>200</v>
      </c>
      <c r="P184" s="32">
        <v>41529.0</v>
      </c>
      <c r="Q184" s="7">
        <f>VLOOKUP(G184,'CBs RAW'!$E$2:$P$427,12)</f>
        <v>3.75</v>
      </c>
      <c r="R184" s="32">
        <v>45912.0</v>
      </c>
      <c r="S184" s="8" t="s">
        <v>226</v>
      </c>
      <c r="T184" s="8" t="s">
        <v>620</v>
      </c>
      <c r="U184" s="8" t="s">
        <v>49</v>
      </c>
      <c r="V184" s="8" t="s">
        <v>53</v>
      </c>
      <c r="W184" s="8" t="s">
        <v>2508</v>
      </c>
      <c r="X184" s="33">
        <f>VLOOKUP(G184,'CBs RAW'!$E$2:$W$427,19)</f>
        <v>3.772</v>
      </c>
      <c r="Y184" s="34">
        <f t="shared" si="1"/>
        <v>3.772</v>
      </c>
      <c r="Z184" s="4" t="str">
        <f t="shared" si="2"/>
        <v>Eni SpAAT MATURITYFIXEDEURSr Unsecured</v>
      </c>
    </row>
    <row r="185">
      <c r="A185" s="8">
        <v>184.0</v>
      </c>
      <c r="B185" s="8" t="s">
        <v>614</v>
      </c>
      <c r="C185" s="8" t="s">
        <v>617</v>
      </c>
      <c r="D185" s="8" t="s">
        <v>57</v>
      </c>
      <c r="E185" s="8">
        <f>VLOOKUP(G185,'CBs RAW'!$E$2:$H$427,4)</f>
        <v>3.68</v>
      </c>
      <c r="F185" s="8" t="s">
        <v>200</v>
      </c>
      <c r="G185" s="8" t="s">
        <v>2509</v>
      </c>
      <c r="H185" s="8" t="s">
        <v>2510</v>
      </c>
      <c r="I185" s="8" t="s">
        <v>2511</v>
      </c>
      <c r="J185" s="8" t="s">
        <v>117</v>
      </c>
      <c r="K185" s="8" t="s">
        <v>56</v>
      </c>
      <c r="L185" s="7">
        <v>1.36632E9</v>
      </c>
      <c r="M185" s="8" t="s">
        <v>52</v>
      </c>
      <c r="N185" s="8" t="s">
        <v>1771</v>
      </c>
      <c r="O185" s="8" t="s">
        <v>200</v>
      </c>
      <c r="P185" s="32">
        <v>41667.0</v>
      </c>
      <c r="Q185" s="7">
        <f>VLOOKUP(G185,'CBs RAW'!$E$2:$P$427,12)</f>
        <v>3.625</v>
      </c>
      <c r="R185" s="32">
        <v>47147.0</v>
      </c>
      <c r="S185" s="8" t="s">
        <v>226</v>
      </c>
      <c r="T185" s="8" t="s">
        <v>620</v>
      </c>
      <c r="U185" s="8" t="s">
        <v>49</v>
      </c>
      <c r="V185" s="8" t="s">
        <v>53</v>
      </c>
      <c r="W185" s="8" t="s">
        <v>2512</v>
      </c>
      <c r="X185" s="33">
        <f>VLOOKUP(G185,'CBs RAW'!$E$2:$W$427,19)</f>
        <v>3.623</v>
      </c>
      <c r="Y185" s="34">
        <f t="shared" si="1"/>
        <v>3.623</v>
      </c>
      <c r="Z185" s="4" t="str">
        <f t="shared" si="2"/>
        <v>Eni SpAAT MATURITYFIXEDEURSr Unsecured</v>
      </c>
    </row>
    <row r="186">
      <c r="A186" s="8">
        <v>185.0</v>
      </c>
      <c r="B186" s="8" t="s">
        <v>614</v>
      </c>
      <c r="C186" s="8" t="s">
        <v>617</v>
      </c>
      <c r="D186" s="8" t="s">
        <v>57</v>
      </c>
      <c r="E186" s="8">
        <f>VLOOKUP(G186,'CBs RAW'!$E$2:$H$427,4)</f>
        <v>1.573</v>
      </c>
      <c r="F186" s="8" t="s">
        <v>200</v>
      </c>
      <c r="G186" s="8" t="s">
        <v>2513</v>
      </c>
      <c r="H186" s="8" t="s">
        <v>2514</v>
      </c>
      <c r="I186" s="8" t="s">
        <v>2515</v>
      </c>
      <c r="J186" s="8" t="s">
        <v>117</v>
      </c>
      <c r="K186" s="8" t="s">
        <v>56</v>
      </c>
      <c r="L186" s="7">
        <v>1.13326E9</v>
      </c>
      <c r="M186" s="8" t="s">
        <v>52</v>
      </c>
      <c r="N186" s="8" t="s">
        <v>1771</v>
      </c>
      <c r="O186" s="8" t="s">
        <v>200</v>
      </c>
      <c r="P186" s="32">
        <v>42037.0</v>
      </c>
      <c r="Q186" s="7">
        <f>VLOOKUP(G186,'CBs RAW'!$E$2:$P$427,12)</f>
        <v>1.5</v>
      </c>
      <c r="R186" s="32">
        <v>46055.0</v>
      </c>
      <c r="S186" s="8" t="s">
        <v>226</v>
      </c>
      <c r="T186" s="8" t="s">
        <v>620</v>
      </c>
      <c r="U186" s="8" t="s">
        <v>49</v>
      </c>
      <c r="V186" s="8" t="s">
        <v>53</v>
      </c>
      <c r="W186" s="8" t="s">
        <v>2516</v>
      </c>
      <c r="X186" s="33">
        <f>VLOOKUP(G186,'CBs RAW'!$E$2:$W$427,19)</f>
        <v>1.377</v>
      </c>
      <c r="Y186" s="34">
        <f t="shared" si="1"/>
        <v>1.377</v>
      </c>
      <c r="Z186" s="4" t="str">
        <f t="shared" si="2"/>
        <v>Eni SpAAT MATURITYFIXEDEURSr Unsecured</v>
      </c>
    </row>
    <row r="187">
      <c r="A187" s="8">
        <v>186.0</v>
      </c>
      <c r="B187" s="8" t="s">
        <v>614</v>
      </c>
      <c r="C187" s="8" t="s">
        <v>617</v>
      </c>
      <c r="D187" s="8" t="s">
        <v>57</v>
      </c>
      <c r="E187" s="8" t="str">
        <f>VLOOKUP(G187,'CBs RAW'!$E$2:$H$427,4)</f>
        <v>#N/A N/A</v>
      </c>
      <c r="F187" s="8" t="s">
        <v>200</v>
      </c>
      <c r="G187" s="8" t="s">
        <v>2517</v>
      </c>
      <c r="H187" s="8" t="s">
        <v>2518</v>
      </c>
      <c r="I187" s="8" t="s">
        <v>2519</v>
      </c>
      <c r="J187" s="8" t="s">
        <v>117</v>
      </c>
      <c r="K187" s="8" t="s">
        <v>56</v>
      </c>
      <c r="L187" s="7">
        <v>7.93219E8</v>
      </c>
      <c r="M187" s="8" t="s">
        <v>52</v>
      </c>
      <c r="N187" s="8" t="s">
        <v>1771</v>
      </c>
      <c r="O187" s="8" t="s">
        <v>200</v>
      </c>
      <c r="P187" s="32">
        <v>42507.0</v>
      </c>
      <c r="Q187" s="7">
        <f>VLOOKUP(G187,'CBs RAW'!$E$2:$P$427,12)</f>
        <v>0.75</v>
      </c>
      <c r="R187" s="32">
        <v>44698.0</v>
      </c>
      <c r="S187" s="8" t="s">
        <v>226</v>
      </c>
      <c r="T187" s="8" t="s">
        <v>620</v>
      </c>
      <c r="U187" s="8" t="s">
        <v>49</v>
      </c>
      <c r="V187" s="8" t="s">
        <v>53</v>
      </c>
      <c r="W187" s="8" t="s">
        <v>2520</v>
      </c>
      <c r="X187" s="33">
        <f>VLOOKUP(G187,'CBs RAW'!$E$2:$W$427,19)</f>
        <v>0.739</v>
      </c>
      <c r="Y187" s="34">
        <f t="shared" si="1"/>
        <v>0.739</v>
      </c>
      <c r="Z187" s="4" t="str">
        <f t="shared" si="2"/>
        <v>Eni SpAAT MATURITYFIXEDEURSr Unsecured</v>
      </c>
    </row>
    <row r="188">
      <c r="A188" s="8">
        <v>187.0</v>
      </c>
      <c r="B188" s="8" t="s">
        <v>614</v>
      </c>
      <c r="C188" s="8" t="s">
        <v>617</v>
      </c>
      <c r="D188" s="8" t="s">
        <v>57</v>
      </c>
      <c r="E188" s="8">
        <f>VLOOKUP(G188,'CBs RAW'!$E$2:$H$427,4)</f>
        <v>1.743</v>
      </c>
      <c r="F188" s="8" t="s">
        <v>200</v>
      </c>
      <c r="G188" s="8" t="s">
        <v>2521</v>
      </c>
      <c r="H188" s="8" t="s">
        <v>2522</v>
      </c>
      <c r="I188" s="8" t="s">
        <v>2523</v>
      </c>
      <c r="J188" s="8" t="s">
        <v>117</v>
      </c>
      <c r="K188" s="8" t="s">
        <v>56</v>
      </c>
      <c r="L188" s="7">
        <v>9.06536E8</v>
      </c>
      <c r="M188" s="8" t="s">
        <v>52</v>
      </c>
      <c r="N188" s="8" t="s">
        <v>1771</v>
      </c>
      <c r="O188" s="8" t="s">
        <v>200</v>
      </c>
      <c r="P188" s="32">
        <v>42507.0</v>
      </c>
      <c r="Q188" s="7">
        <f>VLOOKUP(G188,'CBs RAW'!$E$2:$P$427,12)</f>
        <v>1.625</v>
      </c>
      <c r="R188" s="32">
        <v>46890.0</v>
      </c>
      <c r="S188" s="8" t="s">
        <v>226</v>
      </c>
      <c r="T188" s="8" t="s">
        <v>620</v>
      </c>
      <c r="U188" s="8" t="s">
        <v>49</v>
      </c>
      <c r="V188" s="8" t="s">
        <v>53</v>
      </c>
      <c r="W188" s="8" t="s">
        <v>2524</v>
      </c>
      <c r="X188" s="33">
        <f>VLOOKUP(G188,'CBs RAW'!$E$2:$W$427,19)</f>
        <v>1.708</v>
      </c>
      <c r="Y188" s="34">
        <f t="shared" si="1"/>
        <v>1.708</v>
      </c>
      <c r="Z188" s="4" t="str">
        <f t="shared" si="2"/>
        <v>Eni SpAAT MATURITYFIXEDEURSr Unsecured</v>
      </c>
    </row>
    <row r="189">
      <c r="A189" s="8">
        <v>188.0</v>
      </c>
      <c r="B189" s="8" t="s">
        <v>614</v>
      </c>
      <c r="C189" s="8" t="s">
        <v>617</v>
      </c>
      <c r="D189" s="8" t="s">
        <v>57</v>
      </c>
      <c r="E189" s="8" t="str">
        <f>VLOOKUP(G189,'CBs RAW'!$E$2:$H$427,4)</f>
        <v>#N/A N/A</v>
      </c>
      <c r="F189" s="8" t="s">
        <v>200</v>
      </c>
      <c r="G189" s="8" t="s">
        <v>2525</v>
      </c>
      <c r="H189" s="8" t="s">
        <v>2526</v>
      </c>
      <c r="I189" s="8" t="s">
        <v>2527</v>
      </c>
      <c r="J189" s="8" t="s">
        <v>117</v>
      </c>
      <c r="K189" s="8" t="s">
        <v>56</v>
      </c>
      <c r="L189" s="7">
        <v>1.005921E9</v>
      </c>
      <c r="M189" s="8" t="s">
        <v>52</v>
      </c>
      <c r="N189" s="8" t="s">
        <v>1771</v>
      </c>
      <c r="O189" s="8" t="s">
        <v>200</v>
      </c>
      <c r="P189" s="32">
        <v>42632.0</v>
      </c>
      <c r="Q189" s="7">
        <f>VLOOKUP(G189,'CBs RAW'!$E$2:$P$427,12)</f>
        <v>0.625</v>
      </c>
      <c r="R189" s="32">
        <v>45554.0</v>
      </c>
      <c r="S189" s="8" t="s">
        <v>226</v>
      </c>
      <c r="T189" s="8" t="s">
        <v>620</v>
      </c>
      <c r="U189" s="8" t="s">
        <v>49</v>
      </c>
      <c r="V189" s="8" t="s">
        <v>53</v>
      </c>
      <c r="W189" s="8" t="s">
        <v>2528</v>
      </c>
      <c r="X189" s="33">
        <f>VLOOKUP(G189,'CBs RAW'!$E$2:$W$427,19)</f>
        <v>0.717</v>
      </c>
      <c r="Y189" s="34">
        <f t="shared" si="1"/>
        <v>0.717</v>
      </c>
      <c r="Z189" s="4" t="str">
        <f t="shared" si="2"/>
        <v>Eni SpAAT MATURITYFIXEDEURSr Unsecured</v>
      </c>
    </row>
    <row r="190">
      <c r="A190" s="8">
        <v>189.0</v>
      </c>
      <c r="B190" s="8" t="s">
        <v>614</v>
      </c>
      <c r="C190" s="8" t="s">
        <v>617</v>
      </c>
      <c r="D190" s="8" t="s">
        <v>57</v>
      </c>
      <c r="E190" s="8" t="str">
        <f>VLOOKUP(G190,'CBs RAW'!$E$2:$H$427,4)</f>
        <v>#N/A N/A</v>
      </c>
      <c r="F190" s="8" t="s">
        <v>200</v>
      </c>
      <c r="G190" s="8" t="s">
        <v>2529</v>
      </c>
      <c r="H190" s="8" t="s">
        <v>2530</v>
      </c>
      <c r="I190" s="8" t="s">
        <v>2531</v>
      </c>
      <c r="J190" s="8" t="s">
        <v>117</v>
      </c>
      <c r="K190" s="8" t="s">
        <v>56</v>
      </c>
      <c r="L190" s="7">
        <v>6.70614E8</v>
      </c>
      <c r="M190" s="8" t="s">
        <v>52</v>
      </c>
      <c r="N190" s="8" t="s">
        <v>1771</v>
      </c>
      <c r="O190" s="8" t="s">
        <v>200</v>
      </c>
      <c r="P190" s="32">
        <v>42632.0</v>
      </c>
      <c r="Q190" s="7">
        <f>VLOOKUP(G190,'CBs RAW'!$E$2:$P$427,12)</f>
        <v>1.125</v>
      </c>
      <c r="R190" s="32">
        <v>47015.0</v>
      </c>
      <c r="S190" s="8" t="s">
        <v>226</v>
      </c>
      <c r="T190" s="8" t="s">
        <v>620</v>
      </c>
      <c r="U190" s="8" t="s">
        <v>49</v>
      </c>
      <c r="V190" s="8" t="s">
        <v>53</v>
      </c>
      <c r="W190" s="8" t="s">
        <v>2532</v>
      </c>
      <c r="X190" s="33">
        <f>VLOOKUP(G190,'CBs RAW'!$E$2:$W$427,19)</f>
        <v>1.244</v>
      </c>
      <c r="Y190" s="34">
        <f t="shared" si="1"/>
        <v>1.244</v>
      </c>
      <c r="Z190" s="4" t="str">
        <f t="shared" si="2"/>
        <v>Eni SpAAT MATURITYFIXEDEURSr Unsecured</v>
      </c>
    </row>
    <row r="191">
      <c r="A191" s="8">
        <v>190.0</v>
      </c>
      <c r="B191" s="8" t="s">
        <v>614</v>
      </c>
      <c r="C191" s="8" t="s">
        <v>617</v>
      </c>
      <c r="D191" s="8" t="s">
        <v>57</v>
      </c>
      <c r="E191" s="8" t="str">
        <f>VLOOKUP(G191,'CBs RAW'!$E$2:$H$427,4)</f>
        <v>#N/A N/A</v>
      </c>
      <c r="F191" s="8" t="s">
        <v>200</v>
      </c>
      <c r="G191" s="8" t="s">
        <v>2533</v>
      </c>
      <c r="H191" s="8" t="s">
        <v>2534</v>
      </c>
      <c r="I191" s="8" t="s">
        <v>2535</v>
      </c>
      <c r="J191" s="8" t="s">
        <v>117</v>
      </c>
      <c r="K191" s="8" t="s">
        <v>56</v>
      </c>
      <c r="L191" s="7">
        <v>8.5251E8</v>
      </c>
      <c r="M191" s="8" t="s">
        <v>52</v>
      </c>
      <c r="N191" s="8" t="s">
        <v>1771</v>
      </c>
      <c r="O191" s="8" t="s">
        <v>200</v>
      </c>
      <c r="P191" s="32">
        <v>42265.0</v>
      </c>
      <c r="Q191" s="7">
        <f>VLOOKUP(G191,'CBs RAW'!$E$2:$P$427,12)</f>
        <v>1.75</v>
      </c>
      <c r="R191" s="32">
        <v>45309.0</v>
      </c>
      <c r="S191" s="8" t="s">
        <v>226</v>
      </c>
      <c r="T191" s="8" t="s">
        <v>620</v>
      </c>
      <c r="U191" s="8" t="s">
        <v>49</v>
      </c>
      <c r="V191" s="8" t="s">
        <v>53</v>
      </c>
      <c r="W191" s="8" t="s">
        <v>2536</v>
      </c>
      <c r="X191" s="33">
        <f>VLOOKUP(G191,'CBs RAW'!$E$2:$W$427,19)</f>
        <v>1.764</v>
      </c>
      <c r="Y191" s="34">
        <f t="shared" si="1"/>
        <v>1.764</v>
      </c>
      <c r="Z191" s="4" t="str">
        <f t="shared" si="2"/>
        <v>Eni SpAAT MATURITYFIXEDEURSr Unsecured</v>
      </c>
    </row>
    <row r="192">
      <c r="A192" s="8">
        <v>191.0</v>
      </c>
      <c r="B192" s="8" t="s">
        <v>614</v>
      </c>
      <c r="C192" s="8" t="s">
        <v>617</v>
      </c>
      <c r="D192" s="8" t="s">
        <v>57</v>
      </c>
      <c r="E192" s="8" t="str">
        <f>VLOOKUP(G192,'CBs RAW'!$E$2:$H$427,4)</f>
        <v>#N/A N/A</v>
      </c>
      <c r="F192" s="8" t="s">
        <v>200</v>
      </c>
      <c r="G192" s="8" t="s">
        <v>2537</v>
      </c>
      <c r="H192" s="8" t="s">
        <v>2538</v>
      </c>
      <c r="I192" s="8" t="s">
        <v>2539</v>
      </c>
      <c r="J192" s="8" t="s">
        <v>117</v>
      </c>
      <c r="K192" s="8" t="s">
        <v>56</v>
      </c>
      <c r="L192" s="7">
        <v>1.1051E9</v>
      </c>
      <c r="M192" s="8" t="s">
        <v>52</v>
      </c>
      <c r="N192" s="8" t="s">
        <v>1771</v>
      </c>
      <c r="O192" s="8" t="s">
        <v>200</v>
      </c>
      <c r="P192" s="32">
        <v>43853.0</v>
      </c>
      <c r="Q192" s="7">
        <f>VLOOKUP(G192,'CBs RAW'!$E$2:$P$427,12)</f>
        <v>0.625</v>
      </c>
      <c r="R192" s="32">
        <v>47506.0</v>
      </c>
      <c r="S192" s="8" t="s">
        <v>226</v>
      </c>
      <c r="T192" s="8" t="s">
        <v>620</v>
      </c>
      <c r="U192" s="8" t="s">
        <v>49</v>
      </c>
      <c r="V192" s="8" t="s">
        <v>53</v>
      </c>
      <c r="W192" s="8" t="s">
        <v>2540</v>
      </c>
      <c r="X192" s="33">
        <f>VLOOKUP(G192,'CBs RAW'!$E$2:$W$427,19)</f>
        <v>0.542</v>
      </c>
      <c r="Y192" s="34">
        <f t="shared" si="1"/>
        <v>0.542</v>
      </c>
      <c r="Z192" s="4" t="str">
        <f t="shared" si="2"/>
        <v>Eni SpAAT MATURITYFIXEDEURSr Unsecured</v>
      </c>
    </row>
    <row r="193">
      <c r="A193" s="8">
        <v>192.0</v>
      </c>
      <c r="B193" s="8" t="s">
        <v>614</v>
      </c>
      <c r="C193" s="8" t="s">
        <v>617</v>
      </c>
      <c r="D193" s="8" t="s">
        <v>57</v>
      </c>
      <c r="E193" s="8" t="str">
        <f>VLOOKUP(G193,'CBs RAW'!$E$2:$H$427,4)</f>
        <v>#N/A N/A</v>
      </c>
      <c r="F193" s="8" t="s">
        <v>200</v>
      </c>
      <c r="G193" s="8" t="s">
        <v>2541</v>
      </c>
      <c r="H193" s="8" t="s">
        <v>2542</v>
      </c>
      <c r="I193" s="8" t="s">
        <v>2543</v>
      </c>
      <c r="J193" s="8" t="s">
        <v>117</v>
      </c>
      <c r="K193" s="8" t="s">
        <v>56</v>
      </c>
      <c r="L193" s="7">
        <v>8.28795E8</v>
      </c>
      <c r="M193" s="8" t="s">
        <v>52</v>
      </c>
      <c r="N193" s="8" t="s">
        <v>1771</v>
      </c>
      <c r="O193" s="8" t="s">
        <v>200</v>
      </c>
      <c r="P193" s="32">
        <v>43749.0</v>
      </c>
      <c r="Q193" s="7">
        <f>VLOOKUP(G193,'CBs RAW'!$E$2:$P$427,12)</f>
        <v>1</v>
      </c>
      <c r="R193" s="32">
        <v>49228.0</v>
      </c>
      <c r="S193" s="8" t="s">
        <v>226</v>
      </c>
      <c r="T193" s="8" t="s">
        <v>620</v>
      </c>
      <c r="U193" s="8" t="s">
        <v>49</v>
      </c>
      <c r="V193" s="8" t="s">
        <v>53</v>
      </c>
      <c r="W193" s="8" t="s">
        <v>2544</v>
      </c>
      <c r="X193" s="33">
        <f>VLOOKUP(G193,'CBs RAW'!$E$2:$W$427,19)</f>
        <v>1.054</v>
      </c>
      <c r="Y193" s="34">
        <f t="shared" si="1"/>
        <v>1.054</v>
      </c>
      <c r="Z193" s="4" t="str">
        <f t="shared" si="2"/>
        <v>Eni SpAAT MATURITYFIXEDEURSr Unsecured</v>
      </c>
    </row>
    <row r="194">
      <c r="A194" s="8">
        <v>193.0</v>
      </c>
      <c r="B194" s="8" t="s">
        <v>614</v>
      </c>
      <c r="C194" s="8" t="s">
        <v>617</v>
      </c>
      <c r="D194" s="8" t="s">
        <v>71</v>
      </c>
      <c r="E194" s="8">
        <f>VLOOKUP(G194,'CBs RAW'!$E$2:$H$427,4)</f>
        <v>4.282</v>
      </c>
      <c r="F194" s="8" t="s">
        <v>200</v>
      </c>
      <c r="G194" s="8" t="s">
        <v>2545</v>
      </c>
      <c r="H194" s="8" t="s">
        <v>2546</v>
      </c>
      <c r="I194" s="8" t="s">
        <v>2547</v>
      </c>
      <c r="J194" s="8" t="s">
        <v>117</v>
      </c>
      <c r="K194" s="8" t="s">
        <v>56</v>
      </c>
      <c r="L194" s="7">
        <v>1.0E9</v>
      </c>
      <c r="M194" s="8" t="s">
        <v>52</v>
      </c>
      <c r="N194" s="8" t="s">
        <v>1776</v>
      </c>
      <c r="O194" s="8" t="s">
        <v>200</v>
      </c>
      <c r="P194" s="32">
        <v>43594.0</v>
      </c>
      <c r="Q194" s="7">
        <f>VLOOKUP(G194,'CBs RAW'!$E$2:$P$427,12)</f>
        <v>4.25</v>
      </c>
      <c r="R194" s="32">
        <v>47247.0</v>
      </c>
      <c r="S194" s="8" t="s">
        <v>262</v>
      </c>
      <c r="T194" s="8" t="s">
        <v>620</v>
      </c>
      <c r="U194" s="8" t="s">
        <v>115</v>
      </c>
      <c r="V194" s="8" t="s">
        <v>263</v>
      </c>
      <c r="W194" s="8" t="s">
        <v>2548</v>
      </c>
      <c r="X194" s="33" t="str">
        <f>VLOOKUP(G194,'CBs RAW'!$E$2:$W$427,19)</f>
        <v>#N/A N/A</v>
      </c>
      <c r="Y194" s="4">
        <f t="shared" si="1"/>
        <v>4.282</v>
      </c>
      <c r="Z194" s="4" t="str">
        <f t="shared" si="2"/>
        <v>Eni SpACALLABLEFIXEDUSDSr Unsecured</v>
      </c>
    </row>
    <row r="195">
      <c r="A195" s="8">
        <v>194.0</v>
      </c>
      <c r="B195" s="8" t="s">
        <v>614</v>
      </c>
      <c r="C195" s="8" t="s">
        <v>617</v>
      </c>
      <c r="D195" s="8" t="s">
        <v>71</v>
      </c>
      <c r="E195" s="8">
        <f>VLOOKUP(G195,'CBs RAW'!$E$2:$H$427,4)</f>
        <v>4.282</v>
      </c>
      <c r="F195" s="8" t="s">
        <v>200</v>
      </c>
      <c r="G195" s="8" t="s">
        <v>2549</v>
      </c>
      <c r="H195" s="8" t="s">
        <v>2550</v>
      </c>
      <c r="I195" s="8" t="s">
        <v>2551</v>
      </c>
      <c r="J195" s="8" t="s">
        <v>117</v>
      </c>
      <c r="K195" s="8" t="s">
        <v>56</v>
      </c>
      <c r="L195" s="7">
        <v>1.0E9</v>
      </c>
      <c r="M195" s="8" t="s">
        <v>52</v>
      </c>
      <c r="N195" s="8" t="s">
        <v>1776</v>
      </c>
      <c r="O195" s="8" t="s">
        <v>200</v>
      </c>
      <c r="P195" s="32">
        <v>43594.0</v>
      </c>
      <c r="Q195" s="7">
        <f>VLOOKUP(G195,'CBs RAW'!$E$2:$P$427,12)</f>
        <v>4.25</v>
      </c>
      <c r="R195" s="32">
        <v>47247.0</v>
      </c>
      <c r="S195" s="8" t="s">
        <v>271</v>
      </c>
      <c r="T195" s="8" t="s">
        <v>620</v>
      </c>
      <c r="U195" s="8" t="s">
        <v>115</v>
      </c>
      <c r="V195" s="8" t="s">
        <v>263</v>
      </c>
      <c r="W195" s="8" t="s">
        <v>2552</v>
      </c>
      <c r="X195" s="33" t="str">
        <f>VLOOKUP(G195,'CBs RAW'!$E$2:$W$427,19)</f>
        <v>#N/A N/A</v>
      </c>
      <c r="Y195" s="4">
        <f t="shared" si="1"/>
        <v>4.282</v>
      </c>
      <c r="Z195" s="4" t="str">
        <f t="shared" si="2"/>
        <v>Eni SpACALLABLEFIXEDUSDSr Unsecured</v>
      </c>
    </row>
    <row r="196">
      <c r="A196" s="8">
        <v>195.0</v>
      </c>
      <c r="B196" s="8" t="s">
        <v>614</v>
      </c>
      <c r="C196" s="8" t="s">
        <v>617</v>
      </c>
      <c r="D196" s="8" t="s">
        <v>71</v>
      </c>
      <c r="E196" s="8">
        <f>VLOOKUP(G196,'CBs RAW'!$E$2:$H$427,4)</f>
        <v>4.282</v>
      </c>
      <c r="F196" s="8" t="s">
        <v>200</v>
      </c>
      <c r="G196" s="8" t="s">
        <v>2553</v>
      </c>
      <c r="H196" s="8" t="s">
        <v>2554</v>
      </c>
      <c r="I196" s="8" t="s">
        <v>2555</v>
      </c>
      <c r="J196" s="8" t="s">
        <v>117</v>
      </c>
      <c r="K196" s="8" t="s">
        <v>56</v>
      </c>
      <c r="L196" s="7">
        <v>1.0E9</v>
      </c>
      <c r="M196" s="8" t="s">
        <v>52</v>
      </c>
      <c r="N196" s="8" t="s">
        <v>1776</v>
      </c>
      <c r="O196" s="8" t="s">
        <v>200</v>
      </c>
      <c r="P196" s="32">
        <v>43594.0</v>
      </c>
      <c r="Q196" s="7">
        <f>VLOOKUP(G196,'CBs RAW'!$E$2:$P$427,12)</f>
        <v>4.25</v>
      </c>
      <c r="R196" s="32">
        <v>47247.0</v>
      </c>
      <c r="S196" s="8" t="s">
        <v>1334</v>
      </c>
      <c r="T196" s="8" t="s">
        <v>620</v>
      </c>
      <c r="U196" s="8" t="s">
        <v>115</v>
      </c>
      <c r="V196" s="8" t="s">
        <v>263</v>
      </c>
      <c r="W196" s="8" t="s">
        <v>2556</v>
      </c>
      <c r="X196" s="33" t="str">
        <f>VLOOKUP(G196,'CBs RAW'!$E$2:$W$427,19)</f>
        <v>#N/A N/A</v>
      </c>
      <c r="Y196" s="4">
        <f t="shared" si="1"/>
        <v>4.282</v>
      </c>
      <c r="Z196" s="4" t="str">
        <f t="shared" si="2"/>
        <v>Eni SpACALLABLEFIXEDUSDSr Unsecured</v>
      </c>
    </row>
    <row r="197">
      <c r="A197" s="8">
        <v>196.0</v>
      </c>
      <c r="B197" s="8" t="s">
        <v>1076</v>
      </c>
      <c r="C197" s="8" t="s">
        <v>1079</v>
      </c>
      <c r="D197" s="8" t="s">
        <v>71</v>
      </c>
      <c r="E197" s="8">
        <f>VLOOKUP(G197,'CBs RAW'!$E$2:$H$427,4)</f>
        <v>2.625</v>
      </c>
      <c r="F197" s="8" t="s">
        <v>185</v>
      </c>
      <c r="G197" s="8" t="s">
        <v>2557</v>
      </c>
      <c r="H197" s="8" t="s">
        <v>2558</v>
      </c>
      <c r="I197" s="8" t="s">
        <v>2559</v>
      </c>
      <c r="J197" s="8" t="s">
        <v>885</v>
      </c>
      <c r="K197" s="8" t="s">
        <v>56</v>
      </c>
      <c r="L197" s="7">
        <v>1.23188E9</v>
      </c>
      <c r="M197" s="8" t="s">
        <v>52</v>
      </c>
      <c r="N197" s="8" t="s">
        <v>1840</v>
      </c>
      <c r="O197" s="8" t="s">
        <v>185</v>
      </c>
      <c r="P197" s="32">
        <v>43167.0</v>
      </c>
      <c r="Q197" s="7">
        <f>VLOOKUP(G197,'CBs RAW'!$E$2:$P$427,12)</f>
        <v>2.625</v>
      </c>
      <c r="R197" s="32">
        <v>45823.0</v>
      </c>
      <c r="S197" s="8" t="s">
        <v>174</v>
      </c>
      <c r="T197" s="8" t="s">
        <v>885</v>
      </c>
      <c r="U197" s="8" t="s">
        <v>115</v>
      </c>
      <c r="V197" s="8" t="s">
        <v>53</v>
      </c>
      <c r="W197" s="8" t="s">
        <v>2560</v>
      </c>
      <c r="X197" s="33">
        <f>VLOOKUP(G197,'CBs RAW'!$E$2:$W$427,19)</f>
        <v>2.467</v>
      </c>
      <c r="Y197" s="34">
        <f t="shared" si="1"/>
        <v>2.467</v>
      </c>
      <c r="Z197" s="4" t="str">
        <f t="shared" si="2"/>
        <v>Faurecia SECALLABLEFIXEDEURSr Unsecured</v>
      </c>
    </row>
    <row r="198">
      <c r="A198" s="8">
        <v>197.0</v>
      </c>
      <c r="B198" s="8" t="s">
        <v>1076</v>
      </c>
      <c r="C198" s="8" t="s">
        <v>1079</v>
      </c>
      <c r="D198" s="8" t="s">
        <v>71</v>
      </c>
      <c r="E198" s="8" t="str">
        <f>VLOOKUP(G198,'CBs RAW'!$E$2:$H$427,4)</f>
        <v>#N/A N/A</v>
      </c>
      <c r="F198" s="8" t="s">
        <v>185</v>
      </c>
      <c r="G198" s="8" t="s">
        <v>2561</v>
      </c>
      <c r="H198" s="8" t="s">
        <v>174</v>
      </c>
      <c r="I198" s="8" t="s">
        <v>2562</v>
      </c>
      <c r="J198" s="8" t="s">
        <v>885</v>
      </c>
      <c r="K198" s="8" t="s">
        <v>70</v>
      </c>
      <c r="L198" s="7">
        <v>5.7006535E8</v>
      </c>
      <c r="M198" s="8" t="s">
        <v>52</v>
      </c>
      <c r="N198" s="8" t="s">
        <v>2563</v>
      </c>
      <c r="O198" s="8" t="s">
        <v>185</v>
      </c>
      <c r="P198" s="32">
        <v>43454.0</v>
      </c>
      <c r="Q198" s="7">
        <f>VLOOKUP(G198,'CBs RAW'!$E$2:$P$427,12)</f>
        <v>0</v>
      </c>
      <c r="R198" s="32">
        <v>44915.0</v>
      </c>
      <c r="S198" s="8" t="s">
        <v>162</v>
      </c>
      <c r="T198" s="8" t="s">
        <v>54</v>
      </c>
      <c r="U198" s="8" t="s">
        <v>49</v>
      </c>
      <c r="V198" s="8" t="s">
        <v>53</v>
      </c>
      <c r="W198" s="8" t="s">
        <v>2564</v>
      </c>
      <c r="X198" s="33" t="str">
        <f>VLOOKUP(G198,'CBs RAW'!$E$2:$W$427,19)</f>
        <v>#N/A N/A</v>
      </c>
      <c r="Y198" s="4" t="str">
        <f t="shared" si="1"/>
        <v>#N/A N/A</v>
      </c>
      <c r="Z198" s="4" t="str">
        <f t="shared" si="2"/>
        <v>Faurecia SEAT MATURITYFLOATINGEURSr Unsecured</v>
      </c>
    </row>
    <row r="199">
      <c r="A199" s="8">
        <v>198.0</v>
      </c>
      <c r="B199" s="8" t="s">
        <v>1076</v>
      </c>
      <c r="C199" s="8" t="s">
        <v>1079</v>
      </c>
      <c r="D199" s="8" t="s">
        <v>71</v>
      </c>
      <c r="E199" s="8" t="str">
        <f>VLOOKUP(G199,'CBs RAW'!$E$2:$H$427,4)</f>
        <v>#N/A N/A</v>
      </c>
      <c r="F199" s="8" t="s">
        <v>185</v>
      </c>
      <c r="G199" s="8" t="s">
        <v>2565</v>
      </c>
      <c r="H199" s="8" t="s">
        <v>174</v>
      </c>
      <c r="I199" s="8" t="s">
        <v>2566</v>
      </c>
      <c r="J199" s="8" t="s">
        <v>885</v>
      </c>
      <c r="K199" s="8" t="s">
        <v>70</v>
      </c>
      <c r="L199" s="7">
        <v>8.0382079E8</v>
      </c>
      <c r="M199" s="8" t="s">
        <v>52</v>
      </c>
      <c r="N199" s="8" t="s">
        <v>2563</v>
      </c>
      <c r="O199" s="8" t="s">
        <v>185</v>
      </c>
      <c r="P199" s="32">
        <v>43454.0</v>
      </c>
      <c r="Q199" s="7">
        <f>VLOOKUP(G199,'CBs RAW'!$E$2:$P$427,12)</f>
        <v>0</v>
      </c>
      <c r="R199" s="32">
        <v>45646.0</v>
      </c>
      <c r="S199" s="8" t="s">
        <v>158</v>
      </c>
      <c r="T199" s="8" t="s">
        <v>54</v>
      </c>
      <c r="U199" s="8" t="s">
        <v>49</v>
      </c>
      <c r="V199" s="8" t="s">
        <v>53</v>
      </c>
      <c r="W199" s="8" t="s">
        <v>2567</v>
      </c>
      <c r="X199" s="33" t="str">
        <f>VLOOKUP(G199,'CBs RAW'!$E$2:$W$427,19)</f>
        <v>#N/A N/A</v>
      </c>
      <c r="Y199" s="4" t="str">
        <f t="shared" si="1"/>
        <v>#N/A N/A</v>
      </c>
      <c r="Z199" s="4" t="str">
        <f t="shared" si="2"/>
        <v>Faurecia SEAT MATURITYFLOATINGEURSr Unsecured</v>
      </c>
    </row>
    <row r="200">
      <c r="A200" s="8">
        <v>199.0</v>
      </c>
      <c r="B200" s="8" t="s">
        <v>1076</v>
      </c>
      <c r="C200" s="8" t="s">
        <v>1079</v>
      </c>
      <c r="D200" s="8" t="s">
        <v>392</v>
      </c>
      <c r="E200" s="8" t="str">
        <f>VLOOKUP(G200,'CBs RAW'!$E$2:$H$427,4)</f>
        <v>#N/A N/A</v>
      </c>
      <c r="F200" s="8" t="s">
        <v>185</v>
      </c>
      <c r="G200" s="8" t="s">
        <v>2568</v>
      </c>
      <c r="H200" s="8" t="s">
        <v>174</v>
      </c>
      <c r="I200" s="8" t="s">
        <v>2569</v>
      </c>
      <c r="J200" s="8" t="s">
        <v>885</v>
      </c>
      <c r="K200" s="8" t="s">
        <v>70</v>
      </c>
      <c r="L200" s="7">
        <v>2.305E8</v>
      </c>
      <c r="M200" s="8" t="s">
        <v>52</v>
      </c>
      <c r="N200" s="8" t="s">
        <v>2563</v>
      </c>
      <c r="O200" s="8" t="s">
        <v>185</v>
      </c>
      <c r="P200" s="32">
        <v>43454.0</v>
      </c>
      <c r="Q200" s="7">
        <f>VLOOKUP(G200,'CBs RAW'!$E$2:$P$427,12)</f>
        <v>0</v>
      </c>
      <c r="R200" s="32">
        <v>45280.0</v>
      </c>
      <c r="S200" s="8" t="s">
        <v>76</v>
      </c>
      <c r="T200" s="8" t="s">
        <v>54</v>
      </c>
      <c r="U200" s="8" t="s">
        <v>49</v>
      </c>
      <c r="V200" s="8" t="s">
        <v>263</v>
      </c>
      <c r="W200" s="8" t="s">
        <v>2570</v>
      </c>
      <c r="X200" s="33" t="str">
        <f>VLOOKUP(G200,'CBs RAW'!$E$2:$W$427,19)</f>
        <v>#N/A N/A</v>
      </c>
      <c r="Y200" s="4" t="str">
        <f t="shared" si="1"/>
        <v>#N/A N/A</v>
      </c>
      <c r="Z200" s="4" t="str">
        <f t="shared" si="2"/>
        <v>Faurecia SEAT MATURITYFLOATINGUSDSr Unsecured</v>
      </c>
    </row>
    <row r="201">
      <c r="A201" s="8">
        <v>200.0</v>
      </c>
      <c r="B201" s="8" t="s">
        <v>1076</v>
      </c>
      <c r="C201" s="8" t="s">
        <v>1079</v>
      </c>
      <c r="D201" s="8" t="s">
        <v>71</v>
      </c>
      <c r="E201" s="8" t="str">
        <f>VLOOKUP(G201,'CBs RAW'!$E$2:$H$427,4)</f>
        <v>#N/A N/A</v>
      </c>
      <c r="F201" s="8" t="s">
        <v>185</v>
      </c>
      <c r="G201" s="8" t="s">
        <v>2571</v>
      </c>
      <c r="H201" s="8" t="s">
        <v>2572</v>
      </c>
      <c r="I201" s="8" t="s">
        <v>2573</v>
      </c>
      <c r="J201" s="8" t="s">
        <v>885</v>
      </c>
      <c r="K201" s="8" t="s">
        <v>56</v>
      </c>
      <c r="L201" s="7">
        <v>8.4405E8</v>
      </c>
      <c r="M201" s="8" t="s">
        <v>52</v>
      </c>
      <c r="N201" s="8" t="s">
        <v>1840</v>
      </c>
      <c r="O201" s="8" t="s">
        <v>185</v>
      </c>
      <c r="P201" s="32">
        <v>43551.0</v>
      </c>
      <c r="Q201" s="7">
        <f>VLOOKUP(G201,'CBs RAW'!$E$2:$P$427,12)</f>
        <v>3.125</v>
      </c>
      <c r="R201" s="32">
        <v>46188.0</v>
      </c>
      <c r="S201" s="8" t="s">
        <v>174</v>
      </c>
      <c r="T201" s="8" t="s">
        <v>885</v>
      </c>
      <c r="U201" s="8" t="s">
        <v>115</v>
      </c>
      <c r="V201" s="8" t="s">
        <v>53</v>
      </c>
      <c r="W201" s="8" t="s">
        <v>2574</v>
      </c>
      <c r="X201" s="33">
        <f>VLOOKUP(G201,'CBs RAW'!$E$2:$W$427,19)</f>
        <v>2.954</v>
      </c>
      <c r="Y201" s="34">
        <f t="shared" si="1"/>
        <v>2.954</v>
      </c>
      <c r="Z201" s="4" t="str">
        <f t="shared" si="2"/>
        <v>Faurecia SECALLABLEFIXEDEURSr Unsecured</v>
      </c>
    </row>
    <row r="202">
      <c r="A202" s="8">
        <v>201.0</v>
      </c>
      <c r="B202" s="8" t="s">
        <v>1076</v>
      </c>
      <c r="C202" s="8" t="s">
        <v>1079</v>
      </c>
      <c r="D202" s="8" t="s">
        <v>71</v>
      </c>
      <c r="E202" s="8">
        <f>VLOOKUP(G202,'CBs RAW'!$E$2:$H$427,4)</f>
        <v>3.75</v>
      </c>
      <c r="F202" s="8" t="s">
        <v>185</v>
      </c>
      <c r="G202" s="8" t="s">
        <v>2575</v>
      </c>
      <c r="H202" s="8" t="s">
        <v>2576</v>
      </c>
      <c r="I202" s="8" t="s">
        <v>2577</v>
      </c>
      <c r="J202" s="8" t="s">
        <v>885</v>
      </c>
      <c r="K202" s="8" t="s">
        <v>56</v>
      </c>
      <c r="L202" s="7">
        <v>8.25398E8</v>
      </c>
      <c r="M202" s="8" t="s">
        <v>52</v>
      </c>
      <c r="N202" s="8" t="s">
        <v>1776</v>
      </c>
      <c r="O202" s="8" t="s">
        <v>185</v>
      </c>
      <c r="P202" s="32">
        <v>44043.0</v>
      </c>
      <c r="Q202" s="7">
        <f>VLOOKUP(G202,'CBs RAW'!$E$2:$P$427,12)</f>
        <v>3.75</v>
      </c>
      <c r="R202" s="32">
        <v>46919.0</v>
      </c>
      <c r="S202" s="8" t="s">
        <v>174</v>
      </c>
      <c r="T202" s="8" t="s">
        <v>885</v>
      </c>
      <c r="U202" s="8" t="s">
        <v>115</v>
      </c>
      <c r="V202" s="8" t="s">
        <v>53</v>
      </c>
      <c r="W202" s="8" t="s">
        <v>2578</v>
      </c>
      <c r="X202" s="33">
        <f>VLOOKUP(G202,'CBs RAW'!$E$2:$W$427,19)</f>
        <v>3.691</v>
      </c>
      <c r="Y202" s="34">
        <f t="shared" si="1"/>
        <v>3.691</v>
      </c>
      <c r="Z202" s="4" t="str">
        <f t="shared" si="2"/>
        <v>Faurecia SECALLABLEFIXEDEURSr Unsecured</v>
      </c>
    </row>
    <row r="203">
      <c r="A203" s="8">
        <v>202.0</v>
      </c>
      <c r="B203" s="8" t="s">
        <v>1076</v>
      </c>
      <c r="C203" s="8" t="s">
        <v>1079</v>
      </c>
      <c r="D203" s="8" t="s">
        <v>71</v>
      </c>
      <c r="E203" s="8" t="str">
        <f>VLOOKUP(G203,'CBs RAW'!$E$2:$H$427,4)</f>
        <v>#N/A N/A</v>
      </c>
      <c r="F203" s="8" t="s">
        <v>185</v>
      </c>
      <c r="G203" s="8" t="s">
        <v>2579</v>
      </c>
      <c r="H203" s="8" t="s">
        <v>2580</v>
      </c>
      <c r="I203" s="8" t="s">
        <v>2581</v>
      </c>
      <c r="J203" s="8" t="s">
        <v>885</v>
      </c>
      <c r="K203" s="8" t="s">
        <v>56</v>
      </c>
      <c r="L203" s="7">
        <v>9.790178E8</v>
      </c>
      <c r="M203" s="8" t="s">
        <v>52</v>
      </c>
      <c r="N203" s="8" t="s">
        <v>1840</v>
      </c>
      <c r="O203" s="8" t="s">
        <v>185</v>
      </c>
      <c r="P203" s="32">
        <v>43796.0</v>
      </c>
      <c r="Q203" s="7">
        <f>VLOOKUP(G203,'CBs RAW'!$E$2:$P$427,12)</f>
        <v>2.375</v>
      </c>
      <c r="R203" s="32">
        <v>46553.0</v>
      </c>
      <c r="S203" s="8" t="s">
        <v>174</v>
      </c>
      <c r="T203" s="8" t="s">
        <v>885</v>
      </c>
      <c r="U203" s="8" t="s">
        <v>115</v>
      </c>
      <c r="V203" s="8" t="s">
        <v>53</v>
      </c>
      <c r="W203" s="8" t="s">
        <v>2582</v>
      </c>
      <c r="X203" s="33">
        <f>VLOOKUP(G203,'CBs RAW'!$E$2:$W$427,19)</f>
        <v>2.168</v>
      </c>
      <c r="Y203" s="34">
        <f t="shared" si="1"/>
        <v>2.168</v>
      </c>
      <c r="Z203" s="4" t="str">
        <f t="shared" si="2"/>
        <v>Faurecia SECALLABLEFIXEDEURSr Unsecured</v>
      </c>
    </row>
    <row r="204">
      <c r="A204" s="8">
        <v>203.0</v>
      </c>
      <c r="B204" s="8" t="s">
        <v>1422</v>
      </c>
      <c r="C204" s="8" t="s">
        <v>1425</v>
      </c>
      <c r="D204" s="8" t="s">
        <v>57</v>
      </c>
      <c r="E204" s="8" t="str">
        <f>VLOOKUP(G204,'CBs RAW'!$E$2:$H$427,4)</f>
        <v>#N/A N/A</v>
      </c>
      <c r="F204" s="8" t="s">
        <v>200</v>
      </c>
      <c r="G204" s="8" t="s">
        <v>2583</v>
      </c>
      <c r="H204" s="8" t="s">
        <v>2584</v>
      </c>
      <c r="I204" s="8" t="s">
        <v>2585</v>
      </c>
      <c r="J204" s="8" t="s">
        <v>55</v>
      </c>
      <c r="K204" s="8" t="s">
        <v>56</v>
      </c>
      <c r="L204" s="7">
        <v>5.86195E7</v>
      </c>
      <c r="M204" s="8" t="s">
        <v>52</v>
      </c>
      <c r="N204" s="8" t="s">
        <v>174</v>
      </c>
      <c r="O204" s="8" t="s">
        <v>200</v>
      </c>
      <c r="P204" s="32">
        <v>43014.0</v>
      </c>
      <c r="Q204" s="7">
        <f>VLOOKUP(G204,'CBs RAW'!$E$2:$P$427,12)</f>
        <v>2.747</v>
      </c>
      <c r="R204" s="32">
        <v>45571.0</v>
      </c>
      <c r="S204" s="8" t="s">
        <v>174</v>
      </c>
      <c r="T204" s="8" t="s">
        <v>54</v>
      </c>
      <c r="U204" s="8" t="s">
        <v>49</v>
      </c>
      <c r="V204" s="8" t="s">
        <v>53</v>
      </c>
      <c r="W204" s="8" t="s">
        <v>2586</v>
      </c>
      <c r="X204" s="33" t="str">
        <f>VLOOKUP(G204,'CBs RAW'!$E$2:$W$427,19)</f>
        <v>#N/A N/A</v>
      </c>
      <c r="Y204" s="4" t="str">
        <f t="shared" si="1"/>
        <v>#N/A N/A</v>
      </c>
      <c r="Z204" s="4" t="str">
        <f t="shared" si="2"/>
        <v>FIS Fabbrica Italiana Sintetici SpAAT MATURITYFIXEDEURSr Unsecured</v>
      </c>
    </row>
    <row r="205">
      <c r="A205" s="8">
        <v>204.0</v>
      </c>
      <c r="B205" s="8" t="s">
        <v>625</v>
      </c>
      <c r="C205" s="8" t="s">
        <v>628</v>
      </c>
      <c r="D205" s="8" t="s">
        <v>71</v>
      </c>
      <c r="E205" s="8" t="str">
        <f>VLOOKUP(G205,'CBs RAW'!$E$2:$H$427,4)</f>
        <v>#N/A N/A</v>
      </c>
      <c r="F205" s="8" t="s">
        <v>45</v>
      </c>
      <c r="G205" s="8" t="s">
        <v>2587</v>
      </c>
      <c r="H205" s="8" t="s">
        <v>174</v>
      </c>
      <c r="I205" s="8" t="s">
        <v>2588</v>
      </c>
      <c r="J205" s="8" t="s">
        <v>55</v>
      </c>
      <c r="K205" s="8" t="s">
        <v>56</v>
      </c>
      <c r="L205" s="12"/>
      <c r="M205" s="8" t="s">
        <v>118</v>
      </c>
      <c r="N205" s="8" t="s">
        <v>174</v>
      </c>
      <c r="O205" s="8" t="s">
        <v>45</v>
      </c>
      <c r="P205" s="32">
        <v>43557.0</v>
      </c>
      <c r="Q205" s="7">
        <f>VLOOKUP(G205,'CBs RAW'!$E$2:$P$427,12)</f>
        <v>5</v>
      </c>
      <c r="R205" s="32">
        <v>45384.0</v>
      </c>
      <c r="S205" s="8" t="s">
        <v>174</v>
      </c>
      <c r="T205" s="8" t="s">
        <v>54</v>
      </c>
      <c r="U205" s="8" t="s">
        <v>49</v>
      </c>
      <c r="V205" s="8" t="s">
        <v>263</v>
      </c>
      <c r="W205" s="8" t="s">
        <v>2589</v>
      </c>
      <c r="X205" s="33" t="str">
        <f>VLOOKUP(G205,'CBs RAW'!$E$2:$W$427,19)</f>
        <v>#N/A N/A</v>
      </c>
      <c r="Y205" s="4" t="str">
        <f t="shared" si="1"/>
        <v>#N/A N/A</v>
      </c>
      <c r="Z205" s="4" t="str">
        <f t="shared" si="2"/>
        <v>Fritz Draexlmaier GmbH &amp; Co KGAT MATURITYFIXEDUSDUnsecured</v>
      </c>
    </row>
    <row r="206">
      <c r="A206" s="8">
        <v>205.0</v>
      </c>
      <c r="B206" s="8" t="s">
        <v>1262</v>
      </c>
      <c r="C206" s="8" t="s">
        <v>1265</v>
      </c>
      <c r="D206" s="8" t="s">
        <v>71</v>
      </c>
      <c r="E206" s="8" t="str">
        <f>VLOOKUP(G206,'CBs RAW'!$E$2:$H$427,4)</f>
        <v>#N/A N/A</v>
      </c>
      <c r="F206" s="8" t="s">
        <v>408</v>
      </c>
      <c r="G206" s="8" t="s">
        <v>2590</v>
      </c>
      <c r="H206" s="8" t="s">
        <v>2591</v>
      </c>
      <c r="I206" s="8" t="s">
        <v>2592</v>
      </c>
      <c r="J206" s="8" t="s">
        <v>55</v>
      </c>
      <c r="K206" s="8" t="s">
        <v>56</v>
      </c>
      <c r="L206" s="7">
        <v>1.475292E8</v>
      </c>
      <c r="M206" s="8" t="s">
        <v>52</v>
      </c>
      <c r="N206" s="8" t="s">
        <v>174</v>
      </c>
      <c r="O206" s="8" t="s">
        <v>408</v>
      </c>
      <c r="P206" s="32">
        <v>43194.0</v>
      </c>
      <c r="Q206" s="7">
        <f>VLOOKUP(G206,'CBs RAW'!$E$2:$P$427,12)</f>
        <v>3.95</v>
      </c>
      <c r="R206" s="32">
        <v>45751.0</v>
      </c>
      <c r="S206" s="8" t="s">
        <v>174</v>
      </c>
      <c r="T206" s="8" t="s">
        <v>54</v>
      </c>
      <c r="U206" s="8" t="s">
        <v>49</v>
      </c>
      <c r="V206" s="8" t="s">
        <v>53</v>
      </c>
      <c r="W206" s="8" t="s">
        <v>2593</v>
      </c>
      <c r="X206" s="33" t="str">
        <f>VLOOKUP(G206,'CBs RAW'!$E$2:$W$427,19)</f>
        <v>#N/A N/A</v>
      </c>
      <c r="Y206" s="4" t="str">
        <f t="shared" si="1"/>
        <v>#N/A N/A</v>
      </c>
      <c r="Z206" s="4" t="str">
        <f t="shared" si="2"/>
        <v>GEK Terna Holding Real Estate Construction SAAT MATURITYFIXEDEURSr Unsecured</v>
      </c>
    </row>
    <row r="207">
      <c r="A207" s="8">
        <v>206.0</v>
      </c>
      <c r="B207" s="8" t="s">
        <v>1262</v>
      </c>
      <c r="C207" s="8" t="s">
        <v>1265</v>
      </c>
      <c r="D207" s="8" t="s">
        <v>71</v>
      </c>
      <c r="E207" s="8" t="str">
        <f>VLOOKUP(G207,'CBs RAW'!$E$2:$H$427,4)</f>
        <v>#N/A N/A</v>
      </c>
      <c r="F207" s="8" t="s">
        <v>408</v>
      </c>
      <c r="G207" s="8" t="s">
        <v>2594</v>
      </c>
      <c r="H207" s="8" t="s">
        <v>2595</v>
      </c>
      <c r="I207" s="8" t="s">
        <v>2596</v>
      </c>
      <c r="J207" s="8" t="s">
        <v>55</v>
      </c>
      <c r="K207" s="8" t="s">
        <v>56</v>
      </c>
      <c r="L207" s="7">
        <v>5.6209E8</v>
      </c>
      <c r="M207" s="8" t="s">
        <v>118</v>
      </c>
      <c r="N207" s="8" t="s">
        <v>174</v>
      </c>
      <c r="O207" s="8" t="s">
        <v>408</v>
      </c>
      <c r="P207" s="32">
        <v>44015.0</v>
      </c>
      <c r="Q207" s="7">
        <f>VLOOKUP(G207,'CBs RAW'!$E$2:$P$427,12)</f>
        <v>2.75</v>
      </c>
      <c r="R207" s="32">
        <v>46571.0</v>
      </c>
      <c r="S207" s="8" t="s">
        <v>174</v>
      </c>
      <c r="T207" s="8" t="s">
        <v>54</v>
      </c>
      <c r="U207" s="8" t="s">
        <v>49</v>
      </c>
      <c r="V207" s="8" t="s">
        <v>53</v>
      </c>
      <c r="W207" s="8" t="s">
        <v>2597</v>
      </c>
      <c r="X207" s="33">
        <f>VLOOKUP(G207,'CBs RAW'!$E$2:$W$427,19)</f>
        <v>2.745</v>
      </c>
      <c r="Y207" s="34">
        <f t="shared" si="1"/>
        <v>2.745</v>
      </c>
      <c r="Z207" s="4" t="str">
        <f t="shared" si="2"/>
        <v>GEK Terna Holding Real Estate Construction SAAT MATURITYFIXEDEURUnsecured</v>
      </c>
    </row>
    <row r="208">
      <c r="A208" s="8">
        <v>207.0</v>
      </c>
      <c r="B208" s="8" t="s">
        <v>894</v>
      </c>
      <c r="C208" s="8" t="s">
        <v>897</v>
      </c>
      <c r="D208" s="8" t="s">
        <v>392</v>
      </c>
      <c r="E208" s="8" t="str">
        <f>VLOOKUP(G208,'CBs RAW'!$E$2:$H$427,4)</f>
        <v>#N/A N/A</v>
      </c>
      <c r="F208" s="8" t="s">
        <v>368</v>
      </c>
      <c r="G208" s="8" t="s">
        <v>2598</v>
      </c>
      <c r="H208" s="8" t="s">
        <v>2599</v>
      </c>
      <c r="I208" s="8" t="s">
        <v>2600</v>
      </c>
      <c r="J208" s="8" t="s">
        <v>55</v>
      </c>
      <c r="K208" s="8" t="s">
        <v>70</v>
      </c>
      <c r="L208" s="7">
        <v>3.41481E7</v>
      </c>
      <c r="M208" s="8" t="s">
        <v>52</v>
      </c>
      <c r="N208" s="8" t="s">
        <v>174</v>
      </c>
      <c r="O208" s="8" t="s">
        <v>368</v>
      </c>
      <c r="P208" s="32">
        <v>43363.0</v>
      </c>
      <c r="Q208" s="7">
        <f>VLOOKUP(G208,'CBs RAW'!$E$2:$P$427,12)</f>
        <v>1.661</v>
      </c>
      <c r="R208" s="32">
        <v>45189.0</v>
      </c>
      <c r="S208" s="8" t="s">
        <v>686</v>
      </c>
      <c r="T208" s="8" t="s">
        <v>54</v>
      </c>
      <c r="U208" s="8" t="s">
        <v>49</v>
      </c>
      <c r="V208" s="8" t="s">
        <v>687</v>
      </c>
      <c r="W208" s="8" t="s">
        <v>2601</v>
      </c>
      <c r="X208" s="33">
        <f>VLOOKUP(G208,'CBs RAW'!$E$2:$W$427,19)</f>
        <v>1.084</v>
      </c>
      <c r="Y208" s="34">
        <f t="shared" si="1"/>
        <v>1.084</v>
      </c>
      <c r="Z208" s="4" t="str">
        <f t="shared" si="2"/>
        <v>Granges ABAT MATURITYFLOATINGSEKSr Unsecured</v>
      </c>
    </row>
    <row r="209">
      <c r="A209" s="8">
        <v>208.0</v>
      </c>
      <c r="B209" s="8" t="s">
        <v>1133</v>
      </c>
      <c r="C209" s="8" t="s">
        <v>1136</v>
      </c>
      <c r="D209" s="8" t="s">
        <v>57</v>
      </c>
      <c r="E209" s="8" t="str">
        <f>VLOOKUP(G209,'CBs RAW'!$E$2:$H$427,4)</f>
        <v>#N/A N/A</v>
      </c>
      <c r="F209" s="8" t="s">
        <v>45</v>
      </c>
      <c r="G209" s="8" t="s">
        <v>2602</v>
      </c>
      <c r="H209" s="8" t="s">
        <v>2603</v>
      </c>
      <c r="I209" s="8" t="s">
        <v>2604</v>
      </c>
      <c r="J209" s="8" t="s">
        <v>421</v>
      </c>
      <c r="K209" s="8" t="s">
        <v>56</v>
      </c>
      <c r="L209" s="7">
        <v>3.385338E8</v>
      </c>
      <c r="M209" s="8" t="s">
        <v>52</v>
      </c>
      <c r="N209" s="8" t="s">
        <v>174</v>
      </c>
      <c r="O209" s="8" t="s">
        <v>45</v>
      </c>
      <c r="P209" s="32">
        <v>43949.0</v>
      </c>
      <c r="Q209" s="7">
        <f>VLOOKUP(G209,'CBs RAW'!$E$2:$P$427,12)</f>
        <v>0.2725</v>
      </c>
      <c r="R209" s="32">
        <v>45044.0</v>
      </c>
      <c r="S209" s="8" t="s">
        <v>226</v>
      </c>
      <c r="T209" s="8" t="s">
        <v>117</v>
      </c>
      <c r="U209" s="8" t="s">
        <v>49</v>
      </c>
      <c r="V209" s="8" t="s">
        <v>1807</v>
      </c>
      <c r="W209" s="8" t="s">
        <v>2605</v>
      </c>
      <c r="X209" s="33">
        <f>VLOOKUP(G209,'CBs RAW'!$E$2:$W$427,19)</f>
        <v>-0.056</v>
      </c>
      <c r="Y209" s="34">
        <f t="shared" si="1"/>
        <v>-0.056</v>
      </c>
      <c r="Z209" s="4" t="str">
        <f t="shared" si="2"/>
        <v>Henkel AG &amp; Co KGaAAT MATURITYFIXEDCHFSr Unsecured</v>
      </c>
    </row>
    <row r="210">
      <c r="A210" s="8">
        <v>209.0</v>
      </c>
      <c r="B210" s="8" t="s">
        <v>1133</v>
      </c>
      <c r="C210" s="8" t="s">
        <v>1136</v>
      </c>
      <c r="D210" s="8" t="s">
        <v>57</v>
      </c>
      <c r="E210" s="8">
        <f>VLOOKUP(G210,'CBs RAW'!$E$2:$H$427,4)</f>
        <v>0.946</v>
      </c>
      <c r="F210" s="8" t="s">
        <v>45</v>
      </c>
      <c r="G210" s="8" t="s">
        <v>2606</v>
      </c>
      <c r="H210" s="8" t="s">
        <v>2607</v>
      </c>
      <c r="I210" s="8" t="s">
        <v>2608</v>
      </c>
      <c r="J210" s="8" t="s">
        <v>421</v>
      </c>
      <c r="K210" s="8" t="s">
        <v>56</v>
      </c>
      <c r="L210" s="7">
        <v>3.9597E8</v>
      </c>
      <c r="M210" s="8" t="s">
        <v>52</v>
      </c>
      <c r="N210" s="8" t="s">
        <v>2609</v>
      </c>
      <c r="O210" s="8" t="s">
        <v>45</v>
      </c>
      <c r="P210" s="32">
        <v>42626.0</v>
      </c>
      <c r="Q210" s="7">
        <f>VLOOKUP(G210,'CBs RAW'!$E$2:$P$427,12)</f>
        <v>0.875</v>
      </c>
      <c r="R210" s="32">
        <v>44817.0</v>
      </c>
      <c r="S210" s="8" t="s">
        <v>226</v>
      </c>
      <c r="T210" s="8" t="s">
        <v>117</v>
      </c>
      <c r="U210" s="8" t="s">
        <v>115</v>
      </c>
      <c r="V210" s="8" t="s">
        <v>1548</v>
      </c>
      <c r="W210" s="8" t="s">
        <v>2610</v>
      </c>
      <c r="X210" s="33">
        <f>VLOOKUP(G210,'CBs RAW'!$E$2:$W$427,19)</f>
        <v>1.01</v>
      </c>
      <c r="Y210" s="34">
        <f t="shared" si="1"/>
        <v>1.01</v>
      </c>
      <c r="Z210" s="4" t="str">
        <f t="shared" si="2"/>
        <v>Henkel AG &amp; Co KGaACALLABLEFIXEDGBPSr Unsecured</v>
      </c>
    </row>
    <row r="211">
      <c r="A211" s="8">
        <v>210.0</v>
      </c>
      <c r="B211" s="8" t="s">
        <v>1133</v>
      </c>
      <c r="C211" s="8" t="s">
        <v>1136</v>
      </c>
      <c r="D211" s="8" t="s">
        <v>57</v>
      </c>
      <c r="E211" s="8" t="str">
        <f>VLOOKUP(G211,'CBs RAW'!$E$2:$H$427,4)</f>
        <v>#N/A N/A</v>
      </c>
      <c r="F211" s="8" t="s">
        <v>45</v>
      </c>
      <c r="G211" s="8" t="s">
        <v>2611</v>
      </c>
      <c r="H211" s="8" t="s">
        <v>2612</v>
      </c>
      <c r="I211" s="8" t="s">
        <v>2613</v>
      </c>
      <c r="J211" s="8" t="s">
        <v>421</v>
      </c>
      <c r="K211" s="8" t="s">
        <v>56</v>
      </c>
      <c r="L211" s="7">
        <v>6.14495E8</v>
      </c>
      <c r="M211" s="8" t="s">
        <v>52</v>
      </c>
      <c r="N211" s="8" t="s">
        <v>1771</v>
      </c>
      <c r="O211" s="8" t="s">
        <v>45</v>
      </c>
      <c r="P211" s="32">
        <v>43738.0</v>
      </c>
      <c r="Q211" s="7">
        <f>VLOOKUP(G211,'CBs RAW'!$E$2:$P$427,12)</f>
        <v>1</v>
      </c>
      <c r="R211" s="32">
        <v>44834.0</v>
      </c>
      <c r="S211" s="8" t="s">
        <v>174</v>
      </c>
      <c r="T211" s="8" t="s">
        <v>117</v>
      </c>
      <c r="U211" s="8" t="s">
        <v>115</v>
      </c>
      <c r="V211" s="8" t="s">
        <v>1548</v>
      </c>
      <c r="W211" s="8" t="s">
        <v>2614</v>
      </c>
      <c r="X211" s="33">
        <f>VLOOKUP(G211,'CBs RAW'!$E$2:$W$427,19)</f>
        <v>0.868</v>
      </c>
      <c r="Y211" s="34">
        <f t="shared" si="1"/>
        <v>0.868</v>
      </c>
      <c r="Z211" s="4" t="str">
        <f t="shared" si="2"/>
        <v>Henkel AG &amp; Co KGaACALLABLEFIXEDGBPSr Unsecured</v>
      </c>
    </row>
    <row r="212">
      <c r="A212" s="8">
        <v>211.0</v>
      </c>
      <c r="B212" s="8" t="s">
        <v>1133</v>
      </c>
      <c r="C212" s="8" t="s">
        <v>1136</v>
      </c>
      <c r="D212" s="8" t="s">
        <v>57</v>
      </c>
      <c r="E212" s="8" t="str">
        <f>VLOOKUP(G212,'CBs RAW'!$E$2:$H$427,4)</f>
        <v>#N/A N/A</v>
      </c>
      <c r="F212" s="8" t="s">
        <v>45</v>
      </c>
      <c r="G212" s="8" t="s">
        <v>2615</v>
      </c>
      <c r="H212" s="8" t="s">
        <v>2616</v>
      </c>
      <c r="I212" s="8" t="s">
        <v>2617</v>
      </c>
      <c r="J212" s="8" t="s">
        <v>421</v>
      </c>
      <c r="K212" s="8" t="s">
        <v>56</v>
      </c>
      <c r="L212" s="7">
        <v>4.301465E8</v>
      </c>
      <c r="M212" s="8" t="s">
        <v>52</v>
      </c>
      <c r="N212" s="8" t="s">
        <v>1771</v>
      </c>
      <c r="O212" s="8" t="s">
        <v>45</v>
      </c>
      <c r="P212" s="32">
        <v>43738.0</v>
      </c>
      <c r="Q212" s="7">
        <f>VLOOKUP(G212,'CBs RAW'!$E$2:$P$427,12)</f>
        <v>1.25</v>
      </c>
      <c r="R212" s="32">
        <v>46295.0</v>
      </c>
      <c r="S212" s="8" t="s">
        <v>174</v>
      </c>
      <c r="T212" s="8" t="s">
        <v>117</v>
      </c>
      <c r="U212" s="8" t="s">
        <v>115</v>
      </c>
      <c r="V212" s="8" t="s">
        <v>1548</v>
      </c>
      <c r="W212" s="8" t="s">
        <v>2618</v>
      </c>
      <c r="X212" s="33">
        <f>VLOOKUP(G212,'CBs RAW'!$E$2:$W$427,19)</f>
        <v>1.147</v>
      </c>
      <c r="Y212" s="34">
        <f t="shared" si="1"/>
        <v>1.147</v>
      </c>
      <c r="Z212" s="4" t="str">
        <f t="shared" si="2"/>
        <v>Henkel AG &amp; Co KGaACALLABLEFIXEDGBPSr Unsecured</v>
      </c>
    </row>
    <row r="213">
      <c r="A213" s="8">
        <v>212.0</v>
      </c>
      <c r="B213" s="8" t="s">
        <v>980</v>
      </c>
      <c r="C213" s="8" t="s">
        <v>983</v>
      </c>
      <c r="D213" s="8" t="s">
        <v>57</v>
      </c>
      <c r="E213" s="8" t="str">
        <f>VLOOKUP(G213,'CBs RAW'!$E$2:$H$427,4)</f>
        <v>#N/A N/A</v>
      </c>
      <c r="F213" s="8" t="s">
        <v>200</v>
      </c>
      <c r="G213" s="8" t="s">
        <v>2619</v>
      </c>
      <c r="H213" s="8" t="s">
        <v>2620</v>
      </c>
      <c r="I213" s="8" t="s">
        <v>2621</v>
      </c>
      <c r="J213" s="8" t="s">
        <v>55</v>
      </c>
      <c r="K213" s="8" t="s">
        <v>56</v>
      </c>
      <c r="L213" s="7">
        <v>6.07315E8</v>
      </c>
      <c r="M213" s="8" t="s">
        <v>52</v>
      </c>
      <c r="N213" s="8" t="s">
        <v>1771</v>
      </c>
      <c r="O213" s="8" t="s">
        <v>200</v>
      </c>
      <c r="P213" s="32">
        <v>44168.0</v>
      </c>
      <c r="Q213" s="7">
        <f>VLOOKUP(G213,'CBs RAW'!$E$2:$P$427,12)</f>
        <v>0.25</v>
      </c>
      <c r="R213" s="32">
        <v>47820.0</v>
      </c>
      <c r="S213" s="8" t="s">
        <v>226</v>
      </c>
      <c r="T213" s="8" t="s">
        <v>175</v>
      </c>
      <c r="U213" s="8" t="s">
        <v>115</v>
      </c>
      <c r="V213" s="8" t="s">
        <v>53</v>
      </c>
      <c r="W213" s="8" t="s">
        <v>2622</v>
      </c>
      <c r="X213" s="33">
        <f>VLOOKUP(G213,'CBs RAW'!$E$2:$W$427,19)</f>
        <v>0.272</v>
      </c>
      <c r="Y213" s="34">
        <f t="shared" si="1"/>
        <v>0.272</v>
      </c>
      <c r="Z213" s="4" t="str">
        <f t="shared" si="2"/>
        <v>Hera SpACALLABLEFIXEDEURSr Unsecured</v>
      </c>
    </row>
    <row r="214">
      <c r="A214" s="8">
        <v>213.0</v>
      </c>
      <c r="B214" s="8" t="s">
        <v>980</v>
      </c>
      <c r="C214" s="8" t="s">
        <v>983</v>
      </c>
      <c r="D214" s="8" t="s">
        <v>57</v>
      </c>
      <c r="E214" s="8" t="str">
        <f>VLOOKUP(G214,'CBs RAW'!$E$2:$H$427,4)</f>
        <v>#N/A N/A</v>
      </c>
      <c r="F214" s="8" t="s">
        <v>200</v>
      </c>
      <c r="G214" s="8" t="s">
        <v>2623</v>
      </c>
      <c r="H214" s="8" t="s">
        <v>2624</v>
      </c>
      <c r="I214" s="8" t="s">
        <v>2625</v>
      </c>
      <c r="J214" s="8" t="s">
        <v>55</v>
      </c>
      <c r="K214" s="8" t="s">
        <v>56</v>
      </c>
      <c r="L214" s="7">
        <v>8.749492E7</v>
      </c>
      <c r="M214" s="8" t="s">
        <v>52</v>
      </c>
      <c r="N214" s="8" t="s">
        <v>1776</v>
      </c>
      <c r="O214" s="8" t="s">
        <v>200</v>
      </c>
      <c r="P214" s="32">
        <v>41416.0</v>
      </c>
      <c r="Q214" s="7">
        <f>VLOOKUP(G214,'CBs RAW'!$E$2:$P$427,12)</f>
        <v>3.375</v>
      </c>
      <c r="R214" s="32">
        <v>45068.0</v>
      </c>
      <c r="S214" s="8" t="s">
        <v>226</v>
      </c>
      <c r="T214" s="8" t="s">
        <v>175</v>
      </c>
      <c r="U214" s="8" t="s">
        <v>49</v>
      </c>
      <c r="V214" s="8" t="s">
        <v>53</v>
      </c>
      <c r="W214" s="8" t="s">
        <v>2626</v>
      </c>
      <c r="X214" s="33">
        <f>VLOOKUP(G214,'CBs RAW'!$E$2:$W$427,19)</f>
        <v>3.119</v>
      </c>
      <c r="Y214" s="34">
        <f t="shared" si="1"/>
        <v>3.119</v>
      </c>
      <c r="Z214" s="4" t="str">
        <f t="shared" si="2"/>
        <v>Hera SpAAT MATURITYFIXEDEURSr Unsecured</v>
      </c>
    </row>
    <row r="215">
      <c r="A215" s="8">
        <v>214.0</v>
      </c>
      <c r="B215" s="8" t="s">
        <v>980</v>
      </c>
      <c r="C215" s="8" t="s">
        <v>983</v>
      </c>
      <c r="D215" s="8" t="s">
        <v>57</v>
      </c>
      <c r="E215" s="8" t="str">
        <f>VLOOKUP(G215,'CBs RAW'!$E$2:$H$427,4)</f>
        <v>#N/A N/A</v>
      </c>
      <c r="F215" s="8" t="s">
        <v>200</v>
      </c>
      <c r="G215" s="8" t="s">
        <v>2627</v>
      </c>
      <c r="H215" s="8" t="s">
        <v>2628</v>
      </c>
      <c r="I215" s="8" t="s">
        <v>2629</v>
      </c>
      <c r="J215" s="8" t="s">
        <v>55</v>
      </c>
      <c r="K215" s="8" t="s">
        <v>56</v>
      </c>
      <c r="L215" s="7">
        <v>4.117408E7</v>
      </c>
      <c r="M215" s="8" t="s">
        <v>52</v>
      </c>
      <c r="N215" s="8" t="s">
        <v>1776</v>
      </c>
      <c r="O215" s="8" t="s">
        <v>200</v>
      </c>
      <c r="P215" s="32">
        <v>41416.0</v>
      </c>
      <c r="Q215" s="7">
        <f>VLOOKUP(G215,'CBs RAW'!$E$2:$P$427,12)</f>
        <v>3.5</v>
      </c>
      <c r="R215" s="32">
        <v>45799.0</v>
      </c>
      <c r="S215" s="8" t="s">
        <v>226</v>
      </c>
      <c r="T215" s="8" t="s">
        <v>175</v>
      </c>
      <c r="U215" s="8" t="s">
        <v>49</v>
      </c>
      <c r="V215" s="8" t="s">
        <v>53</v>
      </c>
      <c r="W215" s="8" t="s">
        <v>2630</v>
      </c>
      <c r="X215" s="33" t="str">
        <f>VLOOKUP(G215,'CBs RAW'!$E$2:$W$427,19)</f>
        <v>#N/A N/A</v>
      </c>
      <c r="Y215" s="4" t="str">
        <f t="shared" si="1"/>
        <v>#N/A N/A</v>
      </c>
      <c r="Z215" s="4" t="str">
        <f t="shared" si="2"/>
        <v>Hera SpAAT MATURITYFIXEDEURSr Unsecured</v>
      </c>
    </row>
    <row r="216">
      <c r="A216" s="8">
        <v>215.0</v>
      </c>
      <c r="B216" s="8" t="s">
        <v>980</v>
      </c>
      <c r="C216" s="8" t="s">
        <v>983</v>
      </c>
      <c r="D216" s="8" t="s">
        <v>57</v>
      </c>
      <c r="E216" s="8" t="str">
        <f>VLOOKUP(G216,'CBs RAW'!$E$2:$H$427,4)</f>
        <v>#N/A N/A</v>
      </c>
      <c r="F216" s="8" t="s">
        <v>200</v>
      </c>
      <c r="G216" s="8" t="s">
        <v>2631</v>
      </c>
      <c r="H216" s="8" t="s">
        <v>2632</v>
      </c>
      <c r="I216" s="8" t="s">
        <v>2633</v>
      </c>
      <c r="J216" s="8" t="s">
        <v>55</v>
      </c>
      <c r="K216" s="8" t="s">
        <v>56</v>
      </c>
      <c r="L216" s="7">
        <v>4.39808E8</v>
      </c>
      <c r="M216" s="8" t="s">
        <v>52</v>
      </c>
      <c r="N216" s="8" t="s">
        <v>1776</v>
      </c>
      <c r="O216" s="8" t="s">
        <v>200</v>
      </c>
      <c r="P216" s="32">
        <v>42657.0</v>
      </c>
      <c r="Q216" s="7">
        <f>VLOOKUP(G216,'CBs RAW'!$E$2:$P$427,12)</f>
        <v>0.875</v>
      </c>
      <c r="R216" s="32">
        <v>46309.0</v>
      </c>
      <c r="S216" s="8" t="s">
        <v>226</v>
      </c>
      <c r="T216" s="8" t="s">
        <v>175</v>
      </c>
      <c r="U216" s="8" t="s">
        <v>49</v>
      </c>
      <c r="V216" s="8" t="s">
        <v>53</v>
      </c>
      <c r="W216" s="8" t="s">
        <v>2634</v>
      </c>
      <c r="X216" s="33">
        <f>VLOOKUP(G216,'CBs RAW'!$E$2:$W$427,19)</f>
        <v>0.998</v>
      </c>
      <c r="Y216" s="34">
        <f t="shared" si="1"/>
        <v>0.998</v>
      </c>
      <c r="Z216" s="4" t="str">
        <f t="shared" si="2"/>
        <v>Hera SpAAT MATURITYFIXEDEURSr Unsecured</v>
      </c>
    </row>
    <row r="217">
      <c r="A217" s="8">
        <v>216.0</v>
      </c>
      <c r="B217" s="8" t="s">
        <v>166</v>
      </c>
      <c r="C217" s="8" t="s">
        <v>169</v>
      </c>
      <c r="D217" s="8" t="s">
        <v>57</v>
      </c>
      <c r="E217" s="8" t="str">
        <f>VLOOKUP(G217,'CBs RAW'!$E$2:$H$427,4)</f>
        <v>#N/A N/A</v>
      </c>
      <c r="F217" s="8" t="s">
        <v>171</v>
      </c>
      <c r="G217" s="8" t="s">
        <v>2635</v>
      </c>
      <c r="H217" s="8" t="s">
        <v>2636</v>
      </c>
      <c r="I217" s="8" t="s">
        <v>2637</v>
      </c>
      <c r="J217" s="8" t="s">
        <v>55</v>
      </c>
      <c r="K217" s="8" t="s">
        <v>56</v>
      </c>
      <c r="L217" s="7">
        <v>9.012075E8</v>
      </c>
      <c r="M217" s="8" t="s">
        <v>52</v>
      </c>
      <c r="N217" s="8" t="s">
        <v>1771</v>
      </c>
      <c r="O217" s="8" t="s">
        <v>170</v>
      </c>
      <c r="P217" s="32">
        <v>42976.0</v>
      </c>
      <c r="Q217" s="7">
        <f>VLOOKUP(G217,'CBs RAW'!$E$2:$P$427,12)</f>
        <v>1.75</v>
      </c>
      <c r="R217" s="32">
        <v>47359.0</v>
      </c>
      <c r="S217" s="8" t="s">
        <v>226</v>
      </c>
      <c r="T217" s="8" t="s">
        <v>175</v>
      </c>
      <c r="U217" s="8" t="s">
        <v>115</v>
      </c>
      <c r="V217" s="8" t="s">
        <v>53</v>
      </c>
      <c r="W217" s="8" t="s">
        <v>2638</v>
      </c>
      <c r="X217" s="33">
        <f>VLOOKUP(G217,'CBs RAW'!$E$2:$W$427,19)</f>
        <v>1.787</v>
      </c>
      <c r="Y217" s="34">
        <f t="shared" si="1"/>
        <v>1.787</v>
      </c>
      <c r="Z217" s="4" t="str">
        <f t="shared" si="2"/>
        <v>Holcim Finance Luxembourg SACALLABLEFIXEDEURSr Unsecured</v>
      </c>
    </row>
    <row r="218">
      <c r="A218" s="8">
        <v>217.0</v>
      </c>
      <c r="B218" s="8" t="s">
        <v>166</v>
      </c>
      <c r="C218" s="8" t="s">
        <v>169</v>
      </c>
      <c r="D218" s="8" t="s">
        <v>57</v>
      </c>
      <c r="E218" s="8" t="str">
        <f>VLOOKUP(G218,'CBs RAW'!$E$2:$H$427,4)</f>
        <v>#N/A N/A</v>
      </c>
      <c r="F218" s="8" t="s">
        <v>171</v>
      </c>
      <c r="G218" s="8" t="s">
        <v>2639</v>
      </c>
      <c r="H218" s="8" t="s">
        <v>2640</v>
      </c>
      <c r="I218" s="8" t="s">
        <v>2641</v>
      </c>
      <c r="J218" s="8" t="s">
        <v>55</v>
      </c>
      <c r="K218" s="8" t="s">
        <v>56</v>
      </c>
      <c r="L218" s="7">
        <v>5.468E8</v>
      </c>
      <c r="M218" s="8" t="s">
        <v>52</v>
      </c>
      <c r="N218" s="8" t="s">
        <v>1771</v>
      </c>
      <c r="O218" s="8" t="s">
        <v>170</v>
      </c>
      <c r="P218" s="32">
        <v>43930.0</v>
      </c>
      <c r="Q218" s="7">
        <f>VLOOKUP(G218,'CBs RAW'!$E$2:$P$427,12)</f>
        <v>2.375</v>
      </c>
      <c r="R218" s="32">
        <v>45756.0</v>
      </c>
      <c r="S218" s="8" t="s">
        <v>226</v>
      </c>
      <c r="T218" s="8" t="s">
        <v>175</v>
      </c>
      <c r="U218" s="8" t="s">
        <v>115</v>
      </c>
      <c r="V218" s="8" t="s">
        <v>53</v>
      </c>
      <c r="W218" s="8" t="s">
        <v>2642</v>
      </c>
      <c r="X218" s="33">
        <f>VLOOKUP(G218,'CBs RAW'!$E$2:$W$427,19)</f>
        <v>2.042</v>
      </c>
      <c r="Y218" s="34">
        <f t="shared" si="1"/>
        <v>2.042</v>
      </c>
      <c r="Z218" s="4" t="str">
        <f t="shared" si="2"/>
        <v>Holcim Finance Luxembourg SACALLABLEFIXEDEURSr Unsecured</v>
      </c>
    </row>
    <row r="219">
      <c r="A219" s="8">
        <v>218.0</v>
      </c>
      <c r="B219" s="8" t="s">
        <v>166</v>
      </c>
      <c r="C219" s="8" t="s">
        <v>169</v>
      </c>
      <c r="D219" s="8" t="s">
        <v>57</v>
      </c>
      <c r="E219" s="8" t="str">
        <f>VLOOKUP(G219,'CBs RAW'!$E$2:$H$427,4)</f>
        <v>#N/A N/A</v>
      </c>
      <c r="F219" s="8" t="s">
        <v>171</v>
      </c>
      <c r="G219" s="8" t="s">
        <v>2643</v>
      </c>
      <c r="H219" s="8" t="s">
        <v>2644</v>
      </c>
      <c r="I219" s="8" t="s">
        <v>2645</v>
      </c>
      <c r="J219" s="8" t="s">
        <v>55</v>
      </c>
      <c r="K219" s="8" t="s">
        <v>56</v>
      </c>
      <c r="L219" s="7">
        <v>6.06065E8</v>
      </c>
      <c r="M219" s="8" t="s">
        <v>52</v>
      </c>
      <c r="N219" s="8" t="s">
        <v>1771</v>
      </c>
      <c r="O219" s="8" t="s">
        <v>170</v>
      </c>
      <c r="P219" s="32">
        <v>44215.0</v>
      </c>
      <c r="Q219" s="7">
        <f>VLOOKUP(G219,'CBs RAW'!$E$2:$P$427,12)</f>
        <v>0.125</v>
      </c>
      <c r="R219" s="32">
        <v>46587.0</v>
      </c>
      <c r="S219" s="8" t="s">
        <v>226</v>
      </c>
      <c r="T219" s="8" t="s">
        <v>175</v>
      </c>
      <c r="U219" s="8" t="s">
        <v>115</v>
      </c>
      <c r="V219" s="8" t="s">
        <v>53</v>
      </c>
      <c r="W219" s="8" t="s">
        <v>2646</v>
      </c>
      <c r="X219" s="33">
        <f>VLOOKUP(G219,'CBs RAW'!$E$2:$W$427,19)</f>
        <v>0.145</v>
      </c>
      <c r="Y219" s="34">
        <f t="shared" si="1"/>
        <v>0.145</v>
      </c>
      <c r="Z219" s="4" t="str">
        <f t="shared" si="2"/>
        <v>Holcim Finance Luxembourg SACALLABLEFIXEDEURSr Unsecured</v>
      </c>
    </row>
    <row r="220">
      <c r="A220" s="8">
        <v>219.0</v>
      </c>
      <c r="B220" s="8" t="s">
        <v>166</v>
      </c>
      <c r="C220" s="8" t="s">
        <v>169</v>
      </c>
      <c r="D220" s="8" t="s">
        <v>57</v>
      </c>
      <c r="E220" s="8" t="str">
        <f>VLOOKUP(G220,'CBs RAW'!$E$2:$H$427,4)</f>
        <v>#N/A N/A</v>
      </c>
      <c r="F220" s="8" t="s">
        <v>171</v>
      </c>
      <c r="G220" s="8" t="s">
        <v>2647</v>
      </c>
      <c r="H220" s="8" t="s">
        <v>2648</v>
      </c>
      <c r="I220" s="8" t="s">
        <v>2649</v>
      </c>
      <c r="J220" s="8" t="s">
        <v>55</v>
      </c>
      <c r="K220" s="8" t="s">
        <v>56</v>
      </c>
      <c r="L220" s="7">
        <v>7.878845E8</v>
      </c>
      <c r="M220" s="8" t="s">
        <v>52</v>
      </c>
      <c r="N220" s="8" t="s">
        <v>1771</v>
      </c>
      <c r="O220" s="8" t="s">
        <v>170</v>
      </c>
      <c r="P220" s="32">
        <v>44215.0</v>
      </c>
      <c r="Q220" s="7">
        <f>VLOOKUP(G220,'CBs RAW'!$E$2:$P$427,12)</f>
        <v>0.625</v>
      </c>
      <c r="R220" s="32">
        <v>48598.0</v>
      </c>
      <c r="S220" s="8" t="s">
        <v>226</v>
      </c>
      <c r="T220" s="8" t="s">
        <v>175</v>
      </c>
      <c r="U220" s="8" t="s">
        <v>115</v>
      </c>
      <c r="V220" s="8" t="s">
        <v>53</v>
      </c>
      <c r="W220" s="8" t="s">
        <v>2650</v>
      </c>
      <c r="X220" s="33">
        <f>VLOOKUP(G220,'CBs RAW'!$E$2:$W$427,19)</f>
        <v>0.581</v>
      </c>
      <c r="Y220" s="34">
        <f t="shared" si="1"/>
        <v>0.581</v>
      </c>
      <c r="Z220" s="4" t="str">
        <f t="shared" si="2"/>
        <v>Holcim Finance Luxembourg SACALLABLEFIXEDEURSr Unsecured</v>
      </c>
    </row>
    <row r="221">
      <c r="A221" s="8">
        <v>220.0</v>
      </c>
      <c r="B221" s="8" t="s">
        <v>166</v>
      </c>
      <c r="C221" s="8" t="s">
        <v>169</v>
      </c>
      <c r="D221" s="8" t="s">
        <v>57</v>
      </c>
      <c r="E221" s="8" t="str">
        <f>VLOOKUP(G221,'CBs RAW'!$E$2:$H$427,4)</f>
        <v>#N/A N/A</v>
      </c>
      <c r="F221" s="8" t="s">
        <v>171</v>
      </c>
      <c r="G221" s="8" t="s">
        <v>2651</v>
      </c>
      <c r="H221" s="8" t="s">
        <v>2652</v>
      </c>
      <c r="I221" s="8" t="s">
        <v>2653</v>
      </c>
      <c r="J221" s="8" t="s">
        <v>55</v>
      </c>
      <c r="K221" s="8" t="s">
        <v>56</v>
      </c>
      <c r="L221" s="7">
        <v>5.92785E8</v>
      </c>
      <c r="M221" s="8" t="s">
        <v>52</v>
      </c>
      <c r="N221" s="8" t="s">
        <v>1771</v>
      </c>
      <c r="O221" s="8" t="s">
        <v>170</v>
      </c>
      <c r="P221" s="32">
        <v>44292.0</v>
      </c>
      <c r="Q221" s="7">
        <f>VLOOKUP(G221,'CBs RAW'!$E$2:$P$427,12)</f>
        <v>0.625</v>
      </c>
      <c r="R221" s="32">
        <v>47579.0</v>
      </c>
      <c r="S221" s="8" t="s">
        <v>226</v>
      </c>
      <c r="T221" s="8" t="s">
        <v>175</v>
      </c>
      <c r="U221" s="8" t="s">
        <v>115</v>
      </c>
      <c r="V221" s="8" t="s">
        <v>53</v>
      </c>
      <c r="W221" s="8" t="s">
        <v>2654</v>
      </c>
      <c r="X221" s="33">
        <f>VLOOKUP(G221,'CBs RAW'!$E$2:$W$427,19)</f>
        <v>0.613</v>
      </c>
      <c r="Y221" s="34">
        <f t="shared" si="1"/>
        <v>0.613</v>
      </c>
      <c r="Z221" s="4" t="str">
        <f t="shared" si="2"/>
        <v>Holcim Finance Luxembourg SACALLABLEFIXEDEURSr Unsecured</v>
      </c>
    </row>
    <row r="222">
      <c r="A222" s="8">
        <v>221.0</v>
      </c>
      <c r="B222" s="8" t="s">
        <v>166</v>
      </c>
      <c r="C222" s="8" t="s">
        <v>169</v>
      </c>
      <c r="D222" s="8" t="s">
        <v>57</v>
      </c>
      <c r="E222" s="8">
        <f>VLOOKUP(G222,'CBs RAW'!$E$2:$H$427,4)</f>
        <v>0.604</v>
      </c>
      <c r="F222" s="8" t="s">
        <v>171</v>
      </c>
      <c r="G222" s="8" t="s">
        <v>2655</v>
      </c>
      <c r="H222" s="8" t="s">
        <v>2656</v>
      </c>
      <c r="I222" s="8" t="s">
        <v>2657</v>
      </c>
      <c r="J222" s="8" t="s">
        <v>55</v>
      </c>
      <c r="K222" s="8" t="s">
        <v>56</v>
      </c>
      <c r="L222" s="7">
        <v>1.18896E9</v>
      </c>
      <c r="M222" s="8" t="s">
        <v>52</v>
      </c>
      <c r="N222" s="8" t="s">
        <v>1771</v>
      </c>
      <c r="O222" s="8" t="s">
        <v>170</v>
      </c>
      <c r="P222" s="32">
        <v>44442.0</v>
      </c>
      <c r="Q222" s="7">
        <f>VLOOKUP(G222,'CBs RAW'!$E$2:$P$427,12)</f>
        <v>0.5</v>
      </c>
      <c r="R222" s="32">
        <v>47729.0</v>
      </c>
      <c r="S222" s="8" t="s">
        <v>226</v>
      </c>
      <c r="T222" s="8" t="s">
        <v>175</v>
      </c>
      <c r="U222" s="8" t="s">
        <v>115</v>
      </c>
      <c r="V222" s="8" t="s">
        <v>53</v>
      </c>
      <c r="W222" s="8" t="s">
        <v>2658</v>
      </c>
      <c r="X222" s="33">
        <f>VLOOKUP(G222,'CBs RAW'!$E$2:$W$427,19)</f>
        <v>0.601</v>
      </c>
      <c r="Y222" s="34">
        <f t="shared" si="1"/>
        <v>0.601</v>
      </c>
      <c r="Z222" s="4" t="str">
        <f t="shared" si="2"/>
        <v>Holcim Finance Luxembourg SACALLABLEFIXEDEURSr Unsecured</v>
      </c>
    </row>
    <row r="223">
      <c r="A223" s="8">
        <v>222.0</v>
      </c>
      <c r="B223" s="8" t="s">
        <v>166</v>
      </c>
      <c r="C223" s="8" t="s">
        <v>169</v>
      </c>
      <c r="D223" s="8" t="s">
        <v>57</v>
      </c>
      <c r="E223" s="8" t="str">
        <f>VLOOKUP(G223,'CBs RAW'!$E$2:$H$427,4)</f>
        <v>#N/A N/A</v>
      </c>
      <c r="F223" s="8" t="s">
        <v>171</v>
      </c>
      <c r="G223" s="8" t="s">
        <v>2659</v>
      </c>
      <c r="H223" s="8" t="s">
        <v>2660</v>
      </c>
      <c r="I223" s="8" t="s">
        <v>2661</v>
      </c>
      <c r="J223" s="8" t="s">
        <v>55</v>
      </c>
      <c r="K223" s="8" t="s">
        <v>56</v>
      </c>
      <c r="L223" s="7">
        <v>3.47044643E8</v>
      </c>
      <c r="M223" s="8" t="s">
        <v>52</v>
      </c>
      <c r="N223" s="8" t="s">
        <v>1771</v>
      </c>
      <c r="O223" s="8" t="s">
        <v>170</v>
      </c>
      <c r="P223" s="32">
        <v>44477.0</v>
      </c>
      <c r="Q223" s="7">
        <f>VLOOKUP(G223,'CBs RAW'!$E$2:$P$427,12)</f>
        <v>1.375</v>
      </c>
      <c r="R223" s="32">
        <v>49956.0</v>
      </c>
      <c r="S223" s="8" t="s">
        <v>226</v>
      </c>
      <c r="T223" s="8" t="s">
        <v>175</v>
      </c>
      <c r="U223" s="8" t="s">
        <v>49</v>
      </c>
      <c r="V223" s="8" t="s">
        <v>53</v>
      </c>
      <c r="W223" s="8" t="s">
        <v>2662</v>
      </c>
      <c r="X223" s="33">
        <f>VLOOKUP(G223,'CBs RAW'!$E$2:$W$427,19)</f>
        <v>1.186</v>
      </c>
      <c r="Y223" s="34">
        <f t="shared" si="1"/>
        <v>1.186</v>
      </c>
      <c r="Z223" s="4" t="str">
        <f t="shared" si="2"/>
        <v>Holcim Finance Luxembourg SAAT MATURITYFIXEDEURSr Unsecured</v>
      </c>
    </row>
    <row r="224">
      <c r="A224" s="8">
        <v>223.0</v>
      </c>
      <c r="B224" s="8" t="s">
        <v>166</v>
      </c>
      <c r="C224" s="8" t="s">
        <v>169</v>
      </c>
      <c r="D224" s="8" t="s">
        <v>57</v>
      </c>
      <c r="E224" s="8" t="str">
        <f>VLOOKUP(G224,'CBs RAW'!$E$2:$H$427,4)</f>
        <v>#N/A N/A</v>
      </c>
      <c r="F224" s="8" t="s">
        <v>171</v>
      </c>
      <c r="G224" s="8" t="s">
        <v>2663</v>
      </c>
      <c r="H224" s="8" t="s">
        <v>2664</v>
      </c>
      <c r="I224" s="8" t="s">
        <v>2665</v>
      </c>
      <c r="J224" s="8" t="s">
        <v>55</v>
      </c>
      <c r="K224" s="8" t="s">
        <v>56</v>
      </c>
      <c r="L224" s="7">
        <v>5.4541E8</v>
      </c>
      <c r="M224" s="8" t="s">
        <v>52</v>
      </c>
      <c r="N224" s="8" t="s">
        <v>1771</v>
      </c>
      <c r="O224" s="8" t="s">
        <v>170</v>
      </c>
      <c r="P224" s="32">
        <v>44657.0</v>
      </c>
      <c r="Q224" s="7">
        <f>VLOOKUP(G224,'CBs RAW'!$E$2:$P$427,12)</f>
        <v>1.5</v>
      </c>
      <c r="R224" s="32">
        <v>45753.0</v>
      </c>
      <c r="S224" s="8" t="s">
        <v>174</v>
      </c>
      <c r="T224" s="8" t="s">
        <v>175</v>
      </c>
      <c r="U224" s="8" t="s">
        <v>49</v>
      </c>
      <c r="V224" s="8" t="s">
        <v>53</v>
      </c>
      <c r="W224" s="8" t="s">
        <v>2666</v>
      </c>
      <c r="X224" s="33" t="str">
        <f>VLOOKUP(G224,'CBs RAW'!$E$2:$W$427,19)</f>
        <v>#N/A N/A</v>
      </c>
      <c r="Y224" s="4" t="str">
        <f t="shared" si="1"/>
        <v>#N/A N/A</v>
      </c>
      <c r="Z224" s="4" t="str">
        <f t="shared" si="2"/>
        <v>Holcim Finance Luxembourg SAAT MATURITYFIXEDEURSr Unsecured</v>
      </c>
    </row>
    <row r="225">
      <c r="A225" s="8">
        <v>224.0</v>
      </c>
      <c r="B225" s="8" t="s">
        <v>166</v>
      </c>
      <c r="C225" s="8" t="s">
        <v>169</v>
      </c>
      <c r="D225" s="8" t="s">
        <v>57</v>
      </c>
      <c r="E225" s="8">
        <f>VLOOKUP(G225,'CBs RAW'!$E$2:$H$427,4)</f>
        <v>3.068</v>
      </c>
      <c r="F225" s="8" t="s">
        <v>171</v>
      </c>
      <c r="G225" s="8" t="s">
        <v>2667</v>
      </c>
      <c r="H225" s="8" t="s">
        <v>2668</v>
      </c>
      <c r="I225" s="8" t="s">
        <v>2669</v>
      </c>
      <c r="J225" s="8" t="s">
        <v>55</v>
      </c>
      <c r="K225" s="8" t="s">
        <v>56</v>
      </c>
      <c r="L225" s="7">
        <v>6.7755E8</v>
      </c>
      <c r="M225" s="8" t="s">
        <v>52</v>
      </c>
      <c r="N225" s="8" t="s">
        <v>1771</v>
      </c>
      <c r="O225" s="8" t="s">
        <v>170</v>
      </c>
      <c r="P225" s="32">
        <v>41661.0</v>
      </c>
      <c r="Q225" s="7">
        <f>VLOOKUP(G225,'CBs RAW'!$E$2:$P$427,12)</f>
        <v>3</v>
      </c>
      <c r="R225" s="32">
        <v>45313.0</v>
      </c>
      <c r="S225" s="8" t="s">
        <v>2135</v>
      </c>
      <c r="T225" s="8" t="s">
        <v>175</v>
      </c>
      <c r="U225" s="8" t="s">
        <v>49</v>
      </c>
      <c r="V225" s="8" t="s">
        <v>53</v>
      </c>
      <c r="W225" s="8" t="s">
        <v>2670</v>
      </c>
      <c r="X225" s="33">
        <f>VLOOKUP(G225,'CBs RAW'!$E$2:$W$427,19)</f>
        <v>2.912</v>
      </c>
      <c r="Y225" s="34">
        <f t="shared" si="1"/>
        <v>2.912</v>
      </c>
      <c r="Z225" s="4" t="str">
        <f t="shared" si="2"/>
        <v>Holcim Finance Luxembourg SAAT MATURITYFIXEDEURSr Unsecured</v>
      </c>
    </row>
    <row r="226">
      <c r="A226" s="8">
        <v>225.0</v>
      </c>
      <c r="B226" s="8" t="s">
        <v>166</v>
      </c>
      <c r="C226" s="8" t="s">
        <v>169</v>
      </c>
      <c r="D226" s="8" t="s">
        <v>57</v>
      </c>
      <c r="E226" s="8" t="str">
        <f>VLOOKUP(G226,'CBs RAW'!$E$2:$H$427,4)</f>
        <v>#N/A N/A</v>
      </c>
      <c r="F226" s="8" t="s">
        <v>171</v>
      </c>
      <c r="G226" s="8" t="s">
        <v>2671</v>
      </c>
      <c r="H226" s="8" t="s">
        <v>2672</v>
      </c>
      <c r="I226" s="8" t="s">
        <v>2673</v>
      </c>
      <c r="J226" s="8" t="s">
        <v>55</v>
      </c>
      <c r="K226" s="8" t="s">
        <v>56</v>
      </c>
      <c r="L226" s="7">
        <v>1.2852055E9</v>
      </c>
      <c r="M226" s="8" t="s">
        <v>52</v>
      </c>
      <c r="N226" s="8" t="s">
        <v>1771</v>
      </c>
      <c r="O226" s="8" t="s">
        <v>170</v>
      </c>
      <c r="P226" s="32">
        <v>42516.0</v>
      </c>
      <c r="Q226" s="7">
        <f>VLOOKUP(G226,'CBs RAW'!$E$2:$P$427,12)</f>
        <v>1.375</v>
      </c>
      <c r="R226" s="32">
        <v>45072.0</v>
      </c>
      <c r="S226" s="8" t="s">
        <v>226</v>
      </c>
      <c r="T226" s="8" t="s">
        <v>175</v>
      </c>
      <c r="U226" s="8" t="s">
        <v>115</v>
      </c>
      <c r="V226" s="8" t="s">
        <v>53</v>
      </c>
      <c r="W226" s="8" t="s">
        <v>2674</v>
      </c>
      <c r="X226" s="33">
        <f>VLOOKUP(G226,'CBs RAW'!$E$2:$W$427,19)</f>
        <v>1.244</v>
      </c>
      <c r="Y226" s="34">
        <f t="shared" si="1"/>
        <v>1.244</v>
      </c>
      <c r="Z226" s="4" t="str">
        <f t="shared" si="2"/>
        <v>Holcim Finance Luxembourg SACALLABLEFIXEDEURSr Unsecured</v>
      </c>
    </row>
    <row r="227">
      <c r="A227" s="8">
        <v>226.0</v>
      </c>
      <c r="B227" s="8" t="s">
        <v>166</v>
      </c>
      <c r="C227" s="8" t="s">
        <v>169</v>
      </c>
      <c r="D227" s="8" t="s">
        <v>57</v>
      </c>
      <c r="E227" s="8" t="str">
        <f>VLOOKUP(G227,'CBs RAW'!$E$2:$H$427,4)</f>
        <v>#N/A N/A</v>
      </c>
      <c r="F227" s="8" t="s">
        <v>171</v>
      </c>
      <c r="G227" s="8" t="s">
        <v>2675</v>
      </c>
      <c r="H227" s="8" t="s">
        <v>2676</v>
      </c>
      <c r="I227" s="8" t="s">
        <v>2677</v>
      </c>
      <c r="J227" s="8" t="s">
        <v>55</v>
      </c>
      <c r="K227" s="8" t="s">
        <v>56</v>
      </c>
      <c r="L227" s="7">
        <v>1.2852055E9</v>
      </c>
      <c r="M227" s="8" t="s">
        <v>52</v>
      </c>
      <c r="N227" s="8" t="s">
        <v>1771</v>
      </c>
      <c r="O227" s="8" t="s">
        <v>170</v>
      </c>
      <c r="P227" s="32">
        <v>42516.0</v>
      </c>
      <c r="Q227" s="7">
        <f>VLOOKUP(G227,'CBs RAW'!$E$2:$P$427,12)</f>
        <v>2.25</v>
      </c>
      <c r="R227" s="32">
        <v>46899.0</v>
      </c>
      <c r="S227" s="8" t="s">
        <v>226</v>
      </c>
      <c r="T227" s="8" t="s">
        <v>175</v>
      </c>
      <c r="U227" s="8" t="s">
        <v>115</v>
      </c>
      <c r="V227" s="8" t="s">
        <v>53</v>
      </c>
      <c r="W227" s="8" t="s">
        <v>2678</v>
      </c>
      <c r="X227" s="33">
        <f>VLOOKUP(G227,'CBs RAW'!$E$2:$W$427,19)</f>
        <v>2.066</v>
      </c>
      <c r="Y227" s="34">
        <f t="shared" si="1"/>
        <v>2.066</v>
      </c>
      <c r="Z227" s="4" t="str">
        <f t="shared" si="2"/>
        <v>Holcim Finance Luxembourg SACALLABLEFIXEDEURSr Unsecured</v>
      </c>
    </row>
    <row r="228">
      <c r="A228" s="8">
        <v>227.0</v>
      </c>
      <c r="B228" s="8" t="s">
        <v>166</v>
      </c>
      <c r="C228" s="8" t="s">
        <v>169</v>
      </c>
      <c r="D228" s="8" t="s">
        <v>57</v>
      </c>
      <c r="E228" s="8" t="str">
        <f>VLOOKUP(G228,'CBs RAW'!$E$2:$H$427,4)</f>
        <v>#N/A N/A</v>
      </c>
      <c r="F228" s="8" t="s">
        <v>171</v>
      </c>
      <c r="G228" s="8" t="s">
        <v>2679</v>
      </c>
      <c r="H228" s="8" t="s">
        <v>2680</v>
      </c>
      <c r="I228" s="8" t="s">
        <v>2681</v>
      </c>
      <c r="J228" s="8" t="s">
        <v>55</v>
      </c>
      <c r="K228" s="8" t="s">
        <v>56</v>
      </c>
      <c r="L228" s="7">
        <v>5.5081E8</v>
      </c>
      <c r="M228" s="8" t="s">
        <v>52</v>
      </c>
      <c r="N228" s="8" t="s">
        <v>1771</v>
      </c>
      <c r="O228" s="8" t="s">
        <v>170</v>
      </c>
      <c r="P228" s="32">
        <v>43798.0</v>
      </c>
      <c r="Q228" s="7">
        <f>VLOOKUP(G228,'CBs RAW'!$E$2:$P$427,12)</f>
        <v>0.5</v>
      </c>
      <c r="R228" s="32">
        <v>46355.0</v>
      </c>
      <c r="S228" s="8" t="s">
        <v>226</v>
      </c>
      <c r="T228" s="8" t="s">
        <v>175</v>
      </c>
      <c r="U228" s="8" t="s">
        <v>115</v>
      </c>
      <c r="V228" s="8" t="s">
        <v>53</v>
      </c>
      <c r="W228" s="8" t="s">
        <v>2682</v>
      </c>
      <c r="X228" s="33">
        <f>VLOOKUP(G228,'CBs RAW'!$E$2:$W$427,19)</f>
        <v>0.597</v>
      </c>
      <c r="Y228" s="34">
        <f t="shared" si="1"/>
        <v>0.597</v>
      </c>
      <c r="Z228" s="4" t="str">
        <f t="shared" si="2"/>
        <v>Holcim Finance Luxembourg SACALLABLEFIXEDEURSr Unsecured</v>
      </c>
    </row>
    <row r="229">
      <c r="A229" s="8">
        <v>228.0</v>
      </c>
      <c r="B229" s="8" t="s">
        <v>833</v>
      </c>
      <c r="C229" s="8" t="s">
        <v>169</v>
      </c>
      <c r="D229" s="8" t="s">
        <v>57</v>
      </c>
      <c r="E229" s="8" t="str">
        <f>VLOOKUP(G229,'CBs RAW'!$E$2:$H$427,4)</f>
        <v>#N/A N/A</v>
      </c>
      <c r="F229" s="8" t="s">
        <v>171</v>
      </c>
      <c r="G229" s="8" t="s">
        <v>2683</v>
      </c>
      <c r="H229" s="8" t="s">
        <v>2684</v>
      </c>
      <c r="I229" s="8" t="s">
        <v>2685</v>
      </c>
      <c r="J229" s="8" t="s">
        <v>55</v>
      </c>
      <c r="K229" s="8" t="s">
        <v>56</v>
      </c>
      <c r="L229" s="7">
        <v>5.0E7</v>
      </c>
      <c r="M229" s="8" t="s">
        <v>52</v>
      </c>
      <c r="N229" s="8" t="s">
        <v>1771</v>
      </c>
      <c r="O229" s="8" t="s">
        <v>170</v>
      </c>
      <c r="P229" s="32">
        <v>41428.0</v>
      </c>
      <c r="Q229" s="7">
        <f>VLOOKUP(G229,'CBs RAW'!$E$2:$P$427,12)</f>
        <v>4.2</v>
      </c>
      <c r="R229" s="32">
        <v>48733.0</v>
      </c>
      <c r="S229" s="8" t="s">
        <v>226</v>
      </c>
      <c r="T229" s="8" t="s">
        <v>175</v>
      </c>
      <c r="U229" s="8" t="s">
        <v>49</v>
      </c>
      <c r="V229" s="8" t="s">
        <v>263</v>
      </c>
      <c r="W229" s="8" t="s">
        <v>2686</v>
      </c>
      <c r="X229" s="33">
        <f>VLOOKUP(G229,'CBs RAW'!$E$2:$W$427,19)</f>
        <v>5.921</v>
      </c>
      <c r="Y229" s="34">
        <f t="shared" si="1"/>
        <v>5.921</v>
      </c>
      <c r="Z229" s="4" t="str">
        <f t="shared" si="2"/>
        <v>Holcim US Finance Sarl &amp; Cie SCSAT MATURITYFIXEDUSDSr Unsecured</v>
      </c>
    </row>
    <row r="230">
      <c r="A230" s="8">
        <v>229.0</v>
      </c>
      <c r="B230" s="8" t="s">
        <v>567</v>
      </c>
      <c r="C230" s="8" t="s">
        <v>570</v>
      </c>
      <c r="D230" s="8" t="s">
        <v>57</v>
      </c>
      <c r="E230" s="8" t="str">
        <f>VLOOKUP(G230,'CBs RAW'!$E$2:$H$427,4)</f>
        <v>#N/A N/A</v>
      </c>
      <c r="F230" s="8" t="s">
        <v>185</v>
      </c>
      <c r="G230" s="8" t="s">
        <v>2687</v>
      </c>
      <c r="H230" s="8" t="s">
        <v>2688</v>
      </c>
      <c r="I230" s="8" t="s">
        <v>2689</v>
      </c>
      <c r="J230" s="8" t="s">
        <v>55</v>
      </c>
      <c r="K230" s="8" t="s">
        <v>56</v>
      </c>
      <c r="L230" s="7">
        <v>6.41964E8</v>
      </c>
      <c r="M230" s="8" t="s">
        <v>52</v>
      </c>
      <c r="N230" s="8" t="s">
        <v>174</v>
      </c>
      <c r="O230" s="8" t="s">
        <v>185</v>
      </c>
      <c r="P230" s="32">
        <v>42752.0</v>
      </c>
      <c r="Q230" s="7">
        <f>VLOOKUP(G230,'CBs RAW'!$E$2:$P$427,12)</f>
        <v>1.5</v>
      </c>
      <c r="R230" s="32">
        <v>46402.0</v>
      </c>
      <c r="S230" s="8" t="s">
        <v>226</v>
      </c>
      <c r="T230" s="8" t="s">
        <v>497</v>
      </c>
      <c r="U230" s="8" t="s">
        <v>115</v>
      </c>
      <c r="V230" s="8" t="s">
        <v>53</v>
      </c>
      <c r="W230" s="8" t="s">
        <v>2690</v>
      </c>
      <c r="X230" s="33">
        <f>VLOOKUP(G230,'CBs RAW'!$E$2:$W$427,19)</f>
        <v>1.608</v>
      </c>
      <c r="Y230" s="34">
        <f t="shared" si="1"/>
        <v>1.608</v>
      </c>
      <c r="Z230" s="4" t="str">
        <f t="shared" si="2"/>
        <v>Imerys SACALLABLEFIXEDEURSr Unsecured</v>
      </c>
    </row>
    <row r="231">
      <c r="A231" s="8">
        <v>230.0</v>
      </c>
      <c r="B231" s="8" t="s">
        <v>567</v>
      </c>
      <c r="C231" s="8" t="s">
        <v>570</v>
      </c>
      <c r="D231" s="8" t="s">
        <v>57</v>
      </c>
      <c r="E231" s="8">
        <f>VLOOKUP(G231,'CBs RAW'!$E$2:$H$427,4)</f>
        <v>2.127</v>
      </c>
      <c r="F231" s="8" t="s">
        <v>185</v>
      </c>
      <c r="G231" s="8" t="s">
        <v>2691</v>
      </c>
      <c r="H231" s="8" t="s">
        <v>2692</v>
      </c>
      <c r="I231" s="8" t="s">
        <v>2693</v>
      </c>
      <c r="J231" s="8" t="s">
        <v>55</v>
      </c>
      <c r="K231" s="8" t="s">
        <v>56</v>
      </c>
      <c r="L231" s="7">
        <v>6.214E8</v>
      </c>
      <c r="M231" s="8" t="s">
        <v>52</v>
      </c>
      <c r="N231" s="8" t="s">
        <v>1771</v>
      </c>
      <c r="O231" s="8" t="s">
        <v>185</v>
      </c>
      <c r="P231" s="32">
        <v>41983.0</v>
      </c>
      <c r="Q231" s="7">
        <f>VLOOKUP(G231,'CBs RAW'!$E$2:$P$427,12)</f>
        <v>2</v>
      </c>
      <c r="R231" s="32">
        <v>45636.0</v>
      </c>
      <c r="S231" s="8" t="s">
        <v>226</v>
      </c>
      <c r="T231" s="8" t="s">
        <v>497</v>
      </c>
      <c r="U231" s="8" t="s">
        <v>115</v>
      </c>
      <c r="V231" s="8" t="s">
        <v>53</v>
      </c>
      <c r="W231" s="8" t="s">
        <v>2694</v>
      </c>
      <c r="X231" s="33">
        <f>VLOOKUP(G231,'CBs RAW'!$E$2:$W$427,19)</f>
        <v>1.855</v>
      </c>
      <c r="Y231" s="34">
        <f t="shared" si="1"/>
        <v>1.855</v>
      </c>
      <c r="Z231" s="4" t="str">
        <f t="shared" si="2"/>
        <v>Imerys SACALLABLEFIXEDEURSr Unsecured</v>
      </c>
    </row>
    <row r="232">
      <c r="A232" s="8">
        <v>231.0</v>
      </c>
      <c r="B232" s="8" t="s">
        <v>567</v>
      </c>
      <c r="C232" s="8" t="s">
        <v>570</v>
      </c>
      <c r="D232" s="8" t="s">
        <v>57</v>
      </c>
      <c r="E232" s="8" t="str">
        <f>VLOOKUP(G232,'CBs RAW'!$E$2:$H$427,4)</f>
        <v>#N/A N/A</v>
      </c>
      <c r="F232" s="8" t="s">
        <v>185</v>
      </c>
      <c r="G232" s="8" t="s">
        <v>2695</v>
      </c>
      <c r="H232" s="8" t="s">
        <v>2696</v>
      </c>
      <c r="I232" s="8" t="s">
        <v>2697</v>
      </c>
      <c r="J232" s="8" t="s">
        <v>55</v>
      </c>
      <c r="K232" s="8" t="s">
        <v>56</v>
      </c>
      <c r="L232" s="7">
        <v>3.41754E8</v>
      </c>
      <c r="M232" s="8" t="s">
        <v>52</v>
      </c>
      <c r="N232" s="8" t="s">
        <v>174</v>
      </c>
      <c r="O232" s="8" t="s">
        <v>185</v>
      </c>
      <c r="P232" s="32">
        <v>42461.0</v>
      </c>
      <c r="Q232" s="7">
        <f>VLOOKUP(G232,'CBs RAW'!$E$2:$P$427,12)</f>
        <v>1.875</v>
      </c>
      <c r="R232" s="32">
        <v>46843.0</v>
      </c>
      <c r="S232" s="8" t="s">
        <v>226</v>
      </c>
      <c r="T232" s="8" t="s">
        <v>497</v>
      </c>
      <c r="U232" s="8" t="s">
        <v>115</v>
      </c>
      <c r="V232" s="8" t="s">
        <v>53</v>
      </c>
      <c r="W232" s="8" t="s">
        <v>2698</v>
      </c>
      <c r="X232" s="33">
        <f>VLOOKUP(G232,'CBs RAW'!$E$2:$W$427,19)</f>
        <v>1.707</v>
      </c>
      <c r="Y232" s="34">
        <f t="shared" si="1"/>
        <v>1.707</v>
      </c>
      <c r="Z232" s="4" t="str">
        <f t="shared" si="2"/>
        <v>Imerys SACALLABLEFIXEDEURSr Unsecured</v>
      </c>
    </row>
    <row r="233">
      <c r="A233" s="8">
        <v>232.0</v>
      </c>
      <c r="B233" s="8" t="s">
        <v>1626</v>
      </c>
      <c r="C233" s="8" t="s">
        <v>1629</v>
      </c>
      <c r="D233" s="8" t="s">
        <v>71</v>
      </c>
      <c r="E233" s="8" t="str">
        <f>VLOOKUP(G233,'CBs RAW'!$E$2:$H$427,4)</f>
        <v>#N/A N/A</v>
      </c>
      <c r="F233" s="8" t="s">
        <v>45</v>
      </c>
      <c r="G233" s="8" t="s">
        <v>2699</v>
      </c>
      <c r="H233" s="8" t="s">
        <v>174</v>
      </c>
      <c r="I233" s="8" t="s">
        <v>2700</v>
      </c>
      <c r="J233" s="8" t="s">
        <v>55</v>
      </c>
      <c r="K233" s="8" t="s">
        <v>70</v>
      </c>
      <c r="L233" s="7">
        <v>7.11936E7</v>
      </c>
      <c r="M233" s="8" t="s">
        <v>52</v>
      </c>
      <c r="N233" s="8" t="s">
        <v>174</v>
      </c>
      <c r="O233" s="8" t="s">
        <v>45</v>
      </c>
      <c r="P233" s="32">
        <v>43235.0</v>
      </c>
      <c r="Q233" s="7">
        <f>VLOOKUP(G233,'CBs RAW'!$E$2:$P$427,12)</f>
        <v>0</v>
      </c>
      <c r="R233" s="32">
        <v>45061.0</v>
      </c>
      <c r="S233" s="8" t="s">
        <v>76</v>
      </c>
      <c r="T233" s="8" t="s">
        <v>54</v>
      </c>
      <c r="U233" s="8" t="s">
        <v>49</v>
      </c>
      <c r="V233" s="8" t="s">
        <v>53</v>
      </c>
      <c r="W233" s="8" t="s">
        <v>2701</v>
      </c>
      <c r="X233" s="33" t="str">
        <f>VLOOKUP(G233,'CBs RAW'!$E$2:$W$427,19)</f>
        <v>#N/A N/A</v>
      </c>
      <c r="Y233" s="4" t="str">
        <f t="shared" si="1"/>
        <v>#N/A N/A</v>
      </c>
      <c r="Z233" s="4" t="str">
        <f t="shared" si="2"/>
        <v>Indus Holding AGAT MATURITYFLOATINGEURSr Unsecured</v>
      </c>
    </row>
    <row r="234">
      <c r="A234" s="8">
        <v>233.0</v>
      </c>
      <c r="B234" s="8" t="s">
        <v>1626</v>
      </c>
      <c r="C234" s="8" t="s">
        <v>1629</v>
      </c>
      <c r="D234" s="8" t="s">
        <v>71</v>
      </c>
      <c r="E234" s="8" t="str">
        <f>VLOOKUP(G234,'CBs RAW'!$E$2:$H$427,4)</f>
        <v>#N/A N/A</v>
      </c>
      <c r="F234" s="8" t="s">
        <v>45</v>
      </c>
      <c r="G234" s="8" t="s">
        <v>2702</v>
      </c>
      <c r="H234" s="8" t="s">
        <v>174</v>
      </c>
      <c r="I234" s="8" t="s">
        <v>2703</v>
      </c>
      <c r="J234" s="8" t="s">
        <v>55</v>
      </c>
      <c r="K234" s="8" t="s">
        <v>70</v>
      </c>
      <c r="L234" s="7">
        <v>7.11936E7</v>
      </c>
      <c r="M234" s="8" t="s">
        <v>52</v>
      </c>
      <c r="N234" s="8" t="s">
        <v>174</v>
      </c>
      <c r="O234" s="8" t="s">
        <v>45</v>
      </c>
      <c r="P234" s="32">
        <v>43235.0</v>
      </c>
      <c r="Q234" s="7">
        <f>VLOOKUP(G234,'CBs RAW'!$E$2:$P$427,12)</f>
        <v>0</v>
      </c>
      <c r="R234" s="32">
        <v>45792.0</v>
      </c>
      <c r="S234" s="8" t="s">
        <v>69</v>
      </c>
      <c r="T234" s="8" t="s">
        <v>54</v>
      </c>
      <c r="U234" s="8" t="s">
        <v>49</v>
      </c>
      <c r="V234" s="8" t="s">
        <v>53</v>
      </c>
      <c r="W234" s="8" t="s">
        <v>2704</v>
      </c>
      <c r="X234" s="33" t="str">
        <f>VLOOKUP(G234,'CBs RAW'!$E$2:$W$427,19)</f>
        <v>#N/A N/A</v>
      </c>
      <c r="Y234" s="4" t="str">
        <f t="shared" si="1"/>
        <v>#N/A N/A</v>
      </c>
      <c r="Z234" s="4" t="str">
        <f t="shared" si="2"/>
        <v>Indus Holding AGAT MATURITYFLOATINGEURSr Unsecured</v>
      </c>
    </row>
    <row r="235">
      <c r="A235" s="8">
        <v>234.0</v>
      </c>
      <c r="B235" s="8" t="s">
        <v>1626</v>
      </c>
      <c r="C235" s="8" t="s">
        <v>1629</v>
      </c>
      <c r="D235" s="8" t="s">
        <v>57</v>
      </c>
      <c r="E235" s="8" t="str">
        <f>VLOOKUP(G235,'CBs RAW'!$E$2:$H$427,4)</f>
        <v>#N/A N/A</v>
      </c>
      <c r="F235" s="8" t="s">
        <v>45</v>
      </c>
      <c r="G235" s="8" t="s">
        <v>2705</v>
      </c>
      <c r="H235" s="8" t="s">
        <v>174</v>
      </c>
      <c r="I235" s="8" t="s">
        <v>2706</v>
      </c>
      <c r="J235" s="8" t="s">
        <v>55</v>
      </c>
      <c r="K235" s="8" t="s">
        <v>56</v>
      </c>
      <c r="L235" s="7">
        <v>2.3437E7</v>
      </c>
      <c r="M235" s="8" t="s">
        <v>52</v>
      </c>
      <c r="N235" s="8" t="s">
        <v>174</v>
      </c>
      <c r="O235" s="8" t="s">
        <v>45</v>
      </c>
      <c r="P235" s="32">
        <v>44285.0</v>
      </c>
      <c r="Q235" s="7">
        <f>VLOOKUP(G235,'CBs RAW'!$E$2:$P$427,12)</f>
        <v>0</v>
      </c>
      <c r="R235" s="32">
        <v>46842.0</v>
      </c>
      <c r="S235" s="8" t="s">
        <v>69</v>
      </c>
      <c r="T235" s="8" t="s">
        <v>54</v>
      </c>
      <c r="U235" s="8" t="s">
        <v>49</v>
      </c>
      <c r="V235" s="8" t="s">
        <v>53</v>
      </c>
      <c r="W235" s="8" t="s">
        <v>2707</v>
      </c>
      <c r="X235" s="33" t="str">
        <f>VLOOKUP(G235,'CBs RAW'!$E$2:$W$427,19)</f>
        <v>#N/A N/A</v>
      </c>
      <c r="Y235" s="4" t="str">
        <f t="shared" si="1"/>
        <v>#N/A N/A</v>
      </c>
      <c r="Z235" s="4" t="str">
        <f t="shared" si="2"/>
        <v>Indus Holding AGAT MATURITYFIXEDEURSr Unsecured</v>
      </c>
    </row>
    <row r="236">
      <c r="A236" s="8">
        <v>235.0</v>
      </c>
      <c r="B236" s="8" t="s">
        <v>1626</v>
      </c>
      <c r="C236" s="8" t="s">
        <v>1629</v>
      </c>
      <c r="D236" s="8" t="s">
        <v>71</v>
      </c>
      <c r="E236" s="8" t="str">
        <f>VLOOKUP(G236,'CBs RAW'!$E$2:$H$427,4)</f>
        <v>#N/A N/A</v>
      </c>
      <c r="F236" s="8" t="s">
        <v>45</v>
      </c>
      <c r="G236" s="8" t="s">
        <v>2708</v>
      </c>
      <c r="H236" s="8" t="s">
        <v>174</v>
      </c>
      <c r="I236" s="8" t="s">
        <v>2709</v>
      </c>
      <c r="J236" s="8" t="s">
        <v>55</v>
      </c>
      <c r="K236" s="8" t="s">
        <v>70</v>
      </c>
      <c r="L236" s="7">
        <v>6.40864E7</v>
      </c>
      <c r="M236" s="8" t="s">
        <v>52</v>
      </c>
      <c r="N236" s="8" t="s">
        <v>174</v>
      </c>
      <c r="O236" s="8" t="s">
        <v>45</v>
      </c>
      <c r="P236" s="32">
        <v>44573.0</v>
      </c>
      <c r="Q236" s="7">
        <f>VLOOKUP(G236,'CBs RAW'!$E$2:$P$427,12)</f>
        <v>0</v>
      </c>
      <c r="R236" s="32">
        <v>48225.0</v>
      </c>
      <c r="S236" s="8" t="s">
        <v>51</v>
      </c>
      <c r="T236" s="8" t="s">
        <v>54</v>
      </c>
      <c r="U236" s="8" t="s">
        <v>49</v>
      </c>
      <c r="V236" s="8" t="s">
        <v>53</v>
      </c>
      <c r="W236" s="8" t="s">
        <v>2710</v>
      </c>
      <c r="X236" s="33" t="str">
        <f>VLOOKUP(G236,'CBs RAW'!$E$2:$W$427,19)</f>
        <v>#N/A N/A</v>
      </c>
      <c r="Y236" s="4" t="str">
        <f t="shared" si="1"/>
        <v>#N/A N/A</v>
      </c>
      <c r="Z236" s="4" t="str">
        <f t="shared" si="2"/>
        <v>Indus Holding AGAT MATURITYFLOATINGEURSr Unsecured</v>
      </c>
    </row>
    <row r="237">
      <c r="A237" s="8">
        <v>236.0</v>
      </c>
      <c r="B237" s="8" t="s">
        <v>1626</v>
      </c>
      <c r="C237" s="8" t="s">
        <v>1629</v>
      </c>
      <c r="D237" s="8" t="s">
        <v>71</v>
      </c>
      <c r="E237" s="8" t="str">
        <f>VLOOKUP(G237,'CBs RAW'!$E$2:$H$427,4)</f>
        <v>#N/A N/A</v>
      </c>
      <c r="F237" s="8" t="s">
        <v>45</v>
      </c>
      <c r="G237" s="8" t="s">
        <v>2711</v>
      </c>
      <c r="H237" s="8" t="s">
        <v>174</v>
      </c>
      <c r="I237" s="8" t="s">
        <v>2712</v>
      </c>
      <c r="J237" s="8" t="s">
        <v>55</v>
      </c>
      <c r="K237" s="8" t="s">
        <v>70</v>
      </c>
      <c r="L237" s="7">
        <v>6.40864E7</v>
      </c>
      <c r="M237" s="8" t="s">
        <v>52</v>
      </c>
      <c r="N237" s="8" t="s">
        <v>174</v>
      </c>
      <c r="O237" s="8" t="s">
        <v>45</v>
      </c>
      <c r="P237" s="32">
        <v>44573.0</v>
      </c>
      <c r="Q237" s="7">
        <f>VLOOKUP(G237,'CBs RAW'!$E$2:$P$427,12)</f>
        <v>0</v>
      </c>
      <c r="R237" s="32">
        <v>47130.0</v>
      </c>
      <c r="S237" s="8" t="s">
        <v>69</v>
      </c>
      <c r="T237" s="8" t="s">
        <v>54</v>
      </c>
      <c r="U237" s="8" t="s">
        <v>49</v>
      </c>
      <c r="V237" s="8" t="s">
        <v>53</v>
      </c>
      <c r="W237" s="8" t="s">
        <v>2713</v>
      </c>
      <c r="X237" s="33" t="str">
        <f>VLOOKUP(G237,'CBs RAW'!$E$2:$W$427,19)</f>
        <v>#N/A N/A</v>
      </c>
      <c r="Y237" s="4" t="str">
        <f t="shared" si="1"/>
        <v>#N/A N/A</v>
      </c>
      <c r="Z237" s="4" t="str">
        <f t="shared" si="2"/>
        <v>Indus Holding AGAT MATURITYFLOATINGEURSr Unsecured</v>
      </c>
    </row>
    <row r="238">
      <c r="A238" s="8">
        <v>237.0</v>
      </c>
      <c r="B238" s="8" t="s">
        <v>1626</v>
      </c>
      <c r="C238" s="8" t="s">
        <v>1629</v>
      </c>
      <c r="D238" s="8" t="s">
        <v>71</v>
      </c>
      <c r="E238" s="8" t="str">
        <f>VLOOKUP(G238,'CBs RAW'!$E$2:$H$427,4)</f>
        <v>#N/A N/A</v>
      </c>
      <c r="F238" s="8" t="s">
        <v>45</v>
      </c>
      <c r="G238" s="8" t="s">
        <v>2714</v>
      </c>
      <c r="H238" s="8" t="s">
        <v>174</v>
      </c>
      <c r="I238" s="8" t="s">
        <v>2715</v>
      </c>
      <c r="J238" s="8" t="s">
        <v>55</v>
      </c>
      <c r="K238" s="8" t="s">
        <v>70</v>
      </c>
      <c r="L238" s="7">
        <v>6.40864E7</v>
      </c>
      <c r="M238" s="8" t="s">
        <v>52</v>
      </c>
      <c r="N238" s="8" t="s">
        <v>174</v>
      </c>
      <c r="O238" s="8" t="s">
        <v>45</v>
      </c>
      <c r="P238" s="32">
        <v>44573.0</v>
      </c>
      <c r="Q238" s="7">
        <f>VLOOKUP(G238,'CBs RAW'!$E$2:$P$427,12)</f>
        <v>0</v>
      </c>
      <c r="R238" s="32">
        <v>46399.0</v>
      </c>
      <c r="S238" s="8" t="s">
        <v>76</v>
      </c>
      <c r="T238" s="8" t="s">
        <v>54</v>
      </c>
      <c r="U238" s="8" t="s">
        <v>49</v>
      </c>
      <c r="V238" s="8" t="s">
        <v>53</v>
      </c>
      <c r="W238" s="8" t="s">
        <v>2716</v>
      </c>
      <c r="X238" s="33" t="str">
        <f>VLOOKUP(G238,'CBs RAW'!$E$2:$W$427,19)</f>
        <v>#N/A N/A</v>
      </c>
      <c r="Y238" s="4" t="str">
        <f t="shared" si="1"/>
        <v>#N/A N/A</v>
      </c>
      <c r="Z238" s="4" t="str">
        <f t="shared" si="2"/>
        <v>Indus Holding AGAT MATURITYFLOATINGEURSr Unsecured</v>
      </c>
    </row>
    <row r="239">
      <c r="A239" s="8">
        <v>238.0</v>
      </c>
      <c r="B239" s="8" t="s">
        <v>1626</v>
      </c>
      <c r="C239" s="8" t="s">
        <v>1629</v>
      </c>
      <c r="D239" s="8" t="s">
        <v>57</v>
      </c>
      <c r="E239" s="8" t="str">
        <f>VLOOKUP(G239,'CBs RAW'!$E$2:$H$427,4)</f>
        <v>#N/A N/A</v>
      </c>
      <c r="F239" s="8" t="s">
        <v>45</v>
      </c>
      <c r="G239" s="8" t="s">
        <v>2717</v>
      </c>
      <c r="H239" s="8" t="s">
        <v>174</v>
      </c>
      <c r="I239" s="8" t="s">
        <v>2718</v>
      </c>
      <c r="J239" s="8" t="s">
        <v>55</v>
      </c>
      <c r="K239" s="8" t="s">
        <v>56</v>
      </c>
      <c r="L239" s="7">
        <v>6.57498E7</v>
      </c>
      <c r="M239" s="8" t="s">
        <v>52</v>
      </c>
      <c r="N239" s="8" t="s">
        <v>174</v>
      </c>
      <c r="O239" s="8" t="s">
        <v>45</v>
      </c>
      <c r="P239" s="32">
        <v>43740.0</v>
      </c>
      <c r="Q239" s="7">
        <f>VLOOKUP(G239,'CBs RAW'!$E$2:$P$427,12)</f>
        <v>0</v>
      </c>
      <c r="R239" s="32">
        <v>46306.0</v>
      </c>
      <c r="S239" s="8" t="s">
        <v>69</v>
      </c>
      <c r="T239" s="8" t="s">
        <v>54</v>
      </c>
      <c r="U239" s="8" t="s">
        <v>49</v>
      </c>
      <c r="V239" s="8" t="s">
        <v>53</v>
      </c>
      <c r="W239" s="8" t="s">
        <v>2719</v>
      </c>
      <c r="X239" s="33" t="str">
        <f>VLOOKUP(G239,'CBs RAW'!$E$2:$W$427,19)</f>
        <v>#N/A N/A</v>
      </c>
      <c r="Y239" s="4" t="str">
        <f t="shared" si="1"/>
        <v>#N/A N/A</v>
      </c>
      <c r="Z239" s="4" t="str">
        <f t="shared" si="2"/>
        <v>Indus Holding AGAT MATURITYFIXEDEURSr Unsecured</v>
      </c>
    </row>
    <row r="240">
      <c r="A240" s="8">
        <v>239.0</v>
      </c>
      <c r="B240" s="8" t="s">
        <v>1626</v>
      </c>
      <c r="C240" s="8" t="s">
        <v>1629</v>
      </c>
      <c r="D240" s="8" t="s">
        <v>57</v>
      </c>
      <c r="E240" s="8" t="str">
        <f>VLOOKUP(G240,'CBs RAW'!$E$2:$H$427,4)</f>
        <v>#N/A N/A</v>
      </c>
      <c r="F240" s="8" t="s">
        <v>45</v>
      </c>
      <c r="G240" s="8" t="s">
        <v>2720</v>
      </c>
      <c r="H240" s="8" t="s">
        <v>174</v>
      </c>
      <c r="I240" s="8" t="s">
        <v>2721</v>
      </c>
      <c r="J240" s="8" t="s">
        <v>55</v>
      </c>
      <c r="K240" s="8" t="s">
        <v>56</v>
      </c>
      <c r="L240" s="7">
        <v>6.57498E7</v>
      </c>
      <c r="M240" s="8" t="s">
        <v>52</v>
      </c>
      <c r="N240" s="8" t="s">
        <v>174</v>
      </c>
      <c r="O240" s="8" t="s">
        <v>45</v>
      </c>
      <c r="P240" s="32">
        <v>43740.0</v>
      </c>
      <c r="Q240" s="7">
        <f>VLOOKUP(G240,'CBs RAW'!$E$2:$P$427,12)</f>
        <v>0</v>
      </c>
      <c r="R240" s="32">
        <v>46297.0</v>
      </c>
      <c r="S240" s="8" t="s">
        <v>69</v>
      </c>
      <c r="T240" s="8" t="s">
        <v>54</v>
      </c>
      <c r="U240" s="8" t="s">
        <v>49</v>
      </c>
      <c r="V240" s="8" t="s">
        <v>53</v>
      </c>
      <c r="W240" s="8" t="s">
        <v>2722</v>
      </c>
      <c r="X240" s="33" t="str">
        <f>VLOOKUP(G240,'CBs RAW'!$E$2:$W$427,19)</f>
        <v>#N/A N/A</v>
      </c>
      <c r="Y240" s="4" t="str">
        <f t="shared" si="1"/>
        <v>#N/A N/A</v>
      </c>
      <c r="Z240" s="4" t="str">
        <f t="shared" si="2"/>
        <v>Indus Holding AGAT MATURITYFIXEDEURSr Unsecured</v>
      </c>
    </row>
    <row r="241">
      <c r="A241" s="8">
        <v>240.0</v>
      </c>
      <c r="B241" s="8" t="s">
        <v>1560</v>
      </c>
      <c r="C241" s="8" t="s">
        <v>1563</v>
      </c>
      <c r="D241" s="8" t="s">
        <v>57</v>
      </c>
      <c r="E241" s="8" t="str">
        <f>VLOOKUP(G241,'CBs RAW'!$E$2:$H$427,4)</f>
        <v>#N/A N/A</v>
      </c>
      <c r="F241" s="8" t="s">
        <v>258</v>
      </c>
      <c r="G241" s="8" t="s">
        <v>2723</v>
      </c>
      <c r="H241" s="8" t="s">
        <v>2724</v>
      </c>
      <c r="I241" s="8" t="s">
        <v>2725</v>
      </c>
      <c r="J241" s="8" t="s">
        <v>55</v>
      </c>
      <c r="K241" s="8" t="s">
        <v>56</v>
      </c>
      <c r="L241" s="7">
        <v>8.344125E8</v>
      </c>
      <c r="M241" s="8" t="s">
        <v>52</v>
      </c>
      <c r="N241" s="8" t="s">
        <v>1771</v>
      </c>
      <c r="O241" s="8" t="s">
        <v>367</v>
      </c>
      <c r="P241" s="32">
        <v>42873.0</v>
      </c>
      <c r="Q241" s="7">
        <f>VLOOKUP(G241,'CBs RAW'!$E$2:$P$427,12)</f>
        <v>1.25</v>
      </c>
      <c r="R241" s="32">
        <v>45434.0</v>
      </c>
      <c r="S241" s="8" t="s">
        <v>174</v>
      </c>
      <c r="T241" s="8" t="s">
        <v>175</v>
      </c>
      <c r="U241" s="8" t="s">
        <v>49</v>
      </c>
      <c r="V241" s="8" t="s">
        <v>53</v>
      </c>
      <c r="W241" s="8" t="s">
        <v>2726</v>
      </c>
      <c r="X241" s="33">
        <f>VLOOKUP(G241,'CBs RAW'!$E$2:$W$427,19)</f>
        <v>1.222</v>
      </c>
      <c r="Y241" s="34">
        <f t="shared" si="1"/>
        <v>1.222</v>
      </c>
      <c r="Z241" s="4" t="str">
        <f t="shared" si="2"/>
        <v>JAB Holdings BVAT MATURITYFIXEDEURSr Unsecured</v>
      </c>
    </row>
    <row r="242">
      <c r="A242" s="8">
        <v>241.0</v>
      </c>
      <c r="B242" s="8" t="s">
        <v>1560</v>
      </c>
      <c r="C242" s="8" t="s">
        <v>1563</v>
      </c>
      <c r="D242" s="8" t="s">
        <v>57</v>
      </c>
      <c r="E242" s="8" t="str">
        <f>VLOOKUP(G242,'CBs RAW'!$E$2:$H$427,4)</f>
        <v>#N/A N/A</v>
      </c>
      <c r="F242" s="8" t="s">
        <v>258</v>
      </c>
      <c r="G242" s="8" t="s">
        <v>2727</v>
      </c>
      <c r="H242" s="8" t="s">
        <v>2728</v>
      </c>
      <c r="I242" s="8" t="s">
        <v>2729</v>
      </c>
      <c r="J242" s="8" t="s">
        <v>55</v>
      </c>
      <c r="K242" s="8" t="s">
        <v>56</v>
      </c>
      <c r="L242" s="7">
        <v>8.344125E8</v>
      </c>
      <c r="M242" s="8" t="s">
        <v>52</v>
      </c>
      <c r="N242" s="8" t="s">
        <v>174</v>
      </c>
      <c r="O242" s="8" t="s">
        <v>367</v>
      </c>
      <c r="P242" s="32">
        <v>42873.0</v>
      </c>
      <c r="Q242" s="7">
        <f>VLOOKUP(G242,'CBs RAW'!$E$2:$P$427,12)</f>
        <v>2</v>
      </c>
      <c r="R242" s="32">
        <v>46891.0</v>
      </c>
      <c r="S242" s="8" t="s">
        <v>174</v>
      </c>
      <c r="T242" s="8" t="s">
        <v>175</v>
      </c>
      <c r="U242" s="8" t="s">
        <v>49</v>
      </c>
      <c r="V242" s="8" t="s">
        <v>53</v>
      </c>
      <c r="W242" s="8" t="s">
        <v>2730</v>
      </c>
      <c r="X242" s="33">
        <f>VLOOKUP(G242,'CBs RAW'!$E$2:$W$427,19)</f>
        <v>1.919</v>
      </c>
      <c r="Y242" s="34">
        <f t="shared" si="1"/>
        <v>1.919</v>
      </c>
      <c r="Z242" s="4" t="str">
        <f t="shared" si="2"/>
        <v>JAB Holdings BVAT MATURITYFIXEDEURSr Unsecured</v>
      </c>
    </row>
    <row r="243">
      <c r="A243" s="8">
        <v>242.0</v>
      </c>
      <c r="B243" s="8" t="s">
        <v>1560</v>
      </c>
      <c r="C243" s="8" t="s">
        <v>1563</v>
      </c>
      <c r="D243" s="8" t="s">
        <v>57</v>
      </c>
      <c r="E243" s="8">
        <f>VLOOKUP(G243,'CBs RAW'!$E$2:$H$427,4)</f>
        <v>1.855</v>
      </c>
      <c r="F243" s="8" t="s">
        <v>258</v>
      </c>
      <c r="G243" s="8" t="s">
        <v>2731</v>
      </c>
      <c r="H243" s="8" t="s">
        <v>2732</v>
      </c>
      <c r="I243" s="8" t="s">
        <v>2733</v>
      </c>
      <c r="J243" s="8" t="s">
        <v>55</v>
      </c>
      <c r="K243" s="8" t="s">
        <v>56</v>
      </c>
      <c r="L243" s="7">
        <v>8.769E8</v>
      </c>
      <c r="M243" s="8" t="s">
        <v>52</v>
      </c>
      <c r="N243" s="8" t="s">
        <v>1771</v>
      </c>
      <c r="O243" s="8" t="s">
        <v>367</v>
      </c>
      <c r="P243" s="32">
        <v>43276.0</v>
      </c>
      <c r="Q243" s="7">
        <f>VLOOKUP(G243,'CBs RAW'!$E$2:$P$427,12)</f>
        <v>1.75</v>
      </c>
      <c r="R243" s="32">
        <v>46198.0</v>
      </c>
      <c r="S243" s="8" t="s">
        <v>174</v>
      </c>
      <c r="T243" s="8" t="s">
        <v>175</v>
      </c>
      <c r="U243" s="8" t="s">
        <v>49</v>
      </c>
      <c r="V243" s="8" t="s">
        <v>53</v>
      </c>
      <c r="W243" s="8" t="s">
        <v>2734</v>
      </c>
      <c r="X243" s="33">
        <f>VLOOKUP(G243,'CBs RAW'!$E$2:$W$427,19)</f>
        <v>1.746</v>
      </c>
      <c r="Y243" s="34">
        <f t="shared" si="1"/>
        <v>1.746</v>
      </c>
      <c r="Z243" s="4" t="str">
        <f t="shared" si="2"/>
        <v>JAB Holdings BVAT MATURITYFIXEDEURSr Unsecured</v>
      </c>
    </row>
    <row r="244">
      <c r="A244" s="8">
        <v>243.0</v>
      </c>
      <c r="B244" s="8" t="s">
        <v>1560</v>
      </c>
      <c r="C244" s="8" t="s">
        <v>1563</v>
      </c>
      <c r="D244" s="8" t="s">
        <v>57</v>
      </c>
      <c r="E244" s="8">
        <f>VLOOKUP(G244,'CBs RAW'!$E$2:$H$427,4)</f>
        <v>2.514</v>
      </c>
      <c r="F244" s="8" t="s">
        <v>258</v>
      </c>
      <c r="G244" s="8" t="s">
        <v>2735</v>
      </c>
      <c r="H244" s="8" t="s">
        <v>2736</v>
      </c>
      <c r="I244" s="8" t="s">
        <v>2737</v>
      </c>
      <c r="J244" s="8" t="s">
        <v>55</v>
      </c>
      <c r="K244" s="8" t="s">
        <v>56</v>
      </c>
      <c r="L244" s="7">
        <v>8.769E8</v>
      </c>
      <c r="M244" s="8" t="s">
        <v>52</v>
      </c>
      <c r="N244" s="8" t="s">
        <v>1771</v>
      </c>
      <c r="O244" s="8" t="s">
        <v>367</v>
      </c>
      <c r="P244" s="32">
        <v>43276.0</v>
      </c>
      <c r="Q244" s="7">
        <f>VLOOKUP(G244,'CBs RAW'!$E$2:$P$427,12)</f>
        <v>2.5</v>
      </c>
      <c r="R244" s="32">
        <v>47294.0</v>
      </c>
      <c r="S244" s="8" t="s">
        <v>2738</v>
      </c>
      <c r="T244" s="8" t="s">
        <v>175</v>
      </c>
      <c r="U244" s="8" t="s">
        <v>49</v>
      </c>
      <c r="V244" s="8" t="s">
        <v>53</v>
      </c>
      <c r="W244" s="8" t="s">
        <v>2739</v>
      </c>
      <c r="X244" s="33">
        <f>VLOOKUP(G244,'CBs RAW'!$E$2:$W$427,19)</f>
        <v>2.412</v>
      </c>
      <c r="Y244" s="34">
        <f t="shared" si="1"/>
        <v>2.412</v>
      </c>
      <c r="Z244" s="4" t="str">
        <f t="shared" si="2"/>
        <v>JAB Holdings BVAT MATURITYFIXEDEURSr Unsecured</v>
      </c>
    </row>
    <row r="245">
      <c r="A245" s="8">
        <v>244.0</v>
      </c>
      <c r="B245" s="8" t="s">
        <v>1560</v>
      </c>
      <c r="C245" s="8" t="s">
        <v>1563</v>
      </c>
      <c r="D245" s="8" t="s">
        <v>57</v>
      </c>
      <c r="E245" s="8" t="str">
        <f>VLOOKUP(G245,'CBs RAW'!$E$2:$H$427,4)</f>
        <v>#N/A N/A</v>
      </c>
      <c r="F245" s="8" t="s">
        <v>258</v>
      </c>
      <c r="G245" s="8" t="s">
        <v>2740</v>
      </c>
      <c r="H245" s="8" t="s">
        <v>2741</v>
      </c>
      <c r="I245" s="8" t="s">
        <v>2742</v>
      </c>
      <c r="J245" s="8" t="s">
        <v>55</v>
      </c>
      <c r="K245" s="8" t="s">
        <v>56</v>
      </c>
      <c r="L245" s="7">
        <v>5.4336E8</v>
      </c>
      <c r="M245" s="8" t="s">
        <v>52</v>
      </c>
      <c r="N245" s="8" t="s">
        <v>1771</v>
      </c>
      <c r="O245" s="8" t="s">
        <v>367</v>
      </c>
      <c r="P245" s="32">
        <v>43938.0</v>
      </c>
      <c r="Q245" s="7">
        <f>VLOOKUP(G245,'CBs RAW'!$E$2:$P$427,12)</f>
        <v>2.5</v>
      </c>
      <c r="R245" s="32">
        <v>46494.0</v>
      </c>
      <c r="S245" s="8" t="s">
        <v>174</v>
      </c>
      <c r="T245" s="8" t="s">
        <v>175</v>
      </c>
      <c r="U245" s="8" t="s">
        <v>49</v>
      </c>
      <c r="V245" s="8" t="s">
        <v>53</v>
      </c>
      <c r="W245" s="8" t="s">
        <v>2743</v>
      </c>
      <c r="X245" s="33">
        <f>VLOOKUP(G245,'CBs RAW'!$E$2:$W$427,19)</f>
        <v>2.237</v>
      </c>
      <c r="Y245" s="34">
        <f t="shared" si="1"/>
        <v>2.237</v>
      </c>
      <c r="Z245" s="4" t="str">
        <f t="shared" si="2"/>
        <v>JAB Holdings BVAT MATURITYFIXEDEURSr Unsecured</v>
      </c>
    </row>
    <row r="246">
      <c r="A246" s="8">
        <v>245.0</v>
      </c>
      <c r="B246" s="8" t="s">
        <v>1560</v>
      </c>
      <c r="C246" s="8" t="s">
        <v>1563</v>
      </c>
      <c r="D246" s="8" t="s">
        <v>57</v>
      </c>
      <c r="E246" s="8" t="str">
        <f>VLOOKUP(G246,'CBs RAW'!$E$2:$H$427,4)</f>
        <v>#N/A N/A</v>
      </c>
      <c r="F246" s="8" t="s">
        <v>258</v>
      </c>
      <c r="G246" s="8" t="s">
        <v>2744</v>
      </c>
      <c r="H246" s="8" t="s">
        <v>2745</v>
      </c>
      <c r="I246" s="8" t="s">
        <v>2746</v>
      </c>
      <c r="J246" s="8" t="s">
        <v>55</v>
      </c>
      <c r="K246" s="8" t="s">
        <v>56</v>
      </c>
      <c r="L246" s="7">
        <v>5.4336E8</v>
      </c>
      <c r="M246" s="8" t="s">
        <v>52</v>
      </c>
      <c r="N246" s="8" t="s">
        <v>1771</v>
      </c>
      <c r="O246" s="8" t="s">
        <v>367</v>
      </c>
      <c r="P246" s="32">
        <v>43938.0</v>
      </c>
      <c r="Q246" s="7">
        <f>VLOOKUP(G246,'CBs RAW'!$E$2:$P$427,12)</f>
        <v>3.375</v>
      </c>
      <c r="R246" s="32">
        <v>49416.0</v>
      </c>
      <c r="S246" s="8" t="s">
        <v>174</v>
      </c>
      <c r="T246" s="8" t="s">
        <v>175</v>
      </c>
      <c r="U246" s="8" t="s">
        <v>49</v>
      </c>
      <c r="V246" s="8" t="s">
        <v>53</v>
      </c>
      <c r="W246" s="8" t="s">
        <v>2747</v>
      </c>
      <c r="X246" s="33">
        <f>VLOOKUP(G246,'CBs RAW'!$E$2:$W$427,19)</f>
        <v>2.832</v>
      </c>
      <c r="Y246" s="34">
        <f t="shared" si="1"/>
        <v>2.832</v>
      </c>
      <c r="Z246" s="4" t="str">
        <f t="shared" si="2"/>
        <v>JAB Holdings BVAT MATURITYFIXEDEURSr Unsecured</v>
      </c>
    </row>
    <row r="247">
      <c r="A247" s="8">
        <v>246.0</v>
      </c>
      <c r="B247" s="8" t="s">
        <v>1560</v>
      </c>
      <c r="C247" s="8" t="s">
        <v>1563</v>
      </c>
      <c r="D247" s="8" t="s">
        <v>71</v>
      </c>
      <c r="E247" s="8">
        <f>VLOOKUP(G247,'CBs RAW'!$E$2:$H$427,4)</f>
        <v>2.235</v>
      </c>
      <c r="F247" s="8" t="s">
        <v>258</v>
      </c>
      <c r="G247" s="8" t="s">
        <v>2748</v>
      </c>
      <c r="H247" s="8" t="s">
        <v>2749</v>
      </c>
      <c r="I247" s="8" t="s">
        <v>2750</v>
      </c>
      <c r="J247" s="8" t="s">
        <v>55</v>
      </c>
      <c r="K247" s="8" t="s">
        <v>56</v>
      </c>
      <c r="L247" s="7">
        <v>5.0E8</v>
      </c>
      <c r="M247" s="8" t="s">
        <v>52</v>
      </c>
      <c r="N247" s="8" t="s">
        <v>1776</v>
      </c>
      <c r="O247" s="8" t="s">
        <v>367</v>
      </c>
      <c r="P247" s="32">
        <v>44158.0</v>
      </c>
      <c r="Q247" s="7">
        <f>VLOOKUP(G247,'CBs RAW'!$E$2:$P$427,12)</f>
        <v>2.2</v>
      </c>
      <c r="R247" s="32">
        <v>47810.0</v>
      </c>
      <c r="S247" s="8" t="s">
        <v>262</v>
      </c>
      <c r="T247" s="8" t="s">
        <v>175</v>
      </c>
      <c r="U247" s="8" t="s">
        <v>115</v>
      </c>
      <c r="V247" s="8" t="s">
        <v>263</v>
      </c>
      <c r="W247" s="8" t="s">
        <v>2751</v>
      </c>
      <c r="X247" s="33" t="str">
        <f>VLOOKUP(G247,'CBs RAW'!$E$2:$W$427,19)</f>
        <v>#N/A N/A</v>
      </c>
      <c r="Y247" s="4">
        <f t="shared" si="1"/>
        <v>2.235</v>
      </c>
      <c r="Z247" s="4" t="str">
        <f t="shared" si="2"/>
        <v>JAB Holdings BVCALLABLEFIXEDUSDSr Unsecured</v>
      </c>
    </row>
    <row r="248">
      <c r="A248" s="8">
        <v>247.0</v>
      </c>
      <c r="B248" s="8" t="s">
        <v>1560</v>
      </c>
      <c r="C248" s="8" t="s">
        <v>1563</v>
      </c>
      <c r="D248" s="8" t="s">
        <v>71</v>
      </c>
      <c r="E248" s="8">
        <f>VLOOKUP(G248,'CBs RAW'!$E$2:$H$427,4)</f>
        <v>2.235</v>
      </c>
      <c r="F248" s="8" t="s">
        <v>258</v>
      </c>
      <c r="G248" s="8" t="s">
        <v>2752</v>
      </c>
      <c r="H248" s="8" t="s">
        <v>2753</v>
      </c>
      <c r="I248" s="8" t="s">
        <v>2754</v>
      </c>
      <c r="J248" s="8" t="s">
        <v>55</v>
      </c>
      <c r="K248" s="8" t="s">
        <v>56</v>
      </c>
      <c r="L248" s="7">
        <v>5.0E8</v>
      </c>
      <c r="M248" s="8" t="s">
        <v>52</v>
      </c>
      <c r="N248" s="8" t="s">
        <v>1776</v>
      </c>
      <c r="O248" s="8" t="s">
        <v>367</v>
      </c>
      <c r="P248" s="32">
        <v>44158.0</v>
      </c>
      <c r="Q248" s="7">
        <f>VLOOKUP(G248,'CBs RAW'!$E$2:$P$427,12)</f>
        <v>2.2</v>
      </c>
      <c r="R248" s="32">
        <v>47810.0</v>
      </c>
      <c r="S248" s="8" t="s">
        <v>271</v>
      </c>
      <c r="T248" s="8" t="s">
        <v>175</v>
      </c>
      <c r="U248" s="8" t="s">
        <v>115</v>
      </c>
      <c r="V248" s="8" t="s">
        <v>263</v>
      </c>
      <c r="W248" s="8" t="s">
        <v>2755</v>
      </c>
      <c r="X248" s="33" t="str">
        <f>VLOOKUP(G248,'CBs RAW'!$E$2:$W$427,19)</f>
        <v>#N/A N/A</v>
      </c>
      <c r="Y248" s="4">
        <f t="shared" si="1"/>
        <v>2.235</v>
      </c>
      <c r="Z248" s="4" t="str">
        <f t="shared" si="2"/>
        <v>JAB Holdings BVCALLABLEFIXEDUSDSr Unsecured</v>
      </c>
    </row>
    <row r="249">
      <c r="A249" s="8">
        <v>248.0</v>
      </c>
      <c r="B249" s="8" t="s">
        <v>1560</v>
      </c>
      <c r="C249" s="8" t="s">
        <v>1563</v>
      </c>
      <c r="D249" s="8" t="s">
        <v>71</v>
      </c>
      <c r="E249" s="8">
        <f>VLOOKUP(G249,'CBs RAW'!$E$2:$H$427,4)</f>
        <v>3.781</v>
      </c>
      <c r="F249" s="8" t="s">
        <v>258</v>
      </c>
      <c r="G249" s="8" t="s">
        <v>2756</v>
      </c>
      <c r="H249" s="8" t="s">
        <v>2757</v>
      </c>
      <c r="I249" s="8" t="s">
        <v>2758</v>
      </c>
      <c r="J249" s="8" t="s">
        <v>55</v>
      </c>
      <c r="K249" s="8" t="s">
        <v>56</v>
      </c>
      <c r="L249" s="7">
        <v>5.0E8</v>
      </c>
      <c r="M249" s="8" t="s">
        <v>52</v>
      </c>
      <c r="N249" s="8" t="s">
        <v>1776</v>
      </c>
      <c r="O249" s="8" t="s">
        <v>367</v>
      </c>
      <c r="P249" s="32">
        <v>44344.0</v>
      </c>
      <c r="Q249" s="7">
        <f>VLOOKUP(G249,'CBs RAW'!$E$2:$P$427,12)</f>
        <v>3.75</v>
      </c>
      <c r="R249" s="32">
        <v>55301.0</v>
      </c>
      <c r="S249" s="8" t="s">
        <v>262</v>
      </c>
      <c r="T249" s="8" t="s">
        <v>175</v>
      </c>
      <c r="U249" s="8" t="s">
        <v>115</v>
      </c>
      <c r="V249" s="8" t="s">
        <v>263</v>
      </c>
      <c r="W249" s="8" t="s">
        <v>2759</v>
      </c>
      <c r="X249" s="33" t="str">
        <f>VLOOKUP(G249,'CBs RAW'!$E$2:$W$427,19)</f>
        <v>#N/A N/A</v>
      </c>
      <c r="Y249" s="4">
        <f t="shared" si="1"/>
        <v>3.781</v>
      </c>
      <c r="Z249" s="4" t="str">
        <f t="shared" si="2"/>
        <v>JAB Holdings BVCALLABLEFIXEDUSDSr Unsecured</v>
      </c>
    </row>
    <row r="250">
      <c r="A250" s="8">
        <v>249.0</v>
      </c>
      <c r="B250" s="8" t="s">
        <v>1560</v>
      </c>
      <c r="C250" s="8" t="s">
        <v>1563</v>
      </c>
      <c r="D250" s="8" t="s">
        <v>71</v>
      </c>
      <c r="E250" s="8">
        <f>VLOOKUP(G250,'CBs RAW'!$E$2:$H$427,4)</f>
        <v>3.781</v>
      </c>
      <c r="F250" s="8" t="s">
        <v>258</v>
      </c>
      <c r="G250" s="8" t="s">
        <v>2760</v>
      </c>
      <c r="H250" s="8" t="s">
        <v>2761</v>
      </c>
      <c r="I250" s="8" t="s">
        <v>2762</v>
      </c>
      <c r="J250" s="8" t="s">
        <v>55</v>
      </c>
      <c r="K250" s="8" t="s">
        <v>56</v>
      </c>
      <c r="L250" s="7">
        <v>5.0E8</v>
      </c>
      <c r="M250" s="8" t="s">
        <v>52</v>
      </c>
      <c r="N250" s="8" t="s">
        <v>1776</v>
      </c>
      <c r="O250" s="8" t="s">
        <v>367</v>
      </c>
      <c r="P250" s="32">
        <v>44344.0</v>
      </c>
      <c r="Q250" s="7">
        <f>VLOOKUP(G250,'CBs RAW'!$E$2:$P$427,12)</f>
        <v>3.75</v>
      </c>
      <c r="R250" s="32">
        <v>55301.0</v>
      </c>
      <c r="S250" s="8" t="s">
        <v>271</v>
      </c>
      <c r="T250" s="8" t="s">
        <v>175</v>
      </c>
      <c r="U250" s="8" t="s">
        <v>115</v>
      </c>
      <c r="V250" s="8" t="s">
        <v>263</v>
      </c>
      <c r="W250" s="8" t="s">
        <v>2763</v>
      </c>
      <c r="X250" s="33" t="str">
        <f>VLOOKUP(G250,'CBs RAW'!$E$2:$W$427,19)</f>
        <v>#N/A N/A</v>
      </c>
      <c r="Y250" s="4">
        <f t="shared" si="1"/>
        <v>3.781</v>
      </c>
      <c r="Z250" s="4" t="str">
        <f t="shared" si="2"/>
        <v>JAB Holdings BVCALLABLEFIXEDUSDSr Unsecured</v>
      </c>
    </row>
    <row r="251">
      <c r="A251" s="8">
        <v>250.0</v>
      </c>
      <c r="B251" s="8" t="s">
        <v>1560</v>
      </c>
      <c r="C251" s="8" t="s">
        <v>1563</v>
      </c>
      <c r="D251" s="8" t="s">
        <v>57</v>
      </c>
      <c r="E251" s="8">
        <f>VLOOKUP(G251,'CBs RAW'!$E$2:$H$427,4)</f>
        <v>1.032</v>
      </c>
      <c r="F251" s="8" t="s">
        <v>258</v>
      </c>
      <c r="G251" s="8" t="s">
        <v>2764</v>
      </c>
      <c r="H251" s="8" t="s">
        <v>2765</v>
      </c>
      <c r="I251" s="8" t="s">
        <v>2766</v>
      </c>
      <c r="J251" s="8" t="s">
        <v>55</v>
      </c>
      <c r="K251" s="8" t="s">
        <v>56</v>
      </c>
      <c r="L251" s="7">
        <v>5.91625E8</v>
      </c>
      <c r="M251" s="8" t="s">
        <v>52</v>
      </c>
      <c r="N251" s="8" t="s">
        <v>1776</v>
      </c>
      <c r="O251" s="8" t="s">
        <v>367</v>
      </c>
      <c r="P251" s="32">
        <v>44391.0</v>
      </c>
      <c r="Q251" s="7">
        <f>VLOOKUP(G251,'CBs RAW'!$E$2:$P$427,12)</f>
        <v>1</v>
      </c>
      <c r="R251" s="32">
        <v>48043.0</v>
      </c>
      <c r="S251" s="8" t="s">
        <v>174</v>
      </c>
      <c r="T251" s="8" t="s">
        <v>175</v>
      </c>
      <c r="U251" s="8" t="s">
        <v>49</v>
      </c>
      <c r="V251" s="8" t="s">
        <v>53</v>
      </c>
      <c r="W251" s="8" t="s">
        <v>2767</v>
      </c>
      <c r="X251" s="33">
        <f>VLOOKUP(G251,'CBs RAW'!$E$2:$W$427,19)</f>
        <v>0.964</v>
      </c>
      <c r="Y251" s="34">
        <f t="shared" si="1"/>
        <v>0.964</v>
      </c>
      <c r="Z251" s="4" t="str">
        <f t="shared" si="2"/>
        <v>JAB Holdings BVAT MATURITYFIXEDEURSr Unsecured</v>
      </c>
    </row>
    <row r="252">
      <c r="A252" s="8">
        <v>251.0</v>
      </c>
      <c r="B252" s="8" t="s">
        <v>1560</v>
      </c>
      <c r="C252" s="8" t="s">
        <v>1563</v>
      </c>
      <c r="D252" s="8" t="s">
        <v>57</v>
      </c>
      <c r="E252" s="8">
        <f>VLOOKUP(G252,'CBs RAW'!$E$2:$H$427,4)</f>
        <v>1.763</v>
      </c>
      <c r="F252" s="8" t="s">
        <v>258</v>
      </c>
      <c r="G252" s="8" t="s">
        <v>2768</v>
      </c>
      <c r="H252" s="8" t="s">
        <v>2769</v>
      </c>
      <c r="I252" s="8" t="s">
        <v>2770</v>
      </c>
      <c r="J252" s="8" t="s">
        <v>55</v>
      </c>
      <c r="K252" s="8" t="s">
        <v>56</v>
      </c>
      <c r="L252" s="7">
        <v>6.72858E8</v>
      </c>
      <c r="M252" s="8" t="s">
        <v>52</v>
      </c>
      <c r="N252" s="8" t="s">
        <v>1776</v>
      </c>
      <c r="O252" s="8" t="s">
        <v>367</v>
      </c>
      <c r="P252" s="32">
        <v>42124.0</v>
      </c>
      <c r="Q252" s="7">
        <f>VLOOKUP(G252,'CBs RAW'!$E$2:$P$427,12)</f>
        <v>1.625</v>
      </c>
      <c r="R252" s="32">
        <v>45777.0</v>
      </c>
      <c r="S252" s="8" t="s">
        <v>174</v>
      </c>
      <c r="T252" s="8" t="s">
        <v>175</v>
      </c>
      <c r="U252" s="8" t="s">
        <v>49</v>
      </c>
      <c r="V252" s="8" t="s">
        <v>53</v>
      </c>
      <c r="W252" s="8" t="s">
        <v>2771</v>
      </c>
      <c r="X252" s="33">
        <f>VLOOKUP(G252,'CBs RAW'!$E$2:$W$427,19)</f>
        <v>1.83</v>
      </c>
      <c r="Y252" s="34">
        <f t="shared" si="1"/>
        <v>1.83</v>
      </c>
      <c r="Z252" s="4" t="str">
        <f t="shared" si="2"/>
        <v>JAB Holdings BVAT MATURITYFIXEDEURSr Unsecured</v>
      </c>
    </row>
    <row r="253">
      <c r="A253" s="8">
        <v>252.0</v>
      </c>
      <c r="B253" s="8" t="s">
        <v>1560</v>
      </c>
      <c r="C253" s="8" t="s">
        <v>1563</v>
      </c>
      <c r="D253" s="8" t="s">
        <v>57</v>
      </c>
      <c r="E253" s="8" t="str">
        <f>VLOOKUP(G253,'CBs RAW'!$E$2:$H$427,4)</f>
        <v>#N/A N/A</v>
      </c>
      <c r="F253" s="8" t="s">
        <v>258</v>
      </c>
      <c r="G253" s="8" t="s">
        <v>2772</v>
      </c>
      <c r="H253" s="8" t="s">
        <v>2773</v>
      </c>
      <c r="I253" s="8" t="s">
        <v>2774</v>
      </c>
      <c r="J253" s="8" t="s">
        <v>55</v>
      </c>
      <c r="K253" s="8" t="s">
        <v>56</v>
      </c>
      <c r="L253" s="7">
        <v>1.00431E9</v>
      </c>
      <c r="M253" s="8" t="s">
        <v>52</v>
      </c>
      <c r="N253" s="8" t="s">
        <v>1776</v>
      </c>
      <c r="O253" s="8" t="s">
        <v>367</v>
      </c>
      <c r="P253" s="32">
        <v>42515.0</v>
      </c>
      <c r="Q253" s="7">
        <f>VLOOKUP(G253,'CBs RAW'!$E$2:$P$427,12)</f>
        <v>1.75</v>
      </c>
      <c r="R253" s="32">
        <v>45071.0</v>
      </c>
      <c r="S253" s="8" t="s">
        <v>174</v>
      </c>
      <c r="T253" s="8" t="s">
        <v>175</v>
      </c>
      <c r="U253" s="8" t="s">
        <v>49</v>
      </c>
      <c r="V253" s="8" t="s">
        <v>53</v>
      </c>
      <c r="W253" s="8" t="s">
        <v>2775</v>
      </c>
      <c r="X253" s="33">
        <f>VLOOKUP(G253,'CBs RAW'!$E$2:$W$427,19)</f>
        <v>1.588</v>
      </c>
      <c r="Y253" s="34">
        <f t="shared" si="1"/>
        <v>1.588</v>
      </c>
      <c r="Z253" s="4" t="str">
        <f t="shared" si="2"/>
        <v>JAB Holdings BVAT MATURITYFIXEDEURSr Unsecured</v>
      </c>
    </row>
    <row r="254">
      <c r="A254" s="8">
        <v>253.0</v>
      </c>
      <c r="B254" s="8" t="s">
        <v>1560</v>
      </c>
      <c r="C254" s="8" t="s">
        <v>1563</v>
      </c>
      <c r="D254" s="8" t="s">
        <v>57</v>
      </c>
      <c r="E254" s="8" t="str">
        <f>VLOOKUP(G254,'CBs RAW'!$E$2:$H$427,4)</f>
        <v>#N/A N/A</v>
      </c>
      <c r="F254" s="8" t="s">
        <v>258</v>
      </c>
      <c r="G254" s="8" t="s">
        <v>2776</v>
      </c>
      <c r="H254" s="8" t="s">
        <v>2777</v>
      </c>
      <c r="I254" s="8" t="s">
        <v>2778</v>
      </c>
      <c r="J254" s="8" t="s">
        <v>55</v>
      </c>
      <c r="K254" s="8" t="s">
        <v>56</v>
      </c>
      <c r="L254" s="7">
        <v>8.481825E8</v>
      </c>
      <c r="M254" s="8" t="s">
        <v>52</v>
      </c>
      <c r="N254" s="8" t="s">
        <v>1771</v>
      </c>
      <c r="O254" s="8" t="s">
        <v>367</v>
      </c>
      <c r="P254" s="32">
        <v>42263.0</v>
      </c>
      <c r="Q254" s="7">
        <f>VLOOKUP(G254,'CBs RAW'!$E$2:$P$427,12)</f>
        <v>2.125</v>
      </c>
      <c r="R254" s="32">
        <v>44820.0</v>
      </c>
      <c r="S254" s="8" t="s">
        <v>174</v>
      </c>
      <c r="T254" s="8" t="s">
        <v>175</v>
      </c>
      <c r="U254" s="8" t="s">
        <v>49</v>
      </c>
      <c r="V254" s="8" t="s">
        <v>53</v>
      </c>
      <c r="W254" s="8" t="s">
        <v>2779</v>
      </c>
      <c r="X254" s="33">
        <f>VLOOKUP(G254,'CBs RAW'!$E$2:$W$427,19)</f>
        <v>2.251</v>
      </c>
      <c r="Y254" s="34">
        <f t="shared" si="1"/>
        <v>2.251</v>
      </c>
      <c r="Z254" s="4" t="str">
        <f t="shared" si="2"/>
        <v>JAB Holdings BVAT MATURITYFIXEDEURSr Unsecured</v>
      </c>
    </row>
    <row r="255">
      <c r="A255" s="8">
        <v>254.0</v>
      </c>
      <c r="B255" s="8" t="s">
        <v>1560</v>
      </c>
      <c r="C255" s="8" t="s">
        <v>1563</v>
      </c>
      <c r="D255" s="8" t="s">
        <v>57</v>
      </c>
      <c r="E255" s="8" t="str">
        <f>VLOOKUP(G255,'CBs RAW'!$E$2:$H$427,4)</f>
        <v>#N/A N/A</v>
      </c>
      <c r="F255" s="8" t="s">
        <v>258</v>
      </c>
      <c r="G255" s="8" t="s">
        <v>2780</v>
      </c>
      <c r="H255" s="8" t="s">
        <v>2781</v>
      </c>
      <c r="I255" s="8" t="s">
        <v>2782</v>
      </c>
      <c r="J255" s="8" t="s">
        <v>55</v>
      </c>
      <c r="K255" s="8" t="s">
        <v>56</v>
      </c>
      <c r="L255" s="7">
        <v>1.9395075E8</v>
      </c>
      <c r="M255" s="8" t="s">
        <v>52</v>
      </c>
      <c r="N255" s="8" t="s">
        <v>174</v>
      </c>
      <c r="O255" s="8" t="s">
        <v>367</v>
      </c>
      <c r="P255" s="32">
        <v>43861.0</v>
      </c>
      <c r="Q255" s="7">
        <f>VLOOKUP(G255,'CBs RAW'!$E$2:$P$427,12)</f>
        <v>2</v>
      </c>
      <c r="R255" s="32">
        <v>51123.0</v>
      </c>
      <c r="S255" s="8" t="s">
        <v>174</v>
      </c>
      <c r="T255" s="8" t="s">
        <v>54</v>
      </c>
      <c r="U255" s="8" t="s">
        <v>49</v>
      </c>
      <c r="V255" s="8" t="s">
        <v>53</v>
      </c>
      <c r="W255" s="8" t="s">
        <v>2783</v>
      </c>
      <c r="X255" s="33">
        <f>VLOOKUP(G255,'CBs RAW'!$E$2:$W$427,19)</f>
        <v>1.749</v>
      </c>
      <c r="Y255" s="34">
        <f t="shared" si="1"/>
        <v>1.749</v>
      </c>
      <c r="Z255" s="4" t="str">
        <f t="shared" si="2"/>
        <v>JAB Holdings BVAT MATURITYFIXEDEURSr Unsecured</v>
      </c>
    </row>
    <row r="256">
      <c r="A256" s="8">
        <v>255.0</v>
      </c>
      <c r="B256" s="8" t="s">
        <v>1560</v>
      </c>
      <c r="C256" s="8" t="s">
        <v>1563</v>
      </c>
      <c r="D256" s="8" t="s">
        <v>57</v>
      </c>
      <c r="E256" s="8" t="str">
        <f>VLOOKUP(G256,'CBs RAW'!$E$2:$H$427,4)</f>
        <v>#N/A N/A</v>
      </c>
      <c r="F256" s="8" t="s">
        <v>258</v>
      </c>
      <c r="G256" s="8" t="s">
        <v>2784</v>
      </c>
      <c r="H256" s="8" t="s">
        <v>2785</v>
      </c>
      <c r="I256" s="8" t="s">
        <v>2786</v>
      </c>
      <c r="J256" s="8" t="s">
        <v>55</v>
      </c>
      <c r="K256" s="8" t="s">
        <v>56</v>
      </c>
      <c r="L256" s="7">
        <v>8.338725E8</v>
      </c>
      <c r="M256" s="8" t="s">
        <v>52</v>
      </c>
      <c r="N256" s="8" t="s">
        <v>1776</v>
      </c>
      <c r="O256" s="8" t="s">
        <v>367</v>
      </c>
      <c r="P256" s="32">
        <v>43817.0</v>
      </c>
      <c r="Q256" s="7">
        <f>VLOOKUP(G256,'CBs RAW'!$E$2:$P$427,12)</f>
        <v>1</v>
      </c>
      <c r="R256" s="32">
        <v>46741.0</v>
      </c>
      <c r="S256" s="8" t="s">
        <v>174</v>
      </c>
      <c r="T256" s="8" t="s">
        <v>175</v>
      </c>
      <c r="U256" s="8" t="s">
        <v>49</v>
      </c>
      <c r="V256" s="8" t="s">
        <v>53</v>
      </c>
      <c r="W256" s="8" t="s">
        <v>2787</v>
      </c>
      <c r="X256" s="33">
        <f>VLOOKUP(G256,'CBs RAW'!$E$2:$W$427,19)</f>
        <v>0.9</v>
      </c>
      <c r="Y256" s="34">
        <f t="shared" si="1"/>
        <v>0.9</v>
      </c>
      <c r="Z256" s="4" t="str">
        <f t="shared" si="2"/>
        <v>JAB Holdings BVAT MATURITYFIXEDEURSr Unsecured</v>
      </c>
    </row>
    <row r="257">
      <c r="A257" s="8">
        <v>256.0</v>
      </c>
      <c r="B257" s="8" t="s">
        <v>1560</v>
      </c>
      <c r="C257" s="8" t="s">
        <v>1563</v>
      </c>
      <c r="D257" s="8" t="s">
        <v>57</v>
      </c>
      <c r="E257" s="8" t="str">
        <f>VLOOKUP(G257,'CBs RAW'!$E$2:$H$427,4)</f>
        <v>#N/A N/A</v>
      </c>
      <c r="F257" s="8" t="s">
        <v>258</v>
      </c>
      <c r="G257" s="8" t="s">
        <v>2788</v>
      </c>
      <c r="H257" s="8" t="s">
        <v>2789</v>
      </c>
      <c r="I257" s="8" t="s">
        <v>2790</v>
      </c>
      <c r="J257" s="8" t="s">
        <v>55</v>
      </c>
      <c r="K257" s="8" t="s">
        <v>56</v>
      </c>
      <c r="L257" s="7">
        <v>8.338725E8</v>
      </c>
      <c r="M257" s="8" t="s">
        <v>52</v>
      </c>
      <c r="N257" s="8" t="s">
        <v>1771</v>
      </c>
      <c r="O257" s="8" t="s">
        <v>367</v>
      </c>
      <c r="P257" s="32">
        <v>43817.0</v>
      </c>
      <c r="Q257" s="7">
        <f>VLOOKUP(G257,'CBs RAW'!$E$2:$P$427,12)</f>
        <v>2.25</v>
      </c>
      <c r="R257" s="32">
        <v>51123.0</v>
      </c>
      <c r="S257" s="8" t="s">
        <v>174</v>
      </c>
      <c r="T257" s="8" t="s">
        <v>175</v>
      </c>
      <c r="U257" s="8" t="s">
        <v>49</v>
      </c>
      <c r="V257" s="8" t="s">
        <v>53</v>
      </c>
      <c r="W257" s="8" t="s">
        <v>2791</v>
      </c>
      <c r="X257" s="33">
        <f>VLOOKUP(G257,'CBs RAW'!$E$2:$W$427,19)</f>
        <v>2.181</v>
      </c>
      <c r="Y257" s="34">
        <f t="shared" si="1"/>
        <v>2.181</v>
      </c>
      <c r="Z257" s="4" t="str">
        <f t="shared" si="2"/>
        <v>JAB Holdings BVAT MATURITYFIXEDEURSr Unsecured</v>
      </c>
    </row>
    <row r="258">
      <c r="A258" s="8">
        <v>257.0</v>
      </c>
      <c r="B258" s="8" t="s">
        <v>658</v>
      </c>
      <c r="C258" s="8" t="s">
        <v>661</v>
      </c>
      <c r="D258" s="8" t="s">
        <v>71</v>
      </c>
      <c r="E258" s="8">
        <f>VLOOKUP(G258,'CBs RAW'!$E$2:$H$427,4)</f>
        <v>2.72</v>
      </c>
      <c r="F258" s="8" t="s">
        <v>186</v>
      </c>
      <c r="G258" s="8" t="s">
        <v>2792</v>
      </c>
      <c r="H258" s="8" t="s">
        <v>2793</v>
      </c>
      <c r="I258" s="8" t="s">
        <v>2794</v>
      </c>
      <c r="J258" s="8" t="s">
        <v>55</v>
      </c>
      <c r="K258" s="8" t="s">
        <v>56</v>
      </c>
      <c r="L258" s="7">
        <v>1.0E9</v>
      </c>
      <c r="M258" s="8" t="s">
        <v>52</v>
      </c>
      <c r="N258" s="8" t="s">
        <v>1776</v>
      </c>
      <c r="O258" s="8" t="s">
        <v>170</v>
      </c>
      <c r="P258" s="32">
        <v>44523.0</v>
      </c>
      <c r="Q258" s="7">
        <f>VLOOKUP(G258,'CBs RAW'!$E$2:$P$427,12)</f>
        <v>2.5</v>
      </c>
      <c r="R258" s="32">
        <v>46402.0</v>
      </c>
      <c r="S258" s="8" t="s">
        <v>262</v>
      </c>
      <c r="T258" s="8" t="s">
        <v>264</v>
      </c>
      <c r="U258" s="8" t="s">
        <v>115</v>
      </c>
      <c r="V258" s="8" t="s">
        <v>263</v>
      </c>
      <c r="W258" s="8" t="s">
        <v>2795</v>
      </c>
      <c r="X258" s="33">
        <f>VLOOKUP(G258,'CBs RAW'!$E$2:$W$427,19)</f>
        <v>2.675</v>
      </c>
      <c r="Y258" s="34">
        <f t="shared" si="1"/>
        <v>2.675</v>
      </c>
      <c r="Z258" s="4" t="str">
        <f t="shared" si="2"/>
        <v>JBS Finance Luxembourg SarlCALLABLEFIXEDUSDSr Unsecured</v>
      </c>
    </row>
    <row r="259">
      <c r="A259" s="8">
        <v>258.0</v>
      </c>
      <c r="B259" s="8" t="s">
        <v>658</v>
      </c>
      <c r="C259" s="8" t="s">
        <v>661</v>
      </c>
      <c r="D259" s="8" t="s">
        <v>71</v>
      </c>
      <c r="E259" s="8">
        <f>VLOOKUP(G259,'CBs RAW'!$E$2:$H$427,4)</f>
        <v>2.72</v>
      </c>
      <c r="F259" s="8" t="s">
        <v>186</v>
      </c>
      <c r="G259" s="8" t="s">
        <v>2796</v>
      </c>
      <c r="H259" s="8" t="s">
        <v>2797</v>
      </c>
      <c r="I259" s="8" t="s">
        <v>2798</v>
      </c>
      <c r="J259" s="8" t="s">
        <v>55</v>
      </c>
      <c r="K259" s="8" t="s">
        <v>56</v>
      </c>
      <c r="L259" s="7">
        <v>1.0E9</v>
      </c>
      <c r="M259" s="8" t="s">
        <v>52</v>
      </c>
      <c r="N259" s="8" t="s">
        <v>1776</v>
      </c>
      <c r="O259" s="8" t="s">
        <v>170</v>
      </c>
      <c r="P259" s="32">
        <v>44523.0</v>
      </c>
      <c r="Q259" s="7">
        <f>VLOOKUP(G259,'CBs RAW'!$E$2:$P$427,12)</f>
        <v>2.5</v>
      </c>
      <c r="R259" s="32">
        <v>46402.0</v>
      </c>
      <c r="S259" s="8" t="s">
        <v>271</v>
      </c>
      <c r="T259" s="8" t="s">
        <v>264</v>
      </c>
      <c r="U259" s="8" t="s">
        <v>115</v>
      </c>
      <c r="V259" s="8" t="s">
        <v>263</v>
      </c>
      <c r="W259" s="8" t="s">
        <v>2799</v>
      </c>
      <c r="X259" s="33">
        <f>VLOOKUP(G259,'CBs RAW'!$E$2:$W$427,19)</f>
        <v>2.707</v>
      </c>
      <c r="Y259" s="34">
        <f t="shared" si="1"/>
        <v>2.707</v>
      </c>
      <c r="Z259" s="4" t="str">
        <f t="shared" si="2"/>
        <v>JBS Finance Luxembourg SarlCALLABLEFIXEDUSDSr Unsecured</v>
      </c>
    </row>
    <row r="260">
      <c r="A260" s="8">
        <v>259.0</v>
      </c>
      <c r="B260" s="8" t="s">
        <v>872</v>
      </c>
      <c r="C260" s="8" t="s">
        <v>875</v>
      </c>
      <c r="D260" s="8" t="s">
        <v>57</v>
      </c>
      <c r="E260" s="8" t="str">
        <f>VLOOKUP(G260,'CBs RAW'!$E$2:$H$427,4)</f>
        <v>#N/A N/A</v>
      </c>
      <c r="F260" s="8" t="s">
        <v>186</v>
      </c>
      <c r="G260" s="8" t="s">
        <v>2800</v>
      </c>
      <c r="H260" s="8" t="s">
        <v>2801</v>
      </c>
      <c r="I260" s="8" t="s">
        <v>2802</v>
      </c>
      <c r="J260" s="8" t="s">
        <v>55</v>
      </c>
      <c r="K260" s="8" t="s">
        <v>56</v>
      </c>
      <c r="L260" s="7">
        <v>5.9264E8</v>
      </c>
      <c r="M260" s="8" t="s">
        <v>52</v>
      </c>
      <c r="N260" s="8" t="s">
        <v>1776</v>
      </c>
      <c r="O260" s="8" t="s">
        <v>595</v>
      </c>
      <c r="P260" s="32">
        <v>44089.0</v>
      </c>
      <c r="Q260" s="7">
        <f>VLOOKUP(G260,'CBs RAW'!$E$2:$P$427,12)</f>
        <v>0.375</v>
      </c>
      <c r="R260" s="32">
        <v>46645.0</v>
      </c>
      <c r="S260" s="8" t="s">
        <v>174</v>
      </c>
      <c r="T260" s="8" t="s">
        <v>175</v>
      </c>
      <c r="U260" s="8" t="s">
        <v>115</v>
      </c>
      <c r="V260" s="8" t="s">
        <v>53</v>
      </c>
      <c r="W260" s="8" t="s">
        <v>2803</v>
      </c>
      <c r="X260" s="33">
        <f>VLOOKUP(G260,'CBs RAW'!$E$2:$W$427,19)</f>
        <v>0.357</v>
      </c>
      <c r="Y260" s="34">
        <f t="shared" si="1"/>
        <v>0.357</v>
      </c>
      <c r="Z260" s="4" t="str">
        <f t="shared" si="2"/>
        <v>Johnson Controls International plc / Tyco Fire &amp; Security Finance SCACALLABLEFIXEDEURSr Unsecured</v>
      </c>
    </row>
    <row r="261">
      <c r="A261" s="8">
        <v>260.0</v>
      </c>
      <c r="B261" s="8" t="s">
        <v>872</v>
      </c>
      <c r="C261" s="8" t="s">
        <v>875</v>
      </c>
      <c r="D261" s="8" t="s">
        <v>57</v>
      </c>
      <c r="E261" s="8" t="str">
        <f>VLOOKUP(G261,'CBs RAW'!$E$2:$H$427,4)</f>
        <v>#N/A N/A</v>
      </c>
      <c r="F261" s="8" t="s">
        <v>186</v>
      </c>
      <c r="G261" s="8" t="s">
        <v>2804</v>
      </c>
      <c r="H261" s="8" t="s">
        <v>2805</v>
      </c>
      <c r="I261" s="8" t="s">
        <v>2806</v>
      </c>
      <c r="J261" s="8" t="s">
        <v>55</v>
      </c>
      <c r="K261" s="8" t="s">
        <v>56</v>
      </c>
      <c r="L261" s="7">
        <v>5.9264E8</v>
      </c>
      <c r="M261" s="8" t="s">
        <v>52</v>
      </c>
      <c r="N261" s="8" t="s">
        <v>1776</v>
      </c>
      <c r="O261" s="8" t="s">
        <v>595</v>
      </c>
      <c r="P261" s="32">
        <v>44089.0</v>
      </c>
      <c r="Q261" s="7">
        <f>VLOOKUP(G261,'CBs RAW'!$E$2:$P$427,12)</f>
        <v>1</v>
      </c>
      <c r="R261" s="32">
        <v>48472.0</v>
      </c>
      <c r="S261" s="8" t="s">
        <v>174</v>
      </c>
      <c r="T261" s="8" t="s">
        <v>175</v>
      </c>
      <c r="U261" s="8" t="s">
        <v>115</v>
      </c>
      <c r="V261" s="8" t="s">
        <v>53</v>
      </c>
      <c r="W261" s="8" t="s">
        <v>2807</v>
      </c>
      <c r="X261" s="33">
        <f>VLOOKUP(G261,'CBs RAW'!$E$2:$W$427,19)</f>
        <v>0.92</v>
      </c>
      <c r="Y261" s="34">
        <f t="shared" si="1"/>
        <v>0.92</v>
      </c>
      <c r="Z261" s="4" t="str">
        <f t="shared" si="2"/>
        <v>Johnson Controls International plc / Tyco Fire &amp; Security Finance SCACALLABLEFIXEDEURSr Unsecured</v>
      </c>
    </row>
    <row r="262">
      <c r="A262" s="8">
        <v>261.0</v>
      </c>
      <c r="B262" s="8" t="s">
        <v>469</v>
      </c>
      <c r="C262" s="8" t="s">
        <v>472</v>
      </c>
      <c r="D262" s="8" t="s">
        <v>57</v>
      </c>
      <c r="E262" s="8">
        <f>VLOOKUP(G262,'CBs RAW'!$E$2:$H$427,4)</f>
        <v>3.01</v>
      </c>
      <c r="F262" s="8" t="s">
        <v>258</v>
      </c>
      <c r="G262" s="8" t="s">
        <v>2808</v>
      </c>
      <c r="H262" s="8" t="s">
        <v>2809</v>
      </c>
      <c r="I262" s="8" t="s">
        <v>2810</v>
      </c>
      <c r="J262" s="8" t="s">
        <v>55</v>
      </c>
      <c r="K262" s="8" t="s">
        <v>56</v>
      </c>
      <c r="L262" s="7">
        <v>2.04573E8</v>
      </c>
      <c r="M262" s="8" t="s">
        <v>52</v>
      </c>
      <c r="N262" s="8" t="s">
        <v>174</v>
      </c>
      <c r="O262" s="8" t="s">
        <v>258</v>
      </c>
      <c r="P262" s="32">
        <v>41815.0</v>
      </c>
      <c r="Q262" s="7">
        <f>VLOOKUP(G262,'CBs RAW'!$E$2:$P$427,12)</f>
        <v>3</v>
      </c>
      <c r="R262" s="32">
        <v>46198.0</v>
      </c>
      <c r="S262" s="8" t="s">
        <v>226</v>
      </c>
      <c r="T262" s="8" t="s">
        <v>190</v>
      </c>
      <c r="U262" s="8" t="s">
        <v>49</v>
      </c>
      <c r="V262" s="8" t="s">
        <v>53</v>
      </c>
      <c r="W262" s="8" t="s">
        <v>2811</v>
      </c>
      <c r="X262" s="33" t="str">
        <f>VLOOKUP(G262,'CBs RAW'!$E$2:$W$427,19)</f>
        <v>#N/A N/A</v>
      </c>
      <c r="Y262" s="4">
        <f t="shared" si="1"/>
        <v>3.01</v>
      </c>
      <c r="Z262" s="4" t="str">
        <f t="shared" si="2"/>
        <v>Kelag-Kaerntner Elektrizitaets AGAT MATURITYFIXEDEURSr Unsecured</v>
      </c>
    </row>
    <row r="263">
      <c r="A263" s="8">
        <v>262.0</v>
      </c>
      <c r="B263" s="8" t="s">
        <v>1225</v>
      </c>
      <c r="C263" s="8" t="s">
        <v>1228</v>
      </c>
      <c r="D263" s="8" t="s">
        <v>71</v>
      </c>
      <c r="E263" s="8" t="str">
        <f>VLOOKUP(G263,'CBs RAW'!$E$2:$H$427,4)</f>
        <v>#N/A N/A</v>
      </c>
      <c r="F263" s="8" t="s">
        <v>595</v>
      </c>
      <c r="G263" s="8" t="s">
        <v>2812</v>
      </c>
      <c r="H263" s="8" t="s">
        <v>174</v>
      </c>
      <c r="I263" s="8" t="s">
        <v>2813</v>
      </c>
      <c r="J263" s="8" t="s">
        <v>55</v>
      </c>
      <c r="K263" s="8" t="s">
        <v>56</v>
      </c>
      <c r="L263" s="12"/>
      <c r="M263" s="8" t="s">
        <v>118</v>
      </c>
      <c r="N263" s="8" t="s">
        <v>174</v>
      </c>
      <c r="O263" s="8" t="s">
        <v>595</v>
      </c>
      <c r="P263" s="32">
        <v>43485.0</v>
      </c>
      <c r="Q263" s="7">
        <f>VLOOKUP(G263,'CBs RAW'!$E$2:$P$427,12)</f>
        <v>5.08</v>
      </c>
      <c r="R263" s="32">
        <v>45677.0</v>
      </c>
      <c r="S263" s="8" t="s">
        <v>174</v>
      </c>
      <c r="T263" s="8" t="s">
        <v>54</v>
      </c>
      <c r="U263" s="8" t="s">
        <v>49</v>
      </c>
      <c r="V263" s="8" t="s">
        <v>263</v>
      </c>
      <c r="W263" s="8" t="s">
        <v>2814</v>
      </c>
      <c r="X263" s="33" t="str">
        <f>VLOOKUP(G263,'CBs RAW'!$E$2:$W$427,19)</f>
        <v>#N/A N/A</v>
      </c>
      <c r="Y263" s="4" t="str">
        <f t="shared" si="1"/>
        <v>#N/A N/A</v>
      </c>
      <c r="Z263" s="4" t="str">
        <f t="shared" si="2"/>
        <v>Kerry Group Financial Services Unltd CoAT MATURITYFIXEDUSDUnsecured</v>
      </c>
    </row>
    <row r="264">
      <c r="A264" s="8">
        <v>263.0</v>
      </c>
      <c r="B264" s="8" t="s">
        <v>1225</v>
      </c>
      <c r="C264" s="8" t="s">
        <v>1228</v>
      </c>
      <c r="D264" s="8" t="s">
        <v>57</v>
      </c>
      <c r="E264" s="8" t="str">
        <f>VLOOKUP(G264,'CBs RAW'!$E$2:$H$427,4)</f>
        <v>#N/A N/A</v>
      </c>
      <c r="F264" s="8" t="s">
        <v>595</v>
      </c>
      <c r="G264" s="8" t="s">
        <v>2815</v>
      </c>
      <c r="H264" s="8" t="s">
        <v>2816</v>
      </c>
      <c r="I264" s="8" t="s">
        <v>2817</v>
      </c>
      <c r="J264" s="8" t="s">
        <v>55</v>
      </c>
      <c r="K264" s="8" t="s">
        <v>56</v>
      </c>
      <c r="L264" s="7">
        <v>1.070023E9</v>
      </c>
      <c r="M264" s="8" t="s">
        <v>52</v>
      </c>
      <c r="N264" s="8" t="s">
        <v>174</v>
      </c>
      <c r="O264" s="8" t="s">
        <v>595</v>
      </c>
      <c r="P264" s="32">
        <v>42257.0</v>
      </c>
      <c r="Q264" s="7">
        <f>VLOOKUP(G264,'CBs RAW'!$E$2:$P$427,12)</f>
        <v>2.375</v>
      </c>
      <c r="R264" s="32">
        <v>45910.0</v>
      </c>
      <c r="S264" s="8" t="s">
        <v>174</v>
      </c>
      <c r="T264" s="8" t="s">
        <v>175</v>
      </c>
      <c r="U264" s="8" t="s">
        <v>115</v>
      </c>
      <c r="V264" s="8" t="s">
        <v>53</v>
      </c>
      <c r="W264" s="8" t="s">
        <v>2818</v>
      </c>
      <c r="X264" s="33" t="str">
        <f>VLOOKUP(G264,'CBs RAW'!$E$2:$W$427,19)</f>
        <v>#N/A N/A</v>
      </c>
      <c r="Y264" s="4" t="str">
        <f t="shared" si="1"/>
        <v>#N/A N/A</v>
      </c>
      <c r="Z264" s="4" t="str">
        <f t="shared" si="2"/>
        <v>Kerry Group Financial Services Unltd CoCALLABLEFIXEDEURSr Unsecured</v>
      </c>
    </row>
    <row r="265">
      <c r="A265" s="8">
        <v>264.0</v>
      </c>
      <c r="B265" s="8" t="s">
        <v>1225</v>
      </c>
      <c r="C265" s="8" t="s">
        <v>1228</v>
      </c>
      <c r="D265" s="8" t="s">
        <v>57</v>
      </c>
      <c r="E265" s="8" t="str">
        <f>VLOOKUP(G265,'CBs RAW'!$E$2:$H$427,4)</f>
        <v>#N/A N/A</v>
      </c>
      <c r="F265" s="8" t="s">
        <v>595</v>
      </c>
      <c r="G265" s="8" t="s">
        <v>2819</v>
      </c>
      <c r="H265" s="8" t="s">
        <v>2820</v>
      </c>
      <c r="I265" s="8" t="s">
        <v>2821</v>
      </c>
      <c r="J265" s="8" t="s">
        <v>55</v>
      </c>
      <c r="K265" s="8" t="s">
        <v>56</v>
      </c>
      <c r="L265" s="7">
        <v>8.255475E8</v>
      </c>
      <c r="M265" s="8" t="s">
        <v>52</v>
      </c>
      <c r="N265" s="8" t="s">
        <v>174</v>
      </c>
      <c r="O265" s="8" t="s">
        <v>595</v>
      </c>
      <c r="P265" s="32">
        <v>43728.0</v>
      </c>
      <c r="Q265" s="7">
        <f>VLOOKUP(G265,'CBs RAW'!$E$2:$P$427,12)</f>
        <v>0.625</v>
      </c>
      <c r="R265" s="32">
        <v>47381.0</v>
      </c>
      <c r="S265" s="8" t="s">
        <v>174</v>
      </c>
      <c r="T265" s="8" t="s">
        <v>175</v>
      </c>
      <c r="U265" s="8" t="s">
        <v>115</v>
      </c>
      <c r="V265" s="8" t="s">
        <v>53</v>
      </c>
      <c r="W265" s="8" t="s">
        <v>2822</v>
      </c>
      <c r="X265" s="33">
        <f>VLOOKUP(G265,'CBs RAW'!$E$2:$W$427,19)</f>
        <v>0.688</v>
      </c>
      <c r="Y265" s="34">
        <f t="shared" si="1"/>
        <v>0.688</v>
      </c>
      <c r="Z265" s="4" t="str">
        <f t="shared" si="2"/>
        <v>Kerry Group Financial Services Unltd CoCALLABLEFIXEDEURSr Unsecured</v>
      </c>
    </row>
    <row r="266">
      <c r="A266" s="8">
        <v>265.0</v>
      </c>
      <c r="B266" s="8" t="s">
        <v>1146</v>
      </c>
      <c r="C266" s="8" t="s">
        <v>1149</v>
      </c>
      <c r="D266" s="8" t="s">
        <v>392</v>
      </c>
      <c r="E266" s="8" t="str">
        <f>VLOOKUP(G266,'CBs RAW'!$E$2:$H$427,4)</f>
        <v>#N/A N/A</v>
      </c>
      <c r="F266" s="8" t="s">
        <v>368</v>
      </c>
      <c r="G266" s="8" t="s">
        <v>2823</v>
      </c>
      <c r="H266" s="8" t="s">
        <v>2824</v>
      </c>
      <c r="I266" s="8" t="s">
        <v>2825</v>
      </c>
      <c r="J266" s="8" t="s">
        <v>421</v>
      </c>
      <c r="K266" s="8" t="s">
        <v>70</v>
      </c>
      <c r="L266" s="7">
        <v>1.274525E8</v>
      </c>
      <c r="M266" s="8" t="s">
        <v>52</v>
      </c>
      <c r="N266" s="8" t="s">
        <v>1776</v>
      </c>
      <c r="O266" s="8" t="s">
        <v>368</v>
      </c>
      <c r="P266" s="32">
        <v>43880.0</v>
      </c>
      <c r="Q266" s="7">
        <f>VLOOKUP(G266,'CBs RAW'!$E$2:$P$427,12)</f>
        <v>0.756</v>
      </c>
      <c r="R266" s="32">
        <v>45707.0</v>
      </c>
      <c r="S266" s="8" t="s">
        <v>686</v>
      </c>
      <c r="T266" s="8" t="s">
        <v>54</v>
      </c>
      <c r="U266" s="8" t="s">
        <v>49</v>
      </c>
      <c r="V266" s="8" t="s">
        <v>687</v>
      </c>
      <c r="W266" s="8" t="s">
        <v>2826</v>
      </c>
      <c r="X266" s="33">
        <f>VLOOKUP(G266,'CBs RAW'!$E$2:$W$427,19)</f>
        <v>0.887</v>
      </c>
      <c r="Y266" s="34">
        <f t="shared" si="1"/>
        <v>0.887</v>
      </c>
      <c r="Z266" s="4" t="str">
        <f t="shared" si="2"/>
        <v>Kinnevik ABAT MATURITYFLOATINGSEKSr Unsecured</v>
      </c>
    </row>
    <row r="267">
      <c r="A267" s="8">
        <v>266.0</v>
      </c>
      <c r="B267" s="8" t="s">
        <v>1146</v>
      </c>
      <c r="C267" s="8" t="s">
        <v>1149</v>
      </c>
      <c r="D267" s="8" t="s">
        <v>57</v>
      </c>
      <c r="E267" s="8" t="str">
        <f>VLOOKUP(G267,'CBs RAW'!$E$2:$H$427,4)</f>
        <v>#N/A N/A</v>
      </c>
      <c r="F267" s="8" t="s">
        <v>368</v>
      </c>
      <c r="G267" s="8" t="s">
        <v>2827</v>
      </c>
      <c r="H267" s="8" t="s">
        <v>2828</v>
      </c>
      <c r="I267" s="8" t="s">
        <v>2829</v>
      </c>
      <c r="J267" s="8" t="s">
        <v>421</v>
      </c>
      <c r="K267" s="8" t="s">
        <v>56</v>
      </c>
      <c r="L267" s="7">
        <v>2.54905E7</v>
      </c>
      <c r="M267" s="8" t="s">
        <v>52</v>
      </c>
      <c r="N267" s="8" t="s">
        <v>1776</v>
      </c>
      <c r="O267" s="8" t="s">
        <v>368</v>
      </c>
      <c r="P267" s="32">
        <v>43880.0</v>
      </c>
      <c r="Q267" s="7">
        <f>VLOOKUP(G267,'CBs RAW'!$E$2:$P$427,12)</f>
        <v>1.058</v>
      </c>
      <c r="R267" s="32">
        <v>45707.0</v>
      </c>
      <c r="S267" s="8" t="s">
        <v>686</v>
      </c>
      <c r="T267" s="8" t="s">
        <v>54</v>
      </c>
      <c r="U267" s="8" t="s">
        <v>49</v>
      </c>
      <c r="V267" s="8" t="s">
        <v>687</v>
      </c>
      <c r="W267" s="8" t="s">
        <v>2830</v>
      </c>
      <c r="X267" s="33">
        <f>VLOOKUP(G267,'CBs RAW'!$E$2:$W$427,19)</f>
        <v>0.946</v>
      </c>
      <c r="Y267" s="34">
        <f t="shared" si="1"/>
        <v>0.946</v>
      </c>
      <c r="Z267" s="4" t="str">
        <f t="shared" si="2"/>
        <v>Kinnevik ABAT MATURITYFIXEDSEKSr Unsecured</v>
      </c>
    </row>
    <row r="268">
      <c r="A268" s="8">
        <v>267.0</v>
      </c>
      <c r="B268" s="8" t="s">
        <v>254</v>
      </c>
      <c r="C268" s="8" t="s">
        <v>257</v>
      </c>
      <c r="D268" s="8" t="s">
        <v>71</v>
      </c>
      <c r="E268" s="8">
        <f>VLOOKUP(G268,'CBs RAW'!$E$2:$H$427,4)</f>
        <v>5.8</v>
      </c>
      <c r="F268" s="8" t="s">
        <v>259</v>
      </c>
      <c r="G268" s="8" t="s">
        <v>2831</v>
      </c>
      <c r="H268" s="8" t="s">
        <v>2832</v>
      </c>
      <c r="I268" s="8" t="s">
        <v>2833</v>
      </c>
      <c r="J268" s="8" t="s">
        <v>55</v>
      </c>
      <c r="K268" s="8" t="s">
        <v>56</v>
      </c>
      <c r="L268" s="7">
        <v>7.5E8</v>
      </c>
      <c r="M268" s="8" t="s">
        <v>52</v>
      </c>
      <c r="N268" s="8" t="s">
        <v>1840</v>
      </c>
      <c r="O268" s="8" t="s">
        <v>258</v>
      </c>
      <c r="P268" s="32">
        <v>43558.0</v>
      </c>
      <c r="Q268" s="7">
        <f>VLOOKUP(G268,'CBs RAW'!$E$2:$P$427,12)</f>
        <v>5.75</v>
      </c>
      <c r="R268" s="32">
        <v>47211.0</v>
      </c>
      <c r="S268" s="8" t="s">
        <v>262</v>
      </c>
      <c r="T268" s="8" t="s">
        <v>264</v>
      </c>
      <c r="U268" s="8" t="s">
        <v>115</v>
      </c>
      <c r="V268" s="8" t="s">
        <v>263</v>
      </c>
      <c r="W268" s="8" t="s">
        <v>2834</v>
      </c>
      <c r="X268" s="33">
        <f>VLOOKUP(G268,'CBs RAW'!$E$2:$W$427,19)</f>
        <v>5.704</v>
      </c>
      <c r="Y268" s="34">
        <f t="shared" si="1"/>
        <v>5.704</v>
      </c>
      <c r="Z268" s="4" t="str">
        <f t="shared" si="2"/>
        <v>Klabin Austria GmbHCALLABLEFIXEDUSDSr Unsecured</v>
      </c>
    </row>
    <row r="269">
      <c r="A269" s="8">
        <v>268.0</v>
      </c>
      <c r="B269" s="8" t="s">
        <v>254</v>
      </c>
      <c r="C269" s="8" t="s">
        <v>257</v>
      </c>
      <c r="D269" s="8" t="s">
        <v>71</v>
      </c>
      <c r="E269" s="8">
        <f>VLOOKUP(G269,'CBs RAW'!$E$2:$H$427,4)</f>
        <v>5.8</v>
      </c>
      <c r="F269" s="8" t="s">
        <v>259</v>
      </c>
      <c r="G269" s="8" t="s">
        <v>2835</v>
      </c>
      <c r="H269" s="8" t="s">
        <v>2836</v>
      </c>
      <c r="I269" s="8" t="s">
        <v>2837</v>
      </c>
      <c r="J269" s="8" t="s">
        <v>55</v>
      </c>
      <c r="K269" s="8" t="s">
        <v>56</v>
      </c>
      <c r="L269" s="7">
        <v>7.5E8</v>
      </c>
      <c r="M269" s="8" t="s">
        <v>52</v>
      </c>
      <c r="N269" s="8" t="s">
        <v>1840</v>
      </c>
      <c r="O269" s="8" t="s">
        <v>258</v>
      </c>
      <c r="P269" s="32">
        <v>43558.0</v>
      </c>
      <c r="Q269" s="7">
        <f>VLOOKUP(G269,'CBs RAW'!$E$2:$P$427,12)</f>
        <v>5.75</v>
      </c>
      <c r="R269" s="32">
        <v>47211.0</v>
      </c>
      <c r="S269" s="8" t="s">
        <v>271</v>
      </c>
      <c r="T269" s="8" t="s">
        <v>264</v>
      </c>
      <c r="U269" s="8" t="s">
        <v>115</v>
      </c>
      <c r="V269" s="8" t="s">
        <v>263</v>
      </c>
      <c r="W269" s="8" t="s">
        <v>2838</v>
      </c>
      <c r="X269" s="33">
        <f>VLOOKUP(G269,'CBs RAW'!$E$2:$W$427,19)</f>
        <v>5.63</v>
      </c>
      <c r="Y269" s="34">
        <f t="shared" si="1"/>
        <v>5.63</v>
      </c>
      <c r="Z269" s="4" t="str">
        <f t="shared" si="2"/>
        <v>Klabin Austria GmbHCALLABLEFIXEDUSDSr Unsecured</v>
      </c>
    </row>
    <row r="270">
      <c r="A270" s="8">
        <v>269.0</v>
      </c>
      <c r="B270" s="8" t="s">
        <v>254</v>
      </c>
      <c r="C270" s="8" t="s">
        <v>257</v>
      </c>
      <c r="D270" s="8" t="s">
        <v>71</v>
      </c>
      <c r="E270" s="8">
        <f>VLOOKUP(G270,'CBs RAW'!$E$2:$H$427,4)</f>
        <v>5.25</v>
      </c>
      <c r="F270" s="8" t="s">
        <v>259</v>
      </c>
      <c r="G270" s="8" t="s">
        <v>2839</v>
      </c>
      <c r="H270" s="8" t="s">
        <v>2840</v>
      </c>
      <c r="I270" s="8" t="s">
        <v>2841</v>
      </c>
      <c r="J270" s="8" t="s">
        <v>55</v>
      </c>
      <c r="K270" s="8" t="s">
        <v>56</v>
      </c>
      <c r="L270" s="7">
        <v>5.0E8</v>
      </c>
      <c r="M270" s="8" t="s">
        <v>52</v>
      </c>
      <c r="N270" s="8" t="s">
        <v>1771</v>
      </c>
      <c r="O270" s="8" t="s">
        <v>258</v>
      </c>
      <c r="P270" s="32">
        <v>41836.0</v>
      </c>
      <c r="Q270" s="7">
        <f>VLOOKUP(G270,'CBs RAW'!$E$2:$P$427,12)</f>
        <v>5.25</v>
      </c>
      <c r="R270" s="32">
        <v>45489.0</v>
      </c>
      <c r="S270" s="8" t="s">
        <v>262</v>
      </c>
      <c r="T270" s="8" t="s">
        <v>264</v>
      </c>
      <c r="U270" s="8" t="s">
        <v>49</v>
      </c>
      <c r="V270" s="8" t="s">
        <v>263</v>
      </c>
      <c r="W270" s="8" t="s">
        <v>2842</v>
      </c>
      <c r="X270" s="33" t="str">
        <f>VLOOKUP(G270,'CBs RAW'!$E$2:$W$427,19)</f>
        <v>#N/A N/A</v>
      </c>
      <c r="Y270" s="4">
        <f t="shared" si="1"/>
        <v>5.25</v>
      </c>
      <c r="Z270" s="4" t="str">
        <f t="shared" si="2"/>
        <v>Klabin Austria GmbHAT MATURITYFIXEDUSDSr Unsecured</v>
      </c>
    </row>
    <row r="271">
      <c r="A271" s="8">
        <v>270.0</v>
      </c>
      <c r="B271" s="8" t="s">
        <v>254</v>
      </c>
      <c r="C271" s="8" t="s">
        <v>257</v>
      </c>
      <c r="D271" s="8" t="s">
        <v>71</v>
      </c>
      <c r="E271" s="8">
        <f>VLOOKUP(G271,'CBs RAW'!$E$2:$H$427,4)</f>
        <v>5.25</v>
      </c>
      <c r="F271" s="8" t="s">
        <v>259</v>
      </c>
      <c r="G271" s="8" t="s">
        <v>2843</v>
      </c>
      <c r="H271" s="8" t="s">
        <v>2844</v>
      </c>
      <c r="I271" s="8" t="s">
        <v>2845</v>
      </c>
      <c r="J271" s="8" t="s">
        <v>55</v>
      </c>
      <c r="K271" s="8" t="s">
        <v>56</v>
      </c>
      <c r="L271" s="7">
        <v>5.0E8</v>
      </c>
      <c r="M271" s="8" t="s">
        <v>52</v>
      </c>
      <c r="N271" s="8" t="s">
        <v>1771</v>
      </c>
      <c r="O271" s="8" t="s">
        <v>258</v>
      </c>
      <c r="P271" s="32">
        <v>41836.0</v>
      </c>
      <c r="Q271" s="7">
        <f>VLOOKUP(G271,'CBs RAW'!$E$2:$P$427,12)</f>
        <v>5.25</v>
      </c>
      <c r="R271" s="32">
        <v>45489.0</v>
      </c>
      <c r="S271" s="8" t="s">
        <v>271</v>
      </c>
      <c r="T271" s="8" t="s">
        <v>264</v>
      </c>
      <c r="U271" s="8" t="s">
        <v>49</v>
      </c>
      <c r="V271" s="8" t="s">
        <v>263</v>
      </c>
      <c r="W271" s="8" t="s">
        <v>2846</v>
      </c>
      <c r="X271" s="33" t="str">
        <f>VLOOKUP(G271,'CBs RAW'!$E$2:$W$427,19)</f>
        <v>#N/A N/A</v>
      </c>
      <c r="Y271" s="4">
        <f t="shared" si="1"/>
        <v>5.25</v>
      </c>
      <c r="Z271" s="4" t="str">
        <f t="shared" si="2"/>
        <v>Klabin Austria GmbHAT MATURITYFIXEDUSDSr Unsecured</v>
      </c>
    </row>
    <row r="272">
      <c r="A272" s="8">
        <v>271.0</v>
      </c>
      <c r="B272" s="8" t="s">
        <v>416</v>
      </c>
      <c r="C272" s="8" t="s">
        <v>419</v>
      </c>
      <c r="D272" s="8" t="s">
        <v>57</v>
      </c>
      <c r="E272" s="8" t="str">
        <f>VLOOKUP(G272,'CBs RAW'!$E$2:$H$427,4)</f>
        <v>#N/A N/A</v>
      </c>
      <c r="F272" s="8" t="s">
        <v>367</v>
      </c>
      <c r="G272" s="8" t="s">
        <v>2847</v>
      </c>
      <c r="H272" s="8" t="s">
        <v>2848</v>
      </c>
      <c r="I272" s="8" t="s">
        <v>2849</v>
      </c>
      <c r="J272" s="8" t="s">
        <v>421</v>
      </c>
      <c r="K272" s="8" t="s">
        <v>56</v>
      </c>
      <c r="L272" s="7">
        <v>8.980575E8</v>
      </c>
      <c r="M272" s="8" t="s">
        <v>52</v>
      </c>
      <c r="N272" s="8" t="s">
        <v>1776</v>
      </c>
      <c r="O272" s="8" t="s">
        <v>367</v>
      </c>
      <c r="P272" s="32">
        <v>42997.0</v>
      </c>
      <c r="Q272" s="7">
        <f>VLOOKUP(G272,'CBs RAW'!$E$2:$P$427,12)</f>
        <v>0.875</v>
      </c>
      <c r="R272" s="32">
        <v>45554.0</v>
      </c>
      <c r="S272" s="8" t="s">
        <v>174</v>
      </c>
      <c r="T272" s="8" t="s">
        <v>175</v>
      </c>
      <c r="U272" s="8" t="s">
        <v>115</v>
      </c>
      <c r="V272" s="8" t="s">
        <v>53</v>
      </c>
      <c r="W272" s="8" t="s">
        <v>2850</v>
      </c>
      <c r="X272" s="33">
        <f>VLOOKUP(G272,'CBs RAW'!$E$2:$W$427,19)</f>
        <v>0.912</v>
      </c>
      <c r="Y272" s="34">
        <f t="shared" si="1"/>
        <v>0.912</v>
      </c>
      <c r="Z272" s="4" t="str">
        <f t="shared" si="2"/>
        <v>Koninklijke Ahold Delhaize NVCALLABLEFIXEDEURSr Unsecured</v>
      </c>
    </row>
    <row r="273">
      <c r="A273" s="8">
        <v>272.0</v>
      </c>
      <c r="B273" s="8" t="s">
        <v>416</v>
      </c>
      <c r="C273" s="8" t="s">
        <v>419</v>
      </c>
      <c r="D273" s="8" t="s">
        <v>57</v>
      </c>
      <c r="E273" s="8" t="str">
        <f>VLOOKUP(G273,'CBs RAW'!$E$2:$H$427,4)</f>
        <v>#N/A N/A</v>
      </c>
      <c r="F273" s="8" t="s">
        <v>367</v>
      </c>
      <c r="G273" s="8" t="s">
        <v>2851</v>
      </c>
      <c r="H273" s="8" t="s">
        <v>2852</v>
      </c>
      <c r="I273" s="8" t="s">
        <v>2853</v>
      </c>
      <c r="J273" s="8" t="s">
        <v>421</v>
      </c>
      <c r="K273" s="8" t="s">
        <v>56</v>
      </c>
      <c r="L273" s="7">
        <v>6.1741E8</v>
      </c>
      <c r="M273" s="8" t="s">
        <v>52</v>
      </c>
      <c r="N273" s="8" t="s">
        <v>1776</v>
      </c>
      <c r="O273" s="8" t="s">
        <v>367</v>
      </c>
      <c r="P273" s="32">
        <v>43178.0</v>
      </c>
      <c r="Q273" s="7">
        <f>VLOOKUP(G273,'CBs RAW'!$E$2:$P$427,12)</f>
        <v>1.125</v>
      </c>
      <c r="R273" s="32">
        <v>46100.0</v>
      </c>
      <c r="S273" s="8" t="s">
        <v>174</v>
      </c>
      <c r="T273" s="8" t="s">
        <v>175</v>
      </c>
      <c r="U273" s="8" t="s">
        <v>115</v>
      </c>
      <c r="V273" s="8" t="s">
        <v>53</v>
      </c>
      <c r="W273" s="8" t="s">
        <v>2854</v>
      </c>
      <c r="X273" s="33">
        <f>VLOOKUP(G273,'CBs RAW'!$E$2:$W$427,19)</f>
        <v>1.255</v>
      </c>
      <c r="Y273" s="34">
        <f t="shared" si="1"/>
        <v>1.255</v>
      </c>
      <c r="Z273" s="4" t="str">
        <f t="shared" si="2"/>
        <v>Koninklijke Ahold Delhaize NVCALLABLEFIXEDEURSr Unsecured</v>
      </c>
    </row>
    <row r="274">
      <c r="A274" s="8">
        <v>273.0</v>
      </c>
      <c r="B274" s="8" t="s">
        <v>416</v>
      </c>
      <c r="C274" s="8" t="s">
        <v>419</v>
      </c>
      <c r="D274" s="8" t="s">
        <v>57</v>
      </c>
      <c r="E274" s="8" t="str">
        <f>VLOOKUP(G274,'CBs RAW'!$E$2:$H$427,4)</f>
        <v>#N/A N/A</v>
      </c>
      <c r="F274" s="8" t="s">
        <v>367</v>
      </c>
      <c r="G274" s="8" t="s">
        <v>2855</v>
      </c>
      <c r="H274" s="8" t="s">
        <v>2856</v>
      </c>
      <c r="I274" s="8" t="s">
        <v>2857</v>
      </c>
      <c r="J274" s="8" t="s">
        <v>421</v>
      </c>
      <c r="K274" s="8" t="s">
        <v>56</v>
      </c>
      <c r="L274" s="7">
        <v>5.4209E8</v>
      </c>
      <c r="M274" s="8" t="s">
        <v>52</v>
      </c>
      <c r="N274" s="8" t="s">
        <v>1776</v>
      </c>
      <c r="O274" s="8" t="s">
        <v>367</v>
      </c>
      <c r="P274" s="32">
        <v>43923.0</v>
      </c>
      <c r="Q274" s="7">
        <f>VLOOKUP(G274,'CBs RAW'!$E$2:$P$427,12)</f>
        <v>1.75</v>
      </c>
      <c r="R274" s="32">
        <v>46479.0</v>
      </c>
      <c r="S274" s="8" t="s">
        <v>174</v>
      </c>
      <c r="T274" s="8" t="s">
        <v>175</v>
      </c>
      <c r="U274" s="8" t="s">
        <v>115</v>
      </c>
      <c r="V274" s="8" t="s">
        <v>53</v>
      </c>
      <c r="W274" s="8" t="s">
        <v>2858</v>
      </c>
      <c r="X274" s="33">
        <f>VLOOKUP(G274,'CBs RAW'!$E$2:$W$427,19)</f>
        <v>1.506</v>
      </c>
      <c r="Y274" s="34">
        <f t="shared" si="1"/>
        <v>1.506</v>
      </c>
      <c r="Z274" s="4" t="str">
        <f t="shared" si="2"/>
        <v>Koninklijke Ahold Delhaize NVCALLABLEFIXEDEURSr Unsecured</v>
      </c>
      <c r="AB274" s="24"/>
    </row>
    <row r="275">
      <c r="A275" s="8">
        <v>274.0</v>
      </c>
      <c r="B275" s="8" t="s">
        <v>1122</v>
      </c>
      <c r="C275" s="8" t="s">
        <v>1125</v>
      </c>
      <c r="D275" s="8" t="s">
        <v>57</v>
      </c>
      <c r="E275" s="8" t="str">
        <f>VLOOKUP(G275,'CBs RAW'!$E$2:$H$427,4)</f>
        <v>#N/A N/A</v>
      </c>
      <c r="F275" s="8" t="s">
        <v>367</v>
      </c>
      <c r="G275" s="8" t="s">
        <v>2859</v>
      </c>
      <c r="H275" s="8" t="s">
        <v>2860</v>
      </c>
      <c r="I275" s="8" t="s">
        <v>2861</v>
      </c>
      <c r="J275" s="8" t="s">
        <v>133</v>
      </c>
      <c r="K275" s="8" t="s">
        <v>56</v>
      </c>
      <c r="L275" s="7">
        <v>7.0093125E8</v>
      </c>
      <c r="M275" s="8" t="s">
        <v>52</v>
      </c>
      <c r="N275" s="8" t="s">
        <v>1771</v>
      </c>
      <c r="O275" s="8" t="s">
        <v>367</v>
      </c>
      <c r="P275" s="32">
        <v>42622.0</v>
      </c>
      <c r="Q275" s="7">
        <f>VLOOKUP(G275,'CBs RAW'!$E$2:$P$427,12)</f>
        <v>0.625</v>
      </c>
      <c r="R275" s="32">
        <v>45756.0</v>
      </c>
      <c r="S275" s="8" t="s">
        <v>1128</v>
      </c>
      <c r="T275" s="8" t="s">
        <v>497</v>
      </c>
      <c r="U275" s="8" t="s">
        <v>115</v>
      </c>
      <c r="V275" s="8" t="s">
        <v>53</v>
      </c>
      <c r="W275" s="8" t="s">
        <v>2862</v>
      </c>
      <c r="X275" s="33">
        <f>VLOOKUP(G275,'CBs RAW'!$E$2:$W$427,19)</f>
        <v>0.79</v>
      </c>
      <c r="Y275" s="34">
        <f t="shared" si="1"/>
        <v>0.79</v>
      </c>
      <c r="Z275" s="4" t="str">
        <f t="shared" si="2"/>
        <v>Koninklijke KPN NVCALLABLEFIXEDEURSr Unsecured</v>
      </c>
      <c r="AB275" s="24"/>
    </row>
    <row r="276">
      <c r="A276" s="8">
        <v>275.0</v>
      </c>
      <c r="B276" s="8" t="s">
        <v>1122</v>
      </c>
      <c r="C276" s="8" t="s">
        <v>1125</v>
      </c>
      <c r="D276" s="8" t="s">
        <v>57</v>
      </c>
      <c r="E276" s="8" t="str">
        <f>VLOOKUP(G276,'CBs RAW'!$E$2:$H$427,4)</f>
        <v>#N/A N/A</v>
      </c>
      <c r="F276" s="8" t="s">
        <v>367</v>
      </c>
      <c r="G276" s="8" t="s">
        <v>2863</v>
      </c>
      <c r="H276" s="8" t="s">
        <v>2864</v>
      </c>
      <c r="I276" s="8" t="s">
        <v>2865</v>
      </c>
      <c r="J276" s="8" t="s">
        <v>133</v>
      </c>
      <c r="K276" s="8" t="s">
        <v>56</v>
      </c>
      <c r="L276" s="7">
        <v>7.0093125E8</v>
      </c>
      <c r="M276" s="8" t="s">
        <v>52</v>
      </c>
      <c r="N276" s="8" t="s">
        <v>1771</v>
      </c>
      <c r="O276" s="8" t="s">
        <v>367</v>
      </c>
      <c r="P276" s="32">
        <v>42622.0</v>
      </c>
      <c r="Q276" s="7">
        <f>VLOOKUP(G276,'CBs RAW'!$E$2:$P$427,12)</f>
        <v>1.125</v>
      </c>
      <c r="R276" s="32">
        <v>47007.0</v>
      </c>
      <c r="S276" s="8" t="s">
        <v>1128</v>
      </c>
      <c r="T276" s="8" t="s">
        <v>497</v>
      </c>
      <c r="U276" s="8" t="s">
        <v>115</v>
      </c>
      <c r="V276" s="8" t="s">
        <v>53</v>
      </c>
      <c r="W276" s="8" t="s">
        <v>2866</v>
      </c>
      <c r="X276" s="33">
        <f>VLOOKUP(G276,'CBs RAW'!$E$2:$W$427,19)</f>
        <v>1.276</v>
      </c>
      <c r="Y276" s="34">
        <f t="shared" si="1"/>
        <v>1.276</v>
      </c>
      <c r="Z276" s="4" t="str">
        <f t="shared" si="2"/>
        <v>Koninklijke KPN NVCALLABLEFIXEDEURSr Unsecured</v>
      </c>
      <c r="AB276" s="24"/>
    </row>
    <row r="277">
      <c r="A277" s="8">
        <v>276.0</v>
      </c>
      <c r="B277" s="8" t="s">
        <v>1122</v>
      </c>
      <c r="C277" s="8" t="s">
        <v>1125</v>
      </c>
      <c r="D277" s="8" t="s">
        <v>57</v>
      </c>
      <c r="E277" s="8" t="str">
        <f>VLOOKUP(G277,'CBs RAW'!$E$2:$H$427,4)</f>
        <v>#N/A N/A</v>
      </c>
      <c r="F277" s="8" t="s">
        <v>367</v>
      </c>
      <c r="G277" s="8" t="s">
        <v>2867</v>
      </c>
      <c r="H277" s="8" t="s">
        <v>2868</v>
      </c>
      <c r="I277" s="8" t="s">
        <v>2869</v>
      </c>
      <c r="J277" s="8" t="s">
        <v>133</v>
      </c>
      <c r="K277" s="8" t="s">
        <v>56</v>
      </c>
      <c r="L277" s="7">
        <v>7.12014E8</v>
      </c>
      <c r="M277" s="8" t="s">
        <v>52</v>
      </c>
      <c r="N277" s="8" t="s">
        <v>1771</v>
      </c>
      <c r="O277" s="8" t="s">
        <v>367</v>
      </c>
      <c r="P277" s="32">
        <v>44088.0</v>
      </c>
      <c r="Q277" s="7">
        <f>VLOOKUP(G277,'CBs RAW'!$E$2:$P$427,12)</f>
        <v>0.875</v>
      </c>
      <c r="R277" s="32">
        <v>48562.0</v>
      </c>
      <c r="S277" s="8" t="s">
        <v>226</v>
      </c>
      <c r="T277" s="8" t="s">
        <v>497</v>
      </c>
      <c r="U277" s="8" t="s">
        <v>115</v>
      </c>
      <c r="V277" s="8" t="s">
        <v>53</v>
      </c>
      <c r="W277" s="8" t="s">
        <v>2870</v>
      </c>
      <c r="X277" s="33">
        <f>VLOOKUP(G277,'CBs RAW'!$E$2:$W$427,19)</f>
        <v>0.908</v>
      </c>
      <c r="Y277" s="34">
        <f t="shared" si="1"/>
        <v>0.908</v>
      </c>
      <c r="Z277" s="4" t="str">
        <f t="shared" si="2"/>
        <v>Koninklijke KPN NVCALLABLEFIXEDEURSr Unsecured</v>
      </c>
      <c r="AB277" s="24"/>
    </row>
    <row r="278">
      <c r="A278" s="8">
        <v>277.0</v>
      </c>
      <c r="B278" s="8" t="s">
        <v>1474</v>
      </c>
      <c r="C278" s="8" t="s">
        <v>1477</v>
      </c>
      <c r="D278" s="8" t="s">
        <v>57</v>
      </c>
      <c r="E278" s="8">
        <f>VLOOKUP(G278,'CBs RAW'!$E$2:$H$427,4)</f>
        <v>0.454</v>
      </c>
      <c r="F278" s="8" t="s">
        <v>185</v>
      </c>
      <c r="G278" s="8" t="s">
        <v>2871</v>
      </c>
      <c r="H278" s="8" t="s">
        <v>2872</v>
      </c>
      <c r="I278" s="8" t="s">
        <v>2873</v>
      </c>
      <c r="J278" s="8" t="s">
        <v>133</v>
      </c>
      <c r="K278" s="8" t="s">
        <v>56</v>
      </c>
      <c r="L278" s="7">
        <v>1.10803E9</v>
      </c>
      <c r="M278" s="8" t="s">
        <v>52</v>
      </c>
      <c r="N278" s="8" t="s">
        <v>2874</v>
      </c>
      <c r="O278" s="8" t="s">
        <v>185</v>
      </c>
      <c r="P278" s="32">
        <v>44649.0</v>
      </c>
      <c r="Q278" s="7">
        <f>VLOOKUP(G278,'CBs RAW'!$E$2:$P$427,12)</f>
        <v>0.375</v>
      </c>
      <c r="R278" s="32">
        <v>45380.0</v>
      </c>
      <c r="S278" s="8" t="s">
        <v>174</v>
      </c>
      <c r="T278" s="8" t="s">
        <v>421</v>
      </c>
      <c r="U278" s="8" t="s">
        <v>115</v>
      </c>
      <c r="V278" s="8" t="s">
        <v>53</v>
      </c>
      <c r="W278" s="8" t="s">
        <v>2875</v>
      </c>
      <c r="X278" s="33">
        <f>VLOOKUP(G278,'CBs RAW'!$E$2:$W$427,19)</f>
        <v>0.355</v>
      </c>
      <c r="Y278" s="34">
        <f t="shared" si="1"/>
        <v>0.355</v>
      </c>
      <c r="Z278" s="4" t="str">
        <f t="shared" si="2"/>
        <v>L'Oreal SACALLABLEFIXEDEURSr Unsecured</v>
      </c>
      <c r="AB278" s="24"/>
    </row>
    <row r="279">
      <c r="A279" s="8">
        <v>278.0</v>
      </c>
      <c r="B279" s="8" t="s">
        <v>1474</v>
      </c>
      <c r="C279" s="8" t="s">
        <v>1477</v>
      </c>
      <c r="D279" s="8" t="s">
        <v>392</v>
      </c>
      <c r="E279" s="8" t="str">
        <f>VLOOKUP(G279,'CBs RAW'!$E$2:$H$427,4)</f>
        <v>#N/A N/A</v>
      </c>
      <c r="F279" s="8" t="s">
        <v>185</v>
      </c>
      <c r="G279" s="8" t="s">
        <v>2876</v>
      </c>
      <c r="H279" s="8" t="s">
        <v>2877</v>
      </c>
      <c r="I279" s="8" t="s">
        <v>2878</v>
      </c>
      <c r="J279" s="8" t="s">
        <v>133</v>
      </c>
      <c r="K279" s="8" t="s">
        <v>70</v>
      </c>
      <c r="L279" s="7">
        <v>8.310225E8</v>
      </c>
      <c r="M279" s="8" t="s">
        <v>52</v>
      </c>
      <c r="N279" s="8" t="s">
        <v>1771</v>
      </c>
      <c r="O279" s="8" t="s">
        <v>185</v>
      </c>
      <c r="P279" s="32">
        <v>44649.0</v>
      </c>
      <c r="Q279" s="7">
        <f>VLOOKUP(G279,'CBs RAW'!$E$2:$P$427,12)</f>
        <v>0.223</v>
      </c>
      <c r="R279" s="32">
        <v>45380.0</v>
      </c>
      <c r="S279" s="8" t="s">
        <v>174</v>
      </c>
      <c r="T279" s="8" t="s">
        <v>421</v>
      </c>
      <c r="U279" s="8" t="s">
        <v>115</v>
      </c>
      <c r="V279" s="8" t="s">
        <v>53</v>
      </c>
      <c r="W279" s="8" t="s">
        <v>2879</v>
      </c>
      <c r="X279" s="33">
        <f>VLOOKUP(G279,'CBs RAW'!$E$2:$W$427,19)</f>
        <v>-0.489</v>
      </c>
      <c r="Y279" s="34">
        <f t="shared" si="1"/>
        <v>-0.489</v>
      </c>
      <c r="Z279" s="4" t="str">
        <f t="shared" si="2"/>
        <v>L'Oreal SACALLABLEFLOATINGEURSr Unsecured</v>
      </c>
      <c r="AB279" s="24"/>
    </row>
    <row r="280">
      <c r="A280" s="8">
        <v>279.0</v>
      </c>
      <c r="B280" s="8" t="s">
        <v>1217</v>
      </c>
      <c r="C280" s="8" t="s">
        <v>1220</v>
      </c>
      <c r="D280" s="8" t="s">
        <v>57</v>
      </c>
      <c r="E280" s="8" t="str">
        <f>VLOOKUP(G280,'CBs RAW'!$E$2:$H$427,4)</f>
        <v>#N/A N/A</v>
      </c>
      <c r="F280" s="8" t="s">
        <v>45</v>
      </c>
      <c r="G280" s="8" t="s">
        <v>2880</v>
      </c>
      <c r="H280" s="8" t="s">
        <v>2881</v>
      </c>
      <c r="I280" s="8" t="s">
        <v>2882</v>
      </c>
      <c r="J280" s="8" t="s">
        <v>421</v>
      </c>
      <c r="K280" s="8" t="s">
        <v>56</v>
      </c>
      <c r="L280" s="7">
        <v>5.90635E8</v>
      </c>
      <c r="M280" s="8" t="s">
        <v>52</v>
      </c>
      <c r="N280" s="8" t="s">
        <v>1776</v>
      </c>
      <c r="O280" s="8" t="s">
        <v>45</v>
      </c>
      <c r="P280" s="32">
        <v>43236.0</v>
      </c>
      <c r="Q280" s="7">
        <f>VLOOKUP(G280,'CBs RAW'!$E$2:$P$427,12)</f>
        <v>1.125</v>
      </c>
      <c r="R280" s="32">
        <v>45793.0</v>
      </c>
      <c r="S280" s="8" t="s">
        <v>226</v>
      </c>
      <c r="T280" s="8" t="s">
        <v>175</v>
      </c>
      <c r="U280" s="8" t="s">
        <v>115</v>
      </c>
      <c r="V280" s="8" t="s">
        <v>53</v>
      </c>
      <c r="W280" s="8" t="s">
        <v>2883</v>
      </c>
      <c r="X280" s="33">
        <f>VLOOKUP(G280,'CBs RAW'!$E$2:$W$427,19)</f>
        <v>1.403</v>
      </c>
      <c r="Y280" s="34">
        <f t="shared" si="1"/>
        <v>1.403</v>
      </c>
      <c r="Z280" s="4" t="str">
        <f t="shared" si="2"/>
        <v>LANXESS AGCALLABLEFIXEDEURSr Unsecured</v>
      </c>
      <c r="AB280" s="24"/>
    </row>
    <row r="281">
      <c r="A281" s="8">
        <v>280.0</v>
      </c>
      <c r="B281" s="8" t="s">
        <v>1217</v>
      </c>
      <c r="C281" s="8" t="s">
        <v>1220</v>
      </c>
      <c r="D281" s="8" t="s">
        <v>57</v>
      </c>
      <c r="E281" s="8" t="str">
        <f>VLOOKUP(G281,'CBs RAW'!$E$2:$H$427,4)</f>
        <v>#N/A N/A</v>
      </c>
      <c r="F281" s="8" t="s">
        <v>45</v>
      </c>
      <c r="G281" s="8" t="s">
        <v>2884</v>
      </c>
      <c r="H281" s="8" t="s">
        <v>2885</v>
      </c>
      <c r="I281" s="8" t="s">
        <v>2886</v>
      </c>
      <c r="J281" s="8" t="s">
        <v>421</v>
      </c>
      <c r="K281" s="8" t="s">
        <v>56</v>
      </c>
      <c r="L281" s="7">
        <v>5.9094E8</v>
      </c>
      <c r="M281" s="8" t="s">
        <v>52</v>
      </c>
      <c r="N281" s="8" t="s">
        <v>1771</v>
      </c>
      <c r="O281" s="8" t="s">
        <v>45</v>
      </c>
      <c r="P281" s="32">
        <v>44447.0</v>
      </c>
      <c r="Q281" s="7">
        <f>VLOOKUP(G281,'CBs RAW'!$E$2:$P$427,12)</f>
        <v>0</v>
      </c>
      <c r="R281" s="32">
        <v>46638.0</v>
      </c>
      <c r="S281" s="8" t="s">
        <v>226</v>
      </c>
      <c r="T281" s="8" t="s">
        <v>175</v>
      </c>
      <c r="U281" s="8" t="s">
        <v>115</v>
      </c>
      <c r="V281" s="8" t="s">
        <v>53</v>
      </c>
      <c r="W281" s="8" t="s">
        <v>2887</v>
      </c>
      <c r="X281" s="33">
        <f>VLOOKUP(G281,'CBs RAW'!$E$2:$W$427,19)</f>
        <v>0.128</v>
      </c>
      <c r="Y281" s="34">
        <f t="shared" si="1"/>
        <v>0.128</v>
      </c>
      <c r="Z281" s="4" t="str">
        <f t="shared" si="2"/>
        <v>LANXESS AGCALLABLEFIXEDEURSr Unsecured</v>
      </c>
      <c r="AB281" s="24"/>
    </row>
    <row r="282">
      <c r="A282" s="8">
        <v>281.0</v>
      </c>
      <c r="B282" s="8" t="s">
        <v>1217</v>
      </c>
      <c r="C282" s="8" t="s">
        <v>1220</v>
      </c>
      <c r="D282" s="8" t="s">
        <v>57</v>
      </c>
      <c r="E282" s="8" t="str">
        <f>VLOOKUP(G282,'CBs RAW'!$E$2:$H$427,4)</f>
        <v>#N/A N/A</v>
      </c>
      <c r="F282" s="8" t="s">
        <v>45</v>
      </c>
      <c r="G282" s="8" t="s">
        <v>2888</v>
      </c>
      <c r="H282" s="8" t="s">
        <v>2889</v>
      </c>
      <c r="I282" s="8" t="s">
        <v>2890</v>
      </c>
      <c r="J282" s="8" t="s">
        <v>421</v>
      </c>
      <c r="K282" s="8" t="s">
        <v>56</v>
      </c>
      <c r="L282" s="7">
        <v>5.5838E8</v>
      </c>
      <c r="M282" s="8" t="s">
        <v>52</v>
      </c>
      <c r="N282" s="8" t="s">
        <v>1771</v>
      </c>
      <c r="O282" s="8" t="s">
        <v>45</v>
      </c>
      <c r="P282" s="32">
        <v>42650.0</v>
      </c>
      <c r="Q282" s="7">
        <f>VLOOKUP(G282,'CBs RAW'!$E$2:$P$427,12)</f>
        <v>1</v>
      </c>
      <c r="R282" s="32">
        <v>46302.0</v>
      </c>
      <c r="S282" s="8" t="s">
        <v>226</v>
      </c>
      <c r="T282" s="8" t="s">
        <v>175</v>
      </c>
      <c r="U282" s="8" t="s">
        <v>115</v>
      </c>
      <c r="V282" s="8" t="s">
        <v>53</v>
      </c>
      <c r="W282" s="8" t="s">
        <v>2891</v>
      </c>
      <c r="X282" s="33">
        <f>VLOOKUP(G282,'CBs RAW'!$E$2:$W$427,19)</f>
        <v>1.243</v>
      </c>
      <c r="Y282" s="34">
        <f t="shared" si="1"/>
        <v>1.243</v>
      </c>
      <c r="Z282" s="4" t="str">
        <f t="shared" si="2"/>
        <v>LANXESS AGCALLABLEFIXEDEURSr Unsecured</v>
      </c>
      <c r="AB282" s="24"/>
    </row>
    <row r="283">
      <c r="A283" s="8">
        <v>282.0</v>
      </c>
      <c r="B283" s="8" t="s">
        <v>917</v>
      </c>
      <c r="C283" s="8" t="s">
        <v>920</v>
      </c>
      <c r="D283" s="8" t="s">
        <v>57</v>
      </c>
      <c r="E283" s="8" t="str">
        <f>VLOOKUP(G283,'CBs RAW'!$E$2:$H$427,4)</f>
        <v>#N/A N/A</v>
      </c>
      <c r="F283" s="8" t="s">
        <v>185</v>
      </c>
      <c r="G283" s="8" t="s">
        <v>2892</v>
      </c>
      <c r="H283" s="8" t="s">
        <v>2893</v>
      </c>
      <c r="I283" s="8" t="s">
        <v>2894</v>
      </c>
      <c r="J283" s="8" t="s">
        <v>421</v>
      </c>
      <c r="K283" s="8" t="s">
        <v>56</v>
      </c>
      <c r="L283" s="7">
        <v>5.7098E8</v>
      </c>
      <c r="M283" s="8" t="s">
        <v>52</v>
      </c>
      <c r="N283" s="8" t="s">
        <v>2895</v>
      </c>
      <c r="O283" s="8" t="s">
        <v>185</v>
      </c>
      <c r="P283" s="32">
        <v>42922.0</v>
      </c>
      <c r="Q283" s="7">
        <f>VLOOKUP(G283,'CBs RAW'!$E$2:$P$427,12)</f>
        <v>1.875</v>
      </c>
      <c r="R283" s="32">
        <v>48401.0</v>
      </c>
      <c r="S283" s="8" t="s">
        <v>174</v>
      </c>
      <c r="T283" s="8" t="s">
        <v>190</v>
      </c>
      <c r="U283" s="8" t="s">
        <v>115</v>
      </c>
      <c r="V283" s="8" t="s">
        <v>53</v>
      </c>
      <c r="W283" s="8" t="s">
        <v>2896</v>
      </c>
      <c r="X283" s="33">
        <f>VLOOKUP(G283,'CBs RAW'!$E$2:$W$427,19)</f>
        <v>1.879</v>
      </c>
      <c r="Y283" s="34">
        <f t="shared" si="1"/>
        <v>1.879</v>
      </c>
      <c r="Z283" s="4" t="str">
        <f t="shared" si="2"/>
        <v>Legrand SACALLABLEFIXEDEURSr Unsecured</v>
      </c>
      <c r="AB283" s="24"/>
    </row>
    <row r="284">
      <c r="A284" s="8">
        <v>283.0</v>
      </c>
      <c r="B284" s="8" t="s">
        <v>917</v>
      </c>
      <c r="C284" s="8" t="s">
        <v>920</v>
      </c>
      <c r="D284" s="8" t="s">
        <v>57</v>
      </c>
      <c r="E284" s="8" t="str">
        <f>VLOOKUP(G284,'CBs RAW'!$E$2:$H$427,4)</f>
        <v>#N/A N/A</v>
      </c>
      <c r="F284" s="8" t="s">
        <v>185</v>
      </c>
      <c r="G284" s="8" t="s">
        <v>2897</v>
      </c>
      <c r="H284" s="8" t="s">
        <v>2898</v>
      </c>
      <c r="I284" s="8" t="s">
        <v>2899</v>
      </c>
      <c r="J284" s="8" t="s">
        <v>421</v>
      </c>
      <c r="K284" s="8" t="s">
        <v>56</v>
      </c>
      <c r="L284" s="7">
        <v>5.7098E8</v>
      </c>
      <c r="M284" s="8" t="s">
        <v>52</v>
      </c>
      <c r="N284" s="8" t="s">
        <v>2895</v>
      </c>
      <c r="O284" s="8" t="s">
        <v>185</v>
      </c>
      <c r="P284" s="32">
        <v>42922.0</v>
      </c>
      <c r="Q284" s="7">
        <f>VLOOKUP(G284,'CBs RAW'!$E$2:$P$427,12)</f>
        <v>0.75</v>
      </c>
      <c r="R284" s="32">
        <v>45479.0</v>
      </c>
      <c r="S284" s="8" t="s">
        <v>174</v>
      </c>
      <c r="T284" s="8" t="s">
        <v>190</v>
      </c>
      <c r="U284" s="8" t="s">
        <v>115</v>
      </c>
      <c r="V284" s="8" t="s">
        <v>53</v>
      </c>
      <c r="W284" s="8" t="s">
        <v>2900</v>
      </c>
      <c r="X284" s="33">
        <f>VLOOKUP(G284,'CBs RAW'!$E$2:$W$427,19)</f>
        <v>0.847</v>
      </c>
      <c r="Y284" s="34">
        <f t="shared" si="1"/>
        <v>0.847</v>
      </c>
      <c r="Z284" s="4" t="str">
        <f t="shared" si="2"/>
        <v>Legrand SACALLABLEFIXEDEURSr Unsecured</v>
      </c>
      <c r="AB284" s="24"/>
    </row>
    <row r="285">
      <c r="A285" s="8">
        <v>284.0</v>
      </c>
      <c r="B285" s="8" t="s">
        <v>917</v>
      </c>
      <c r="C285" s="8" t="s">
        <v>920</v>
      </c>
      <c r="D285" s="8" t="s">
        <v>57</v>
      </c>
      <c r="E285" s="8" t="str">
        <f>VLOOKUP(G285,'CBs RAW'!$E$2:$H$427,4)</f>
        <v>#N/A N/A</v>
      </c>
      <c r="F285" s="8" t="s">
        <v>185</v>
      </c>
      <c r="G285" s="8" t="s">
        <v>2901</v>
      </c>
      <c r="H285" s="8" t="s">
        <v>2902</v>
      </c>
      <c r="I285" s="8" t="s">
        <v>2903</v>
      </c>
      <c r="J285" s="8" t="s">
        <v>421</v>
      </c>
      <c r="K285" s="8" t="s">
        <v>56</v>
      </c>
      <c r="L285" s="7">
        <v>4.69984E8</v>
      </c>
      <c r="M285" s="8" t="s">
        <v>52</v>
      </c>
      <c r="N285" s="8" t="s">
        <v>1771</v>
      </c>
      <c r="O285" s="8" t="s">
        <v>185</v>
      </c>
      <c r="P285" s="32">
        <v>43017.0</v>
      </c>
      <c r="Q285" s="7">
        <f>VLOOKUP(G285,'CBs RAW'!$E$2:$P$427,12)</f>
        <v>0.5</v>
      </c>
      <c r="R285" s="32">
        <v>45208.0</v>
      </c>
      <c r="S285" s="8" t="s">
        <v>174</v>
      </c>
      <c r="T285" s="8" t="s">
        <v>190</v>
      </c>
      <c r="U285" s="8" t="s">
        <v>115</v>
      </c>
      <c r="V285" s="8" t="s">
        <v>53</v>
      </c>
      <c r="W285" s="8" t="s">
        <v>2904</v>
      </c>
      <c r="X285" s="33">
        <f>VLOOKUP(G285,'CBs RAW'!$E$2:$W$427,19)</f>
        <v>0.588</v>
      </c>
      <c r="Y285" s="34">
        <f t="shared" si="1"/>
        <v>0.588</v>
      </c>
      <c r="Z285" s="4" t="str">
        <f t="shared" si="2"/>
        <v>Legrand SACALLABLEFIXEDEURSr Unsecured</v>
      </c>
      <c r="AB285" s="24"/>
    </row>
    <row r="286">
      <c r="A286" s="8">
        <v>285.0</v>
      </c>
      <c r="B286" s="8" t="s">
        <v>917</v>
      </c>
      <c r="C286" s="8" t="s">
        <v>920</v>
      </c>
      <c r="D286" s="8" t="s">
        <v>57</v>
      </c>
      <c r="E286" s="8">
        <f>VLOOKUP(G286,'CBs RAW'!$E$2:$H$427,4)</f>
        <v>1.082</v>
      </c>
      <c r="F286" s="8" t="s">
        <v>185</v>
      </c>
      <c r="G286" s="8" t="s">
        <v>2905</v>
      </c>
      <c r="H286" s="8" t="s">
        <v>2906</v>
      </c>
      <c r="I286" s="8" t="s">
        <v>2907</v>
      </c>
      <c r="J286" s="8" t="s">
        <v>421</v>
      </c>
      <c r="K286" s="8" t="s">
        <v>56</v>
      </c>
      <c r="L286" s="7">
        <v>4.95736E8</v>
      </c>
      <c r="M286" s="8" t="s">
        <v>52</v>
      </c>
      <c r="N286" s="8" t="s">
        <v>1771</v>
      </c>
      <c r="O286" s="8" t="s">
        <v>185</v>
      </c>
      <c r="P286" s="32">
        <v>43165.0</v>
      </c>
      <c r="Q286" s="7">
        <f>VLOOKUP(G286,'CBs RAW'!$E$2:$P$427,12)</f>
        <v>1</v>
      </c>
      <c r="R286" s="32">
        <v>46087.0</v>
      </c>
      <c r="S286" s="8" t="s">
        <v>174</v>
      </c>
      <c r="T286" s="8" t="s">
        <v>190</v>
      </c>
      <c r="U286" s="8" t="s">
        <v>115</v>
      </c>
      <c r="V286" s="8" t="s">
        <v>53</v>
      </c>
      <c r="W286" s="8" t="s">
        <v>2908</v>
      </c>
      <c r="X286" s="33">
        <f>VLOOKUP(G286,'CBs RAW'!$E$2:$W$427,19)</f>
        <v>1.041</v>
      </c>
      <c r="Y286" s="34">
        <f t="shared" si="1"/>
        <v>1.041</v>
      </c>
      <c r="Z286" s="4" t="str">
        <f t="shared" si="2"/>
        <v>Legrand SACALLABLEFIXEDEURSr Unsecured</v>
      </c>
      <c r="AB286" s="24"/>
    </row>
    <row r="287">
      <c r="A287" s="8">
        <v>286.0</v>
      </c>
      <c r="B287" s="8" t="s">
        <v>917</v>
      </c>
      <c r="C287" s="8" t="s">
        <v>920</v>
      </c>
      <c r="D287" s="8" t="s">
        <v>57</v>
      </c>
      <c r="E287" s="8" t="str">
        <f>VLOOKUP(G287,'CBs RAW'!$E$2:$H$427,4)</f>
        <v>#N/A N/A</v>
      </c>
      <c r="F287" s="8" t="s">
        <v>185</v>
      </c>
      <c r="G287" s="8" t="s">
        <v>2909</v>
      </c>
      <c r="H287" s="8" t="s">
        <v>2910</v>
      </c>
      <c r="I287" s="8" t="s">
        <v>2911</v>
      </c>
      <c r="J287" s="8" t="s">
        <v>421</v>
      </c>
      <c r="K287" s="8" t="s">
        <v>56</v>
      </c>
      <c r="L287" s="7">
        <v>4.55568E8</v>
      </c>
      <c r="M287" s="8" t="s">
        <v>52</v>
      </c>
      <c r="N287" s="8" t="s">
        <v>1771</v>
      </c>
      <c r="O287" s="8" t="s">
        <v>185</v>
      </c>
      <c r="P287" s="32">
        <v>43640.0</v>
      </c>
      <c r="Q287" s="7">
        <f>VLOOKUP(G287,'CBs RAW'!$E$2:$P$427,12)</f>
        <v>0.625</v>
      </c>
      <c r="R287" s="32">
        <v>46928.0</v>
      </c>
      <c r="S287" s="8" t="s">
        <v>174</v>
      </c>
      <c r="T287" s="8" t="s">
        <v>190</v>
      </c>
      <c r="U287" s="8" t="s">
        <v>115</v>
      </c>
      <c r="V287" s="8" t="s">
        <v>53</v>
      </c>
      <c r="W287" s="8" t="s">
        <v>2912</v>
      </c>
      <c r="X287" s="33">
        <f>VLOOKUP(G287,'CBs RAW'!$E$2:$W$427,19)</f>
        <v>0.614</v>
      </c>
      <c r="Y287" s="34">
        <f t="shared" si="1"/>
        <v>0.614</v>
      </c>
      <c r="Z287" s="4" t="str">
        <f t="shared" si="2"/>
        <v>Legrand SACALLABLEFIXEDEURSr Unsecured</v>
      </c>
      <c r="AB287" s="24"/>
    </row>
    <row r="288">
      <c r="A288" s="8">
        <v>287.0</v>
      </c>
      <c r="B288" s="8" t="s">
        <v>917</v>
      </c>
      <c r="C288" s="8" t="s">
        <v>920</v>
      </c>
      <c r="D288" s="8" t="s">
        <v>57</v>
      </c>
      <c r="E288" s="8" t="str">
        <f>VLOOKUP(G288,'CBs RAW'!$E$2:$H$427,4)</f>
        <v>#N/A N/A</v>
      </c>
      <c r="F288" s="8" t="s">
        <v>185</v>
      </c>
      <c r="G288" s="8" t="s">
        <v>2913</v>
      </c>
      <c r="H288" s="8" t="s">
        <v>2914</v>
      </c>
      <c r="I288" s="8" t="s">
        <v>2915</v>
      </c>
      <c r="J288" s="8" t="s">
        <v>421</v>
      </c>
      <c r="K288" s="8" t="s">
        <v>56</v>
      </c>
      <c r="L288" s="7">
        <v>6.58542E8</v>
      </c>
      <c r="M288" s="8" t="s">
        <v>52</v>
      </c>
      <c r="N288" s="8" t="s">
        <v>1771</v>
      </c>
      <c r="O288" s="8" t="s">
        <v>185</v>
      </c>
      <c r="P288" s="32">
        <v>43971.0</v>
      </c>
      <c r="Q288" s="7">
        <f>VLOOKUP(G288,'CBs RAW'!$E$2:$P$427,12)</f>
        <v>0.75</v>
      </c>
      <c r="R288" s="32">
        <v>47623.0</v>
      </c>
      <c r="S288" s="8" t="s">
        <v>174</v>
      </c>
      <c r="T288" s="8" t="s">
        <v>190</v>
      </c>
      <c r="U288" s="8" t="s">
        <v>115</v>
      </c>
      <c r="V288" s="8" t="s">
        <v>53</v>
      </c>
      <c r="W288" s="8" t="s">
        <v>2916</v>
      </c>
      <c r="X288" s="33">
        <f>VLOOKUP(G288,'CBs RAW'!$E$2:$W$427,19)</f>
        <v>0.766</v>
      </c>
      <c r="Y288" s="34">
        <f t="shared" si="1"/>
        <v>0.766</v>
      </c>
      <c r="Z288" s="4" t="str">
        <f t="shared" si="2"/>
        <v>Legrand SACALLABLEFIXEDEURSr Unsecured</v>
      </c>
      <c r="AB288" s="24"/>
    </row>
    <row r="289">
      <c r="A289" s="8">
        <v>288.0</v>
      </c>
      <c r="B289" s="8" t="s">
        <v>917</v>
      </c>
      <c r="C289" s="8" t="s">
        <v>920</v>
      </c>
      <c r="D289" s="8" t="s">
        <v>57</v>
      </c>
      <c r="E289" s="8" t="str">
        <f>VLOOKUP(G289,'CBs RAW'!$E$2:$H$427,4)</f>
        <v>#N/A N/A</v>
      </c>
      <c r="F289" s="8" t="s">
        <v>185</v>
      </c>
      <c r="G289" s="8" t="s">
        <v>2917</v>
      </c>
      <c r="H289" s="8" t="s">
        <v>2918</v>
      </c>
      <c r="I289" s="8" t="s">
        <v>2919</v>
      </c>
      <c r="J289" s="8" t="s">
        <v>421</v>
      </c>
      <c r="K289" s="8" t="s">
        <v>56</v>
      </c>
      <c r="L289" s="7">
        <v>3.282093E7</v>
      </c>
      <c r="M289" s="8" t="s">
        <v>118</v>
      </c>
      <c r="N289" s="8" t="s">
        <v>174</v>
      </c>
      <c r="O289" s="8" t="s">
        <v>185</v>
      </c>
      <c r="P289" s="32">
        <v>44333.0</v>
      </c>
      <c r="Q289" s="7">
        <f>VLOOKUP(G289,'CBs RAW'!$E$2:$P$427,12)</f>
        <v>0</v>
      </c>
      <c r="R289" s="32">
        <v>45063.0</v>
      </c>
      <c r="S289" s="8" t="s">
        <v>226</v>
      </c>
      <c r="T289" s="8" t="s">
        <v>54</v>
      </c>
      <c r="U289" s="8" t="s">
        <v>49</v>
      </c>
      <c r="V289" s="8" t="s">
        <v>53</v>
      </c>
      <c r="W289" s="8" t="s">
        <v>2920</v>
      </c>
      <c r="X289" s="33" t="str">
        <f>VLOOKUP(G289,'CBs RAW'!$E$2:$W$427,19)</f>
        <v>#N/A N/A</v>
      </c>
      <c r="Y289" s="4" t="str">
        <f t="shared" si="1"/>
        <v>#N/A N/A</v>
      </c>
      <c r="Z289" s="4" t="str">
        <f t="shared" si="2"/>
        <v>Legrand SAAT MATURITYFIXEDEURUnsecured</v>
      </c>
      <c r="AB289" s="24"/>
    </row>
    <row r="290">
      <c r="A290" s="8">
        <v>289.0</v>
      </c>
      <c r="B290" s="8" t="s">
        <v>917</v>
      </c>
      <c r="C290" s="8" t="s">
        <v>920</v>
      </c>
      <c r="D290" s="8" t="s">
        <v>392</v>
      </c>
      <c r="E290" s="8" t="str">
        <f>VLOOKUP(G290,'CBs RAW'!$E$2:$H$427,4)</f>
        <v>#N/A N/A</v>
      </c>
      <c r="F290" s="8" t="s">
        <v>185</v>
      </c>
      <c r="G290" s="8" t="s">
        <v>2921</v>
      </c>
      <c r="H290" s="8" t="s">
        <v>2922</v>
      </c>
      <c r="I290" s="8" t="s">
        <v>2923</v>
      </c>
      <c r="J290" s="8" t="s">
        <v>421</v>
      </c>
      <c r="K290" s="8" t="s">
        <v>56</v>
      </c>
      <c r="L290" s="7">
        <v>5.6771E7</v>
      </c>
      <c r="M290" s="8" t="s">
        <v>459</v>
      </c>
      <c r="N290" s="8" t="s">
        <v>174</v>
      </c>
      <c r="O290" s="8" t="s">
        <v>185</v>
      </c>
      <c r="P290" s="32">
        <v>44572.0</v>
      </c>
      <c r="Q290" s="7">
        <f>VLOOKUP(G290,'CBs RAW'!$E$2:$P$427,12)</f>
        <v>-0.16</v>
      </c>
      <c r="R290" s="32">
        <v>45302.0</v>
      </c>
      <c r="S290" s="8" t="s">
        <v>2924</v>
      </c>
      <c r="T290" s="8" t="s">
        <v>54</v>
      </c>
      <c r="U290" s="8" t="s">
        <v>49</v>
      </c>
      <c r="V290" s="8" t="s">
        <v>53</v>
      </c>
      <c r="W290" s="8" t="s">
        <v>2925</v>
      </c>
      <c r="X290" s="33" t="str">
        <f>VLOOKUP(G290,'CBs RAW'!$E$2:$W$427,19)</f>
        <v>#N/A N/A</v>
      </c>
      <c r="Y290" s="4" t="str">
        <f t="shared" si="1"/>
        <v>#N/A N/A</v>
      </c>
      <c r="Z290" s="4" t="str">
        <f t="shared" si="2"/>
        <v>Legrand SAAT MATURITYFIXEDEURSecured</v>
      </c>
      <c r="AB290" s="24"/>
    </row>
    <row r="291">
      <c r="A291" s="8">
        <v>290.0</v>
      </c>
      <c r="B291" s="8" t="s">
        <v>917</v>
      </c>
      <c r="C291" s="8" t="s">
        <v>920</v>
      </c>
      <c r="D291" s="8" t="s">
        <v>57</v>
      </c>
      <c r="E291" s="8">
        <f>VLOOKUP(G291,'CBs RAW'!$E$2:$H$427,4)</f>
        <v>1.954</v>
      </c>
      <c r="F291" s="8" t="s">
        <v>185</v>
      </c>
      <c r="G291" s="8" t="s">
        <v>2926</v>
      </c>
      <c r="H291" s="8" t="s">
        <v>2927</v>
      </c>
      <c r="I291" s="8" t="s">
        <v>2928</v>
      </c>
      <c r="J291" s="8" t="s">
        <v>421</v>
      </c>
      <c r="K291" s="8" t="s">
        <v>56</v>
      </c>
      <c r="L291" s="7">
        <v>3.27789E8</v>
      </c>
      <c r="M291" s="8" t="s">
        <v>52</v>
      </c>
      <c r="N291" s="8" t="s">
        <v>1840</v>
      </c>
      <c r="O291" s="8" t="s">
        <v>185</v>
      </c>
      <c r="P291" s="32">
        <v>42354.0</v>
      </c>
      <c r="Q291" s="7">
        <f>VLOOKUP(G291,'CBs RAW'!$E$2:$P$427,12)</f>
        <v>1.875</v>
      </c>
      <c r="R291" s="32">
        <v>46737.0</v>
      </c>
      <c r="S291" s="8" t="s">
        <v>174</v>
      </c>
      <c r="T291" s="8" t="s">
        <v>190</v>
      </c>
      <c r="U291" s="8" t="s">
        <v>115</v>
      </c>
      <c r="V291" s="8" t="s">
        <v>53</v>
      </c>
      <c r="W291" s="8" t="s">
        <v>2929</v>
      </c>
      <c r="X291" s="33">
        <f>VLOOKUP(G291,'CBs RAW'!$E$2:$W$427,19)</f>
        <v>2.02</v>
      </c>
      <c r="Y291" s="34">
        <f t="shared" si="1"/>
        <v>2.02</v>
      </c>
      <c r="Z291" s="4" t="str">
        <f t="shared" si="2"/>
        <v>Legrand SACALLABLEFIXEDEURSr Unsecured</v>
      </c>
      <c r="AB291" s="24"/>
    </row>
    <row r="292">
      <c r="A292" s="8">
        <v>291.0</v>
      </c>
      <c r="B292" s="8" t="s">
        <v>1209</v>
      </c>
      <c r="C292" s="8" t="s">
        <v>1212</v>
      </c>
      <c r="D292" s="8" t="s">
        <v>392</v>
      </c>
      <c r="E292" s="8" t="str">
        <f>VLOOKUP(G292,'CBs RAW'!$E$2:$H$427,4)</f>
        <v>#N/A N/A</v>
      </c>
      <c r="F292" s="8" t="s">
        <v>368</v>
      </c>
      <c r="G292" s="8" t="s">
        <v>2930</v>
      </c>
      <c r="H292" s="8" t="s">
        <v>2931</v>
      </c>
      <c r="I292" s="8" t="s">
        <v>2932</v>
      </c>
      <c r="J292" s="8" t="s">
        <v>55</v>
      </c>
      <c r="K292" s="8" t="s">
        <v>70</v>
      </c>
      <c r="L292" s="7">
        <v>1.805055E8</v>
      </c>
      <c r="M292" s="8" t="s">
        <v>52</v>
      </c>
      <c r="N292" s="8" t="s">
        <v>1771</v>
      </c>
      <c r="O292" s="8" t="s">
        <v>368</v>
      </c>
      <c r="P292" s="32">
        <v>43726.0</v>
      </c>
      <c r="Q292" s="7">
        <f>VLOOKUP(G292,'CBs RAW'!$E$2:$P$427,12)</f>
        <v>1.23</v>
      </c>
      <c r="R292" s="32">
        <v>45187.0</v>
      </c>
      <c r="S292" s="8" t="s">
        <v>686</v>
      </c>
      <c r="T292" s="8" t="s">
        <v>54</v>
      </c>
      <c r="U292" s="8" t="s">
        <v>49</v>
      </c>
      <c r="V292" s="8" t="s">
        <v>687</v>
      </c>
      <c r="W292" s="8" t="s">
        <v>2933</v>
      </c>
      <c r="X292" s="33" t="str">
        <f>VLOOKUP(G292,'CBs RAW'!$E$2:$W$427,19)</f>
        <v>#N/A N/A</v>
      </c>
      <c r="Y292" s="4" t="str">
        <f t="shared" si="1"/>
        <v>#N/A N/A</v>
      </c>
      <c r="Z292" s="4" t="str">
        <f t="shared" si="2"/>
        <v>Loomis ABAT MATURITYFLOATINGSEKSr Unsecured</v>
      </c>
      <c r="AB292" s="24"/>
    </row>
    <row r="293">
      <c r="A293" s="8">
        <v>292.0</v>
      </c>
      <c r="B293" s="8" t="s">
        <v>1725</v>
      </c>
      <c r="C293" s="8" t="s">
        <v>1728</v>
      </c>
      <c r="D293" s="8" t="s">
        <v>71</v>
      </c>
      <c r="E293" s="8">
        <f>VLOOKUP(G293,'CBs RAW'!$E$2:$H$427,4)</f>
        <v>2.265</v>
      </c>
      <c r="F293" s="8" t="s">
        <v>200</v>
      </c>
      <c r="G293" s="8" t="s">
        <v>2934</v>
      </c>
      <c r="H293" s="8" t="s">
        <v>2935</v>
      </c>
      <c r="I293" s="8" t="s">
        <v>2936</v>
      </c>
      <c r="J293" s="8" t="s">
        <v>55</v>
      </c>
      <c r="K293" s="8" t="s">
        <v>56</v>
      </c>
      <c r="L293" s="7">
        <v>1.978053E8</v>
      </c>
      <c r="M293" s="8" t="s">
        <v>52</v>
      </c>
      <c r="N293" s="8" t="s">
        <v>1840</v>
      </c>
      <c r="O293" s="8" t="s">
        <v>200</v>
      </c>
      <c r="P293" s="32">
        <v>43223.0</v>
      </c>
      <c r="Q293" s="7">
        <f>VLOOKUP(G293,'CBs RAW'!$E$2:$P$427,12)</f>
        <v>2.625</v>
      </c>
      <c r="R293" s="32">
        <v>45412.0</v>
      </c>
      <c r="S293" s="8" t="s">
        <v>174</v>
      </c>
      <c r="T293" s="8" t="s">
        <v>54</v>
      </c>
      <c r="U293" s="8" t="s">
        <v>115</v>
      </c>
      <c r="V293" s="8" t="s">
        <v>53</v>
      </c>
      <c r="W293" s="8" t="s">
        <v>2937</v>
      </c>
      <c r="X293" s="33" t="str">
        <f>VLOOKUP(G293,'CBs RAW'!$E$2:$W$427,19)</f>
        <v>#N/A N/A</v>
      </c>
      <c r="Y293" s="4">
        <f t="shared" si="1"/>
        <v>2.265</v>
      </c>
      <c r="Z293" s="4" t="str">
        <f t="shared" si="2"/>
        <v>Maire Tecnimont SpACALLABLEFIXEDEURSr Unsecured</v>
      </c>
      <c r="AB293" s="24"/>
    </row>
    <row r="294">
      <c r="A294" s="8">
        <v>293.0</v>
      </c>
      <c r="B294" s="8" t="s">
        <v>1199</v>
      </c>
      <c r="C294" s="8" t="s">
        <v>1202</v>
      </c>
      <c r="D294" s="8" t="s">
        <v>71</v>
      </c>
      <c r="E294" s="8" t="str">
        <f>VLOOKUP(G294,'CBs RAW'!$E$2:$H$427,4)</f>
        <v>#N/A N/A</v>
      </c>
      <c r="F294" s="8" t="s">
        <v>1203</v>
      </c>
      <c r="G294" s="8" t="s">
        <v>2938</v>
      </c>
      <c r="H294" s="8" t="s">
        <v>2939</v>
      </c>
      <c r="I294" s="8" t="s">
        <v>2940</v>
      </c>
      <c r="J294" s="8" t="s">
        <v>55</v>
      </c>
      <c r="K294" s="8" t="s">
        <v>56</v>
      </c>
      <c r="L294" s="7" t="s">
        <v>2941</v>
      </c>
      <c r="M294" s="8" t="s">
        <v>52</v>
      </c>
      <c r="N294" s="8" t="s">
        <v>174</v>
      </c>
      <c r="O294" s="8" t="s">
        <v>1203</v>
      </c>
      <c r="P294" s="32">
        <v>43104.0</v>
      </c>
      <c r="Q294" s="7">
        <f>VLOOKUP(G294,'CBs RAW'!$E$2:$P$427,12)</f>
        <v>4</v>
      </c>
      <c r="R294" s="32">
        <v>44930.0</v>
      </c>
      <c r="S294" s="8" t="s">
        <v>174</v>
      </c>
      <c r="T294" s="8" t="s">
        <v>54</v>
      </c>
      <c r="U294" s="8" t="s">
        <v>49</v>
      </c>
      <c r="V294" s="8" t="s">
        <v>53</v>
      </c>
      <c r="W294" s="8" t="s">
        <v>2942</v>
      </c>
      <c r="X294" s="33">
        <f>VLOOKUP(G294,'CBs RAW'!$E$2:$W$427,19)</f>
        <v>3.999</v>
      </c>
      <c r="Y294" s="34">
        <f t="shared" si="1"/>
        <v>3.999</v>
      </c>
      <c r="Z294" s="4" t="str">
        <f t="shared" si="2"/>
        <v>Mota-Engil SGPS SAAT MATURITYFIXEDEURSr Unsecured</v>
      </c>
      <c r="AB294" s="24"/>
    </row>
    <row r="295">
      <c r="A295" s="8">
        <v>294.0</v>
      </c>
      <c r="B295" s="8" t="s">
        <v>1199</v>
      </c>
      <c r="C295" s="8" t="s">
        <v>1202</v>
      </c>
      <c r="D295" s="8" t="s">
        <v>71</v>
      </c>
      <c r="E295" s="8" t="str">
        <f>VLOOKUP(G295,'CBs RAW'!$E$2:$H$427,4)</f>
        <v>#N/A N/A</v>
      </c>
      <c r="F295" s="8" t="s">
        <v>1203</v>
      </c>
      <c r="G295" s="8" t="s">
        <v>2943</v>
      </c>
      <c r="H295" s="8" t="s">
        <v>2944</v>
      </c>
      <c r="I295" s="8" t="s">
        <v>2945</v>
      </c>
      <c r="J295" s="8" t="s">
        <v>55</v>
      </c>
      <c r="K295" s="8" t="s">
        <v>56</v>
      </c>
      <c r="L295" s="7">
        <v>1.247873E8</v>
      </c>
      <c r="M295" s="8" t="s">
        <v>52</v>
      </c>
      <c r="N295" s="8" t="s">
        <v>174</v>
      </c>
      <c r="O295" s="8" t="s">
        <v>1203</v>
      </c>
      <c r="P295" s="32">
        <v>43432.0</v>
      </c>
      <c r="Q295" s="7">
        <f>VLOOKUP(G295,'CBs RAW'!$E$2:$P$427,12)</f>
        <v>4.5</v>
      </c>
      <c r="R295" s="32">
        <v>44893.0</v>
      </c>
      <c r="S295" s="8" t="s">
        <v>174</v>
      </c>
      <c r="T295" s="8" t="s">
        <v>54</v>
      </c>
      <c r="U295" s="8" t="s">
        <v>49</v>
      </c>
      <c r="V295" s="8" t="s">
        <v>53</v>
      </c>
      <c r="W295" s="8" t="s">
        <v>2946</v>
      </c>
      <c r="X295" s="33" t="str">
        <f>VLOOKUP(G295,'CBs RAW'!$E$2:$W$427,19)</f>
        <v>#N/A N/A</v>
      </c>
      <c r="Y295" s="4" t="str">
        <f t="shared" si="1"/>
        <v>#N/A N/A</v>
      </c>
      <c r="Z295" s="4" t="str">
        <f t="shared" si="2"/>
        <v>Mota-Engil SGPS SAAT MATURITYFIXEDEURSr Unsecured</v>
      </c>
      <c r="AB295" s="24"/>
    </row>
    <row r="296">
      <c r="A296" s="8">
        <v>295.0</v>
      </c>
      <c r="B296" s="8" t="s">
        <v>1199</v>
      </c>
      <c r="C296" s="8" t="s">
        <v>1202</v>
      </c>
      <c r="D296" s="8" t="s">
        <v>57</v>
      </c>
      <c r="E296" s="8" t="str">
        <f>VLOOKUP(G296,'CBs RAW'!$E$2:$H$427,4)</f>
        <v>#N/A N/A</v>
      </c>
      <c r="F296" s="8" t="s">
        <v>1203</v>
      </c>
      <c r="G296" s="8" t="s">
        <v>2947</v>
      </c>
      <c r="H296" s="8" t="s">
        <v>2948</v>
      </c>
      <c r="I296" s="8" t="s">
        <v>2949</v>
      </c>
      <c r="J296" s="8" t="s">
        <v>55</v>
      </c>
      <c r="K296" s="8" t="s">
        <v>56</v>
      </c>
      <c r="L296" s="7">
        <v>5.56995E7</v>
      </c>
      <c r="M296" s="8" t="s">
        <v>52</v>
      </c>
      <c r="N296" s="8" t="s">
        <v>174</v>
      </c>
      <c r="O296" s="8" t="s">
        <v>1203</v>
      </c>
      <c r="P296" s="32">
        <v>43843.0</v>
      </c>
      <c r="Q296" s="7">
        <f>VLOOKUP(G296,'CBs RAW'!$E$2:$P$427,12)</f>
        <v>2.75</v>
      </c>
      <c r="R296" s="32">
        <v>45304.0</v>
      </c>
      <c r="S296" s="8" t="s">
        <v>174</v>
      </c>
      <c r="T296" s="8" t="s">
        <v>54</v>
      </c>
      <c r="U296" s="8" t="s">
        <v>2950</v>
      </c>
      <c r="V296" s="8" t="s">
        <v>53</v>
      </c>
      <c r="W296" s="8" t="s">
        <v>2951</v>
      </c>
      <c r="X296" s="33">
        <f>VLOOKUP(G296,'CBs RAW'!$E$2:$W$427,19)</f>
        <v>2.553</v>
      </c>
      <c r="Y296" s="34">
        <f t="shared" si="1"/>
        <v>2.553</v>
      </c>
      <c r="Z296" s="4" t="str">
        <f t="shared" si="2"/>
        <v>Mota-Engil SGPS SAPUTABLEFIXEDEURSr Unsecured</v>
      </c>
      <c r="AB296" s="24"/>
    </row>
    <row r="297">
      <c r="A297" s="8">
        <v>296.0</v>
      </c>
      <c r="B297" s="8" t="s">
        <v>1199</v>
      </c>
      <c r="C297" s="8" t="s">
        <v>1202</v>
      </c>
      <c r="D297" s="8" t="s">
        <v>71</v>
      </c>
      <c r="E297" s="8" t="str">
        <f>VLOOKUP(G297,'CBs RAW'!$E$2:$H$427,4)</f>
        <v>#N/A N/A</v>
      </c>
      <c r="F297" s="8" t="s">
        <v>1203</v>
      </c>
      <c r="G297" s="8" t="s">
        <v>2952</v>
      </c>
      <c r="H297" s="8" t="s">
        <v>2953</v>
      </c>
      <c r="I297" s="8" t="s">
        <v>2954</v>
      </c>
      <c r="J297" s="8" t="s">
        <v>55</v>
      </c>
      <c r="K297" s="8" t="s">
        <v>56</v>
      </c>
      <c r="L297" s="7" t="s">
        <v>2955</v>
      </c>
      <c r="M297" s="8" t="s">
        <v>52</v>
      </c>
      <c r="N297" s="8" t="s">
        <v>174</v>
      </c>
      <c r="O297" s="8" t="s">
        <v>1203</v>
      </c>
      <c r="P297" s="32">
        <v>43768.0</v>
      </c>
      <c r="Q297" s="7">
        <f>VLOOKUP(G297,'CBs RAW'!$E$2:$P$427,12)</f>
        <v>4.375</v>
      </c>
      <c r="R297" s="32">
        <v>45595.0</v>
      </c>
      <c r="S297" s="8" t="s">
        <v>174</v>
      </c>
      <c r="T297" s="8" t="s">
        <v>54</v>
      </c>
      <c r="U297" s="8" t="s">
        <v>1206</v>
      </c>
      <c r="V297" s="8" t="s">
        <v>53</v>
      </c>
      <c r="W297" s="8" t="s">
        <v>2956</v>
      </c>
      <c r="X297" s="33" t="str">
        <f>VLOOKUP(G297,'CBs RAW'!$E$2:$W$427,19)</f>
        <v>#N/A N/A</v>
      </c>
      <c r="Y297" s="4" t="str">
        <f t="shared" si="1"/>
        <v>#N/A N/A</v>
      </c>
      <c r="Z297" s="4" t="str">
        <f t="shared" si="2"/>
        <v>Mota-Engil SGPS SASINKABLEFIXEDEURSr Unsecured</v>
      </c>
      <c r="AB297" s="24"/>
    </row>
    <row r="298">
      <c r="A298" s="8">
        <v>297.0</v>
      </c>
      <c r="B298" s="8" t="s">
        <v>947</v>
      </c>
      <c r="C298" s="8" t="s">
        <v>950</v>
      </c>
      <c r="D298" s="8" t="s">
        <v>57</v>
      </c>
      <c r="E298" s="8" t="str">
        <f>VLOOKUP(G298,'CBs RAW'!$E$2:$H$427,4)</f>
        <v>#N/A N/A</v>
      </c>
      <c r="F298" s="8" t="s">
        <v>367</v>
      </c>
      <c r="G298" s="8" t="s">
        <v>2957</v>
      </c>
      <c r="H298" s="8" t="s">
        <v>2958</v>
      </c>
      <c r="I298" s="8" t="s">
        <v>2959</v>
      </c>
      <c r="J298" s="8" t="s">
        <v>55</v>
      </c>
      <c r="K298" s="8" t="s">
        <v>56</v>
      </c>
      <c r="L298" s="7">
        <v>3.47565E8</v>
      </c>
      <c r="M298" s="8" t="s">
        <v>52</v>
      </c>
      <c r="N298" s="8" t="s">
        <v>1771</v>
      </c>
      <c r="O298" s="8" t="s">
        <v>367</v>
      </c>
      <c r="P298" s="32">
        <v>43389.0</v>
      </c>
      <c r="Q298" s="7">
        <f>VLOOKUP(G298,'CBs RAW'!$E$2:$P$427,12)</f>
        <v>1.375</v>
      </c>
      <c r="R298" s="32">
        <v>47042.0</v>
      </c>
      <c r="S298" s="8" t="s">
        <v>226</v>
      </c>
      <c r="T298" s="8" t="s">
        <v>1646</v>
      </c>
      <c r="U298" s="8" t="s">
        <v>115</v>
      </c>
      <c r="V298" s="8" t="s">
        <v>53</v>
      </c>
      <c r="W298" s="8" t="s">
        <v>2960</v>
      </c>
      <c r="X298" s="33">
        <f>VLOOKUP(G298,'CBs RAW'!$E$2:$W$427,19)</f>
        <v>1.337</v>
      </c>
      <c r="Y298" s="34">
        <f t="shared" si="1"/>
        <v>1.337</v>
      </c>
      <c r="Z298" s="4" t="str">
        <f t="shared" si="2"/>
        <v>Nederlandse Gasunie NVCALLABLEFIXEDEURSr Unsecured</v>
      </c>
      <c r="AB298" s="24"/>
    </row>
    <row r="299">
      <c r="A299" s="8">
        <v>298.0</v>
      </c>
      <c r="B299" s="8" t="s">
        <v>947</v>
      </c>
      <c r="C299" s="8" t="s">
        <v>950</v>
      </c>
      <c r="D299" s="8" t="s">
        <v>57</v>
      </c>
      <c r="E299" s="8" t="str">
        <f>VLOOKUP(G299,'CBs RAW'!$E$2:$H$427,4)</f>
        <v>#N/A N/A</v>
      </c>
      <c r="F299" s="8" t="s">
        <v>367</v>
      </c>
      <c r="G299" s="8" t="s">
        <v>2961</v>
      </c>
      <c r="H299" s="8" t="s">
        <v>2962</v>
      </c>
      <c r="I299" s="8" t="s">
        <v>2963</v>
      </c>
      <c r="J299" s="8" t="s">
        <v>55</v>
      </c>
      <c r="K299" s="8" t="s">
        <v>56</v>
      </c>
      <c r="L299" s="7">
        <v>7.43106E8</v>
      </c>
      <c r="M299" s="8" t="s">
        <v>52</v>
      </c>
      <c r="N299" s="8" t="s">
        <v>174</v>
      </c>
      <c r="O299" s="8" t="s">
        <v>367</v>
      </c>
      <c r="P299" s="32">
        <v>42501.0</v>
      </c>
      <c r="Q299" s="7">
        <f>VLOOKUP(G299,'CBs RAW'!$E$2:$P$427,12)</f>
        <v>1</v>
      </c>
      <c r="R299" s="32">
        <v>46153.0</v>
      </c>
      <c r="S299" s="8" t="s">
        <v>226</v>
      </c>
      <c r="T299" s="8" t="s">
        <v>1646</v>
      </c>
      <c r="U299" s="8" t="s">
        <v>115</v>
      </c>
      <c r="V299" s="8" t="s">
        <v>53</v>
      </c>
      <c r="W299" s="8" t="s">
        <v>2964</v>
      </c>
      <c r="X299" s="33">
        <f>VLOOKUP(G299,'CBs RAW'!$E$2:$W$427,19)</f>
        <v>0.918</v>
      </c>
      <c r="Y299" s="34">
        <f t="shared" si="1"/>
        <v>0.918</v>
      </c>
      <c r="Z299" s="4" t="str">
        <f t="shared" si="2"/>
        <v>Nederlandse Gasunie NVCALLABLEFIXEDEURSr Unsecured</v>
      </c>
      <c r="AB299" s="24"/>
    </row>
    <row r="300">
      <c r="A300" s="8">
        <v>299.0</v>
      </c>
      <c r="B300" s="8" t="s">
        <v>947</v>
      </c>
      <c r="C300" s="8" t="s">
        <v>950</v>
      </c>
      <c r="D300" s="8" t="s">
        <v>57</v>
      </c>
      <c r="E300" s="8" t="str">
        <f>VLOOKUP(G300,'CBs RAW'!$E$2:$H$427,4)</f>
        <v>#N/A N/A</v>
      </c>
      <c r="F300" s="8" t="s">
        <v>367</v>
      </c>
      <c r="G300" s="8" t="s">
        <v>2965</v>
      </c>
      <c r="H300" s="8" t="s">
        <v>2966</v>
      </c>
      <c r="I300" s="8" t="s">
        <v>2967</v>
      </c>
      <c r="J300" s="8" t="s">
        <v>55</v>
      </c>
      <c r="K300" s="8" t="s">
        <v>56</v>
      </c>
      <c r="L300" s="7">
        <v>5.4914E8</v>
      </c>
      <c r="M300" s="8" t="s">
        <v>52</v>
      </c>
      <c r="N300" s="8" t="s">
        <v>1771</v>
      </c>
      <c r="O300" s="8" t="s">
        <v>367</v>
      </c>
      <c r="P300" s="32">
        <v>43741.0</v>
      </c>
      <c r="Q300" s="7">
        <f>VLOOKUP(G300,'CBs RAW'!$E$2:$P$427,12)</f>
        <v>0.375</v>
      </c>
      <c r="R300" s="32">
        <v>48124.0</v>
      </c>
      <c r="S300" s="8" t="s">
        <v>226</v>
      </c>
      <c r="T300" s="8" t="s">
        <v>190</v>
      </c>
      <c r="U300" s="8" t="s">
        <v>115</v>
      </c>
      <c r="V300" s="8" t="s">
        <v>53</v>
      </c>
      <c r="W300" s="8" t="s">
        <v>2968</v>
      </c>
      <c r="X300" s="33">
        <f>VLOOKUP(G300,'CBs RAW'!$E$2:$W$427,19)</f>
        <v>0.36</v>
      </c>
      <c r="Y300" s="34">
        <f t="shared" si="1"/>
        <v>0.36</v>
      </c>
      <c r="Z300" s="4" t="str">
        <f t="shared" si="2"/>
        <v>Nederlandse Gasunie NVCALLABLEFIXEDEURSr Unsecured</v>
      </c>
      <c r="AB300" s="24"/>
    </row>
    <row r="301">
      <c r="A301" s="8">
        <v>300.0</v>
      </c>
      <c r="B301" s="8" t="s">
        <v>1640</v>
      </c>
      <c r="C301" s="8" t="s">
        <v>1643</v>
      </c>
      <c r="D301" s="8" t="s">
        <v>57</v>
      </c>
      <c r="E301" s="8" t="str">
        <f>VLOOKUP(G301,'CBs RAW'!$E$2:$H$427,4)</f>
        <v>#N/A N/A</v>
      </c>
      <c r="F301" s="8" t="s">
        <v>171</v>
      </c>
      <c r="G301" s="8" t="s">
        <v>2969</v>
      </c>
      <c r="H301" s="8" t="s">
        <v>2970</v>
      </c>
      <c r="I301" s="8" t="s">
        <v>2971</v>
      </c>
      <c r="J301" s="8" t="s">
        <v>55</v>
      </c>
      <c r="K301" s="8" t="s">
        <v>56</v>
      </c>
      <c r="L301" s="7">
        <v>6.41838E8</v>
      </c>
      <c r="M301" s="8" t="s">
        <v>52</v>
      </c>
      <c r="N301" s="8" t="s">
        <v>1771</v>
      </c>
      <c r="O301" s="8" t="s">
        <v>170</v>
      </c>
      <c r="P301" s="32">
        <v>42825.0</v>
      </c>
      <c r="Q301" s="7">
        <f>VLOOKUP(G301,'CBs RAW'!$E$2:$P$427,12)</f>
        <v>1.125</v>
      </c>
      <c r="R301" s="32">
        <v>46660.0</v>
      </c>
      <c r="S301" s="8" t="s">
        <v>174</v>
      </c>
      <c r="T301" s="8" t="s">
        <v>1646</v>
      </c>
      <c r="U301" s="8" t="s">
        <v>115</v>
      </c>
      <c r="V301" s="8" t="s">
        <v>53</v>
      </c>
      <c r="W301" s="8" t="s">
        <v>2972</v>
      </c>
      <c r="X301" s="33">
        <f>VLOOKUP(G301,'CBs RAW'!$E$2:$W$427,19)</f>
        <v>1.017</v>
      </c>
      <c r="Y301" s="34">
        <f t="shared" si="1"/>
        <v>1.017</v>
      </c>
      <c r="Z301" s="4" t="str">
        <f t="shared" si="2"/>
        <v>Novartis Finance SACALLABLEFIXEDEURSr Unsecured</v>
      </c>
      <c r="AB301" s="24"/>
    </row>
    <row r="302">
      <c r="A302" s="8">
        <v>301.0</v>
      </c>
      <c r="B302" s="8" t="s">
        <v>1640</v>
      </c>
      <c r="C302" s="8" t="s">
        <v>1643</v>
      </c>
      <c r="D302" s="8" t="s">
        <v>57</v>
      </c>
      <c r="E302" s="8" t="str">
        <f>VLOOKUP(G302,'CBs RAW'!$E$2:$H$427,4)</f>
        <v>#N/A N/A</v>
      </c>
      <c r="F302" s="8" t="s">
        <v>171</v>
      </c>
      <c r="G302" s="8" t="s">
        <v>2973</v>
      </c>
      <c r="H302" s="8" t="s">
        <v>2974</v>
      </c>
      <c r="I302" s="8" t="s">
        <v>2975</v>
      </c>
      <c r="J302" s="8" t="s">
        <v>55</v>
      </c>
      <c r="K302" s="8" t="s">
        <v>56</v>
      </c>
      <c r="L302" s="7">
        <v>9.313425E8</v>
      </c>
      <c r="M302" s="8" t="s">
        <v>52</v>
      </c>
      <c r="N302" s="8" t="s">
        <v>1771</v>
      </c>
      <c r="O302" s="8" t="s">
        <v>170</v>
      </c>
      <c r="P302" s="32">
        <v>43145.0</v>
      </c>
      <c r="Q302" s="7">
        <f>VLOOKUP(G302,'CBs RAW'!$E$2:$P$427,12)</f>
        <v>0.5</v>
      </c>
      <c r="R302" s="32">
        <v>45152.0</v>
      </c>
      <c r="S302" s="8" t="s">
        <v>174</v>
      </c>
      <c r="T302" s="8" t="s">
        <v>1646</v>
      </c>
      <c r="U302" s="8" t="s">
        <v>115</v>
      </c>
      <c r="V302" s="8" t="s">
        <v>53</v>
      </c>
      <c r="W302" s="8" t="s">
        <v>2976</v>
      </c>
      <c r="X302" s="33">
        <f>VLOOKUP(G302,'CBs RAW'!$E$2:$W$427,19)</f>
        <v>0.599</v>
      </c>
      <c r="Y302" s="34">
        <f t="shared" si="1"/>
        <v>0.599</v>
      </c>
      <c r="Z302" s="4" t="str">
        <f t="shared" si="2"/>
        <v>Novartis Finance SACALLABLEFIXEDEURSr Unsecured</v>
      </c>
      <c r="AB302" s="24"/>
    </row>
    <row r="303">
      <c r="A303" s="8">
        <v>302.0</v>
      </c>
      <c r="B303" s="8" t="s">
        <v>1640</v>
      </c>
      <c r="C303" s="8" t="s">
        <v>1643</v>
      </c>
      <c r="D303" s="8" t="s">
        <v>57</v>
      </c>
      <c r="E303" s="8" t="str">
        <f>VLOOKUP(G303,'CBs RAW'!$E$2:$H$427,4)</f>
        <v>#N/A N/A</v>
      </c>
      <c r="F303" s="8" t="s">
        <v>171</v>
      </c>
      <c r="G303" s="8" t="s">
        <v>2977</v>
      </c>
      <c r="H303" s="8" t="s">
        <v>2978</v>
      </c>
      <c r="I303" s="8" t="s">
        <v>2979</v>
      </c>
      <c r="J303" s="8" t="s">
        <v>55</v>
      </c>
      <c r="K303" s="8" t="s">
        <v>56</v>
      </c>
      <c r="L303" s="7">
        <v>9.313425E8</v>
      </c>
      <c r="M303" s="8" t="s">
        <v>52</v>
      </c>
      <c r="N303" s="8" t="s">
        <v>1771</v>
      </c>
      <c r="O303" s="8" t="s">
        <v>170</v>
      </c>
      <c r="P303" s="32">
        <v>43145.0</v>
      </c>
      <c r="Q303" s="7">
        <f>VLOOKUP(G303,'CBs RAW'!$E$2:$P$427,12)</f>
        <v>1.375</v>
      </c>
      <c r="R303" s="32">
        <v>47709.0</v>
      </c>
      <c r="S303" s="8" t="s">
        <v>174</v>
      </c>
      <c r="T303" s="8" t="s">
        <v>1646</v>
      </c>
      <c r="U303" s="8" t="s">
        <v>115</v>
      </c>
      <c r="V303" s="8" t="s">
        <v>53</v>
      </c>
      <c r="W303" s="8" t="s">
        <v>2980</v>
      </c>
      <c r="X303" s="33">
        <f>VLOOKUP(G303,'CBs RAW'!$E$2:$W$427,19)</f>
        <v>1.445</v>
      </c>
      <c r="Y303" s="34">
        <f t="shared" si="1"/>
        <v>1.445</v>
      </c>
      <c r="Z303" s="4" t="str">
        <f t="shared" si="2"/>
        <v>Novartis Finance SACALLABLEFIXEDEURSr Unsecured</v>
      </c>
      <c r="AB303" s="24"/>
    </row>
    <row r="304">
      <c r="A304" s="8">
        <v>303.0</v>
      </c>
      <c r="B304" s="8" t="s">
        <v>1640</v>
      </c>
      <c r="C304" s="8" t="s">
        <v>1643</v>
      </c>
      <c r="D304" s="8" t="s">
        <v>57</v>
      </c>
      <c r="E304" s="8" t="str">
        <f>VLOOKUP(G304,'CBs RAW'!$E$2:$H$427,4)</f>
        <v>#N/A N/A</v>
      </c>
      <c r="F304" s="8" t="s">
        <v>171</v>
      </c>
      <c r="G304" s="8" t="s">
        <v>2981</v>
      </c>
      <c r="H304" s="8" t="s">
        <v>2982</v>
      </c>
      <c r="I304" s="8" t="s">
        <v>2983</v>
      </c>
      <c r="J304" s="8" t="s">
        <v>55</v>
      </c>
      <c r="K304" s="8" t="s">
        <v>56</v>
      </c>
      <c r="L304" s="7">
        <v>9.313425E8</v>
      </c>
      <c r="M304" s="8" t="s">
        <v>52</v>
      </c>
      <c r="N304" s="8" t="s">
        <v>1771</v>
      </c>
      <c r="O304" s="8" t="s">
        <v>170</v>
      </c>
      <c r="P304" s="32">
        <v>43145.0</v>
      </c>
      <c r="Q304" s="7">
        <f>VLOOKUP(G304,'CBs RAW'!$E$2:$P$427,12)</f>
        <v>1.7</v>
      </c>
      <c r="R304" s="32">
        <v>50631.0</v>
      </c>
      <c r="S304" s="8" t="s">
        <v>174</v>
      </c>
      <c r="T304" s="8" t="s">
        <v>1646</v>
      </c>
      <c r="U304" s="8" t="s">
        <v>115</v>
      </c>
      <c r="V304" s="8" t="s">
        <v>53</v>
      </c>
      <c r="W304" s="8" t="s">
        <v>2984</v>
      </c>
      <c r="X304" s="33">
        <f>VLOOKUP(G304,'CBs RAW'!$E$2:$W$427,19)</f>
        <v>1.827</v>
      </c>
      <c r="Y304" s="34">
        <f t="shared" si="1"/>
        <v>1.827</v>
      </c>
      <c r="Z304" s="4" t="str">
        <f t="shared" si="2"/>
        <v>Novartis Finance SACALLABLEFIXEDEURSr Unsecured</v>
      </c>
      <c r="AB304" s="24"/>
    </row>
    <row r="305">
      <c r="A305" s="8">
        <v>304.0</v>
      </c>
      <c r="B305" s="8" t="s">
        <v>1640</v>
      </c>
      <c r="C305" s="8" t="s">
        <v>1643</v>
      </c>
      <c r="D305" s="8" t="s">
        <v>57</v>
      </c>
      <c r="E305" s="8">
        <f>VLOOKUP(G305,'CBs RAW'!$E$2:$H$427,4)</f>
        <v>1.653</v>
      </c>
      <c r="F305" s="8" t="s">
        <v>171</v>
      </c>
      <c r="G305" s="8" t="s">
        <v>2985</v>
      </c>
      <c r="H305" s="8" t="s">
        <v>2986</v>
      </c>
      <c r="I305" s="8" t="s">
        <v>2987</v>
      </c>
      <c r="J305" s="8" t="s">
        <v>55</v>
      </c>
      <c r="K305" s="8" t="s">
        <v>56</v>
      </c>
      <c r="L305" s="7">
        <v>7.45968E8</v>
      </c>
      <c r="M305" s="8" t="s">
        <v>52</v>
      </c>
      <c r="N305" s="8" t="s">
        <v>1771</v>
      </c>
      <c r="O305" s="8" t="s">
        <v>170</v>
      </c>
      <c r="P305" s="32">
        <v>41950.0</v>
      </c>
      <c r="Q305" s="7">
        <f>VLOOKUP(G305,'CBs RAW'!$E$2:$P$427,12)</f>
        <v>1.625</v>
      </c>
      <c r="R305" s="32">
        <v>46335.0</v>
      </c>
      <c r="S305" s="8" t="s">
        <v>174</v>
      </c>
      <c r="T305" s="8" t="s">
        <v>1646</v>
      </c>
      <c r="U305" s="8" t="s">
        <v>49</v>
      </c>
      <c r="V305" s="8" t="s">
        <v>53</v>
      </c>
      <c r="W305" s="8" t="s">
        <v>2988</v>
      </c>
      <c r="X305" s="33">
        <f>VLOOKUP(G305,'CBs RAW'!$E$2:$W$427,19)</f>
        <v>1.471</v>
      </c>
      <c r="Y305" s="34">
        <f t="shared" si="1"/>
        <v>1.471</v>
      </c>
      <c r="Z305" s="4" t="str">
        <f t="shared" si="2"/>
        <v>Novartis Finance SAAT MATURITYFIXEDEURSr Unsecured</v>
      </c>
      <c r="AB305" s="24"/>
    </row>
    <row r="306">
      <c r="A306" s="8">
        <v>305.0</v>
      </c>
      <c r="B306" s="8" t="s">
        <v>1640</v>
      </c>
      <c r="C306" s="8" t="s">
        <v>1643</v>
      </c>
      <c r="D306" s="8" t="s">
        <v>57</v>
      </c>
      <c r="E306" s="8" t="str">
        <f>VLOOKUP(G306,'CBs RAW'!$E$2:$H$427,4)</f>
        <v>#N/A N/A</v>
      </c>
      <c r="F306" s="8" t="s">
        <v>171</v>
      </c>
      <c r="G306" s="8" t="s">
        <v>2989</v>
      </c>
      <c r="H306" s="8" t="s">
        <v>2990</v>
      </c>
      <c r="I306" s="8" t="s">
        <v>2991</v>
      </c>
      <c r="J306" s="8" t="s">
        <v>55</v>
      </c>
      <c r="K306" s="8" t="s">
        <v>56</v>
      </c>
      <c r="L306" s="7">
        <v>1.3955625E9</v>
      </c>
      <c r="M306" s="8" t="s">
        <v>52</v>
      </c>
      <c r="N306" s="8" t="s">
        <v>174</v>
      </c>
      <c r="O306" s="8" t="s">
        <v>170</v>
      </c>
      <c r="P306" s="32">
        <v>42633.0</v>
      </c>
      <c r="Q306" s="7">
        <f>VLOOKUP(G306,'CBs RAW'!$E$2:$P$427,12)</f>
        <v>0.125</v>
      </c>
      <c r="R306" s="32">
        <v>45189.0</v>
      </c>
      <c r="S306" s="8" t="s">
        <v>174</v>
      </c>
      <c r="T306" s="8" t="s">
        <v>1646</v>
      </c>
      <c r="U306" s="8" t="s">
        <v>49</v>
      </c>
      <c r="V306" s="8" t="s">
        <v>53</v>
      </c>
      <c r="W306" s="8" t="s">
        <v>2992</v>
      </c>
      <c r="X306" s="33">
        <f>VLOOKUP(G306,'CBs RAW'!$E$2:$W$427,19)</f>
        <v>0.182</v>
      </c>
      <c r="Y306" s="34">
        <f t="shared" si="1"/>
        <v>0.182</v>
      </c>
      <c r="Z306" s="4" t="str">
        <f t="shared" si="2"/>
        <v>Novartis Finance SAAT MATURITYFIXEDEURSr Unsecured</v>
      </c>
      <c r="AB306" s="24"/>
    </row>
    <row r="307">
      <c r="A307" s="8">
        <v>306.0</v>
      </c>
      <c r="B307" s="8" t="s">
        <v>1640</v>
      </c>
      <c r="C307" s="8" t="s">
        <v>1643</v>
      </c>
      <c r="D307" s="8" t="s">
        <v>57</v>
      </c>
      <c r="E307" s="8" t="str">
        <f>VLOOKUP(G307,'CBs RAW'!$E$2:$H$427,4)</f>
        <v>#N/A N/A</v>
      </c>
      <c r="F307" s="8" t="s">
        <v>171</v>
      </c>
      <c r="G307" s="8" t="s">
        <v>2993</v>
      </c>
      <c r="H307" s="8" t="s">
        <v>2994</v>
      </c>
      <c r="I307" s="8" t="s">
        <v>2995</v>
      </c>
      <c r="J307" s="8" t="s">
        <v>55</v>
      </c>
      <c r="K307" s="8" t="s">
        <v>56</v>
      </c>
      <c r="L307" s="7">
        <v>5.58225E8</v>
      </c>
      <c r="M307" s="8" t="s">
        <v>52</v>
      </c>
      <c r="N307" s="8" t="s">
        <v>174</v>
      </c>
      <c r="O307" s="8" t="s">
        <v>170</v>
      </c>
      <c r="P307" s="32">
        <v>42633.0</v>
      </c>
      <c r="Q307" s="7">
        <f>VLOOKUP(G307,'CBs RAW'!$E$2:$P$427,12)</f>
        <v>0.625</v>
      </c>
      <c r="R307" s="32">
        <v>47016.0</v>
      </c>
      <c r="S307" s="8" t="s">
        <v>174</v>
      </c>
      <c r="T307" s="8" t="s">
        <v>1646</v>
      </c>
      <c r="U307" s="8" t="s">
        <v>49</v>
      </c>
      <c r="V307" s="8" t="s">
        <v>53</v>
      </c>
      <c r="W307" s="8" t="s">
        <v>2996</v>
      </c>
      <c r="X307" s="33">
        <f>VLOOKUP(G307,'CBs RAW'!$E$2:$W$427,19)</f>
        <v>0.666</v>
      </c>
      <c r="Y307" s="34">
        <f t="shared" si="1"/>
        <v>0.666</v>
      </c>
      <c r="Z307" s="4" t="str">
        <f t="shared" si="2"/>
        <v>Novartis Finance SAAT MATURITYFIXEDEURSr Unsecured</v>
      </c>
      <c r="AB307" s="24"/>
    </row>
    <row r="308">
      <c r="A308" s="8">
        <v>307.0</v>
      </c>
      <c r="B308" s="8" t="s">
        <v>1526</v>
      </c>
      <c r="C308" s="8" t="s">
        <v>1529</v>
      </c>
      <c r="D308" s="8" t="s">
        <v>57</v>
      </c>
      <c r="E308" s="8" t="str">
        <f>VLOOKUP(G308,'CBs RAW'!$E$2:$H$427,4)</f>
        <v>#N/A N/A</v>
      </c>
      <c r="F308" s="8" t="s">
        <v>185</v>
      </c>
      <c r="G308" s="8" t="s">
        <v>2997</v>
      </c>
      <c r="H308" s="8" t="s">
        <v>2998</v>
      </c>
      <c r="I308" s="8" t="s">
        <v>2999</v>
      </c>
      <c r="J308" s="8" t="s">
        <v>421</v>
      </c>
      <c r="K308" s="8" t="s">
        <v>56</v>
      </c>
      <c r="L308" s="7">
        <v>1.0802E9</v>
      </c>
      <c r="M308" s="8" t="s">
        <v>52</v>
      </c>
      <c r="N308" s="8" t="s">
        <v>1771</v>
      </c>
      <c r="O308" s="8" t="s">
        <v>185</v>
      </c>
      <c r="P308" s="32">
        <v>43927.0</v>
      </c>
      <c r="Q308" s="7">
        <f>VLOOKUP(G308,'CBs RAW'!$E$2:$P$427,12)</f>
        <v>1.125</v>
      </c>
      <c r="R308" s="32">
        <v>45754.0</v>
      </c>
      <c r="S308" s="8" t="s">
        <v>174</v>
      </c>
      <c r="T308" s="8" t="s">
        <v>620</v>
      </c>
      <c r="U308" s="8" t="s">
        <v>115</v>
      </c>
      <c r="V308" s="8" t="s">
        <v>53</v>
      </c>
      <c r="W308" s="8" t="s">
        <v>3000</v>
      </c>
      <c r="X308" s="33">
        <f>VLOOKUP(G308,'CBs RAW'!$E$2:$W$427,19)</f>
        <v>1.142</v>
      </c>
      <c r="Y308" s="34">
        <f t="shared" si="1"/>
        <v>1.142</v>
      </c>
      <c r="Z308" s="4" t="str">
        <f t="shared" si="2"/>
        <v>Pernod Ricard SACALLABLEFIXEDEURSr Unsecured</v>
      </c>
      <c r="AB308" s="24"/>
    </row>
    <row r="309">
      <c r="A309" s="8">
        <v>308.0</v>
      </c>
      <c r="B309" s="8" t="s">
        <v>1526</v>
      </c>
      <c r="C309" s="8" t="s">
        <v>1529</v>
      </c>
      <c r="D309" s="8" t="s">
        <v>57</v>
      </c>
      <c r="E309" s="8" t="str">
        <f>VLOOKUP(G309,'CBs RAW'!$E$2:$H$427,4)</f>
        <v>#N/A N/A</v>
      </c>
      <c r="F309" s="8" t="s">
        <v>185</v>
      </c>
      <c r="G309" s="8" t="s">
        <v>3001</v>
      </c>
      <c r="H309" s="8" t="s">
        <v>3002</v>
      </c>
      <c r="I309" s="8" t="s">
        <v>3003</v>
      </c>
      <c r="J309" s="8" t="s">
        <v>421</v>
      </c>
      <c r="K309" s="8" t="s">
        <v>56</v>
      </c>
      <c r="L309" s="7">
        <v>1.0802E9</v>
      </c>
      <c r="M309" s="8" t="s">
        <v>52</v>
      </c>
      <c r="N309" s="8" t="s">
        <v>1771</v>
      </c>
      <c r="O309" s="8" t="s">
        <v>185</v>
      </c>
      <c r="P309" s="32">
        <v>43927.0</v>
      </c>
      <c r="Q309" s="7">
        <f>VLOOKUP(G309,'CBs RAW'!$E$2:$P$427,12)</f>
        <v>1.75</v>
      </c>
      <c r="R309" s="32">
        <v>47581.0</v>
      </c>
      <c r="S309" s="8" t="s">
        <v>174</v>
      </c>
      <c r="T309" s="8" t="s">
        <v>620</v>
      </c>
      <c r="U309" s="8" t="s">
        <v>115</v>
      </c>
      <c r="V309" s="8" t="s">
        <v>53</v>
      </c>
      <c r="W309" s="8" t="s">
        <v>3004</v>
      </c>
      <c r="X309" s="33">
        <f>VLOOKUP(G309,'CBs RAW'!$E$2:$W$427,19)</f>
        <v>1.752</v>
      </c>
      <c r="Y309" s="34">
        <f t="shared" si="1"/>
        <v>1.752</v>
      </c>
      <c r="Z309" s="4" t="str">
        <f t="shared" si="2"/>
        <v>Pernod Ricard SACALLABLEFIXEDEURSr Unsecured</v>
      </c>
      <c r="AB309" s="24"/>
    </row>
    <row r="310">
      <c r="A310" s="8">
        <v>309.0</v>
      </c>
      <c r="B310" s="8" t="s">
        <v>1526</v>
      </c>
      <c r="C310" s="8" t="s">
        <v>1529</v>
      </c>
      <c r="D310" s="8" t="s">
        <v>57</v>
      </c>
      <c r="E310" s="8" t="str">
        <f>VLOOKUP(G310,'CBs RAW'!$E$2:$H$427,4)</f>
        <v>#N/A N/A</v>
      </c>
      <c r="F310" s="8" t="s">
        <v>185</v>
      </c>
      <c r="G310" s="8" t="s">
        <v>3005</v>
      </c>
      <c r="H310" s="8" t="s">
        <v>3006</v>
      </c>
      <c r="I310" s="8" t="s">
        <v>3007</v>
      </c>
      <c r="J310" s="8" t="s">
        <v>421</v>
      </c>
      <c r="K310" s="8" t="s">
        <v>56</v>
      </c>
      <c r="L310" s="7">
        <v>5.8095E8</v>
      </c>
      <c r="M310" s="8" t="s">
        <v>52</v>
      </c>
      <c r="N310" s="8" t="s">
        <v>1776</v>
      </c>
      <c r="O310" s="8" t="s">
        <v>185</v>
      </c>
      <c r="P310" s="32">
        <v>44473.0</v>
      </c>
      <c r="Q310" s="7">
        <f>VLOOKUP(G310,'CBs RAW'!$E$2:$P$427,12)</f>
        <v>0.125</v>
      </c>
      <c r="R310" s="32">
        <v>47395.0</v>
      </c>
      <c r="S310" s="8" t="s">
        <v>3008</v>
      </c>
      <c r="T310" s="8" t="s">
        <v>620</v>
      </c>
      <c r="U310" s="8" t="s">
        <v>115</v>
      </c>
      <c r="V310" s="8" t="s">
        <v>53</v>
      </c>
      <c r="W310" s="8" t="s">
        <v>3009</v>
      </c>
      <c r="X310" s="33">
        <f>VLOOKUP(G310,'CBs RAW'!$E$2:$W$427,19)</f>
        <v>0.295</v>
      </c>
      <c r="Y310" s="34">
        <f t="shared" si="1"/>
        <v>0.295</v>
      </c>
      <c r="Z310" s="4" t="str">
        <f t="shared" si="2"/>
        <v>Pernod Ricard SACALLABLEFIXEDEURSr Unsecured</v>
      </c>
      <c r="AB310" s="24"/>
    </row>
    <row r="311">
      <c r="A311" s="8">
        <v>310.0</v>
      </c>
      <c r="B311" s="8" t="s">
        <v>1526</v>
      </c>
      <c r="C311" s="8" t="s">
        <v>1529</v>
      </c>
      <c r="D311" s="8" t="s">
        <v>57</v>
      </c>
      <c r="E311" s="8" t="str">
        <f>VLOOKUP(G311,'CBs RAW'!$E$2:$H$427,4)</f>
        <v>#N/A N/A</v>
      </c>
      <c r="F311" s="8" t="s">
        <v>185</v>
      </c>
      <c r="G311" s="8" t="s">
        <v>3010</v>
      </c>
      <c r="H311" s="8" t="s">
        <v>3011</v>
      </c>
      <c r="I311" s="8" t="s">
        <v>3012</v>
      </c>
      <c r="J311" s="8" t="s">
        <v>421</v>
      </c>
      <c r="K311" s="8" t="s">
        <v>56</v>
      </c>
      <c r="L311" s="7">
        <v>8.25331E8</v>
      </c>
      <c r="M311" s="8" t="s">
        <v>52</v>
      </c>
      <c r="N311" s="8" t="s">
        <v>1771</v>
      </c>
      <c r="O311" s="8" t="s">
        <v>185</v>
      </c>
      <c r="P311" s="32">
        <v>41911.0</v>
      </c>
      <c r="Q311" s="7">
        <f>VLOOKUP(G311,'CBs RAW'!$E$2:$P$427,12)</f>
        <v>2.125</v>
      </c>
      <c r="R311" s="32">
        <v>45562.0</v>
      </c>
      <c r="S311" s="8" t="s">
        <v>174</v>
      </c>
      <c r="T311" s="8" t="s">
        <v>620</v>
      </c>
      <c r="U311" s="8" t="s">
        <v>115</v>
      </c>
      <c r="V311" s="8" t="s">
        <v>53</v>
      </c>
      <c r="W311" s="8" t="s">
        <v>3013</v>
      </c>
      <c r="X311" s="33">
        <f>VLOOKUP(G311,'CBs RAW'!$E$2:$W$427,19)</f>
        <v>2.027</v>
      </c>
      <c r="Y311" s="34">
        <f t="shared" si="1"/>
        <v>2.027</v>
      </c>
      <c r="Z311" s="4" t="str">
        <f t="shared" si="2"/>
        <v>Pernod Ricard SACALLABLEFIXEDEURSr Unsecured</v>
      </c>
      <c r="AB311" s="24"/>
    </row>
    <row r="312">
      <c r="A312" s="8">
        <v>311.0</v>
      </c>
      <c r="B312" s="8" t="s">
        <v>1526</v>
      </c>
      <c r="C312" s="8" t="s">
        <v>1529</v>
      </c>
      <c r="D312" s="8" t="s">
        <v>57</v>
      </c>
      <c r="E312" s="8" t="str">
        <f>VLOOKUP(G312,'CBs RAW'!$E$2:$H$427,4)</f>
        <v>#N/A N/A</v>
      </c>
      <c r="F312" s="8" t="s">
        <v>185</v>
      </c>
      <c r="G312" s="8" t="s">
        <v>3014</v>
      </c>
      <c r="H312" s="8" t="s">
        <v>3015</v>
      </c>
      <c r="I312" s="8" t="s">
        <v>3016</v>
      </c>
      <c r="J312" s="8" t="s">
        <v>421</v>
      </c>
      <c r="K312" s="8" t="s">
        <v>56</v>
      </c>
      <c r="L312" s="7">
        <v>6.79902E8</v>
      </c>
      <c r="M312" s="8" t="s">
        <v>52</v>
      </c>
      <c r="N312" s="8" t="s">
        <v>1771</v>
      </c>
      <c r="O312" s="8" t="s">
        <v>185</v>
      </c>
      <c r="P312" s="32">
        <v>42507.0</v>
      </c>
      <c r="Q312" s="7">
        <f>VLOOKUP(G312,'CBs RAW'!$E$2:$P$427,12)</f>
        <v>1.5</v>
      </c>
      <c r="R312" s="32">
        <v>46160.0</v>
      </c>
      <c r="S312" s="8" t="s">
        <v>174</v>
      </c>
      <c r="T312" s="8" t="s">
        <v>620</v>
      </c>
      <c r="U312" s="8" t="s">
        <v>115</v>
      </c>
      <c r="V312" s="8" t="s">
        <v>53</v>
      </c>
      <c r="W312" s="8" t="s">
        <v>3017</v>
      </c>
      <c r="X312" s="33">
        <f>VLOOKUP(G312,'CBs RAW'!$E$2:$W$427,19)</f>
        <v>1.492</v>
      </c>
      <c r="Y312" s="34">
        <f t="shared" si="1"/>
        <v>1.492</v>
      </c>
      <c r="Z312" s="4" t="str">
        <f t="shared" si="2"/>
        <v>Pernod Ricard SACALLABLEFIXEDEURSr Unsecured</v>
      </c>
      <c r="AB312" s="24"/>
    </row>
    <row r="313">
      <c r="A313" s="8">
        <v>312.0</v>
      </c>
      <c r="B313" s="8" t="s">
        <v>1526</v>
      </c>
      <c r="C313" s="8" t="s">
        <v>1529</v>
      </c>
      <c r="D313" s="8" t="s">
        <v>71</v>
      </c>
      <c r="E313" s="8">
        <f>VLOOKUP(G313,'CBs RAW'!$E$2:$H$427,4)</f>
        <v>3.316</v>
      </c>
      <c r="F313" s="8" t="s">
        <v>185</v>
      </c>
      <c r="G313" s="8" t="s">
        <v>3018</v>
      </c>
      <c r="H313" s="8" t="s">
        <v>3019</v>
      </c>
      <c r="I313" s="8" t="s">
        <v>3020</v>
      </c>
      <c r="J313" s="8" t="s">
        <v>421</v>
      </c>
      <c r="K313" s="8" t="s">
        <v>56</v>
      </c>
      <c r="L313" s="7">
        <v>6.0E8</v>
      </c>
      <c r="M313" s="8" t="s">
        <v>52</v>
      </c>
      <c r="N313" s="8" t="s">
        <v>1771</v>
      </c>
      <c r="O313" s="8" t="s">
        <v>185</v>
      </c>
      <c r="P313" s="32">
        <v>42529.0</v>
      </c>
      <c r="Q313" s="7">
        <f>VLOOKUP(G313,'CBs RAW'!$E$2:$P$427,12)</f>
        <v>3.25</v>
      </c>
      <c r="R313" s="32">
        <v>46181.0</v>
      </c>
      <c r="S313" s="8" t="s">
        <v>262</v>
      </c>
      <c r="T313" s="8" t="s">
        <v>620</v>
      </c>
      <c r="U313" s="8" t="s">
        <v>115</v>
      </c>
      <c r="V313" s="8" t="s">
        <v>263</v>
      </c>
      <c r="W313" s="8" t="s">
        <v>3021</v>
      </c>
      <c r="X313" s="33">
        <f>VLOOKUP(G313,'CBs RAW'!$E$2:$W$427,19)</f>
        <v>3.117</v>
      </c>
      <c r="Y313" s="34">
        <f t="shared" si="1"/>
        <v>3.117</v>
      </c>
      <c r="Z313" s="4" t="str">
        <f t="shared" si="2"/>
        <v>Pernod Ricard SACALLABLEFIXEDUSDSr Unsecured</v>
      </c>
      <c r="AB313" s="24"/>
    </row>
    <row r="314">
      <c r="A314" s="8">
        <v>313.0</v>
      </c>
      <c r="B314" s="8" t="s">
        <v>1526</v>
      </c>
      <c r="C314" s="8" t="s">
        <v>1529</v>
      </c>
      <c r="D314" s="8" t="s">
        <v>71</v>
      </c>
      <c r="E314" s="8">
        <f>VLOOKUP(G314,'CBs RAW'!$E$2:$H$427,4)</f>
        <v>3.316</v>
      </c>
      <c r="F314" s="8" t="s">
        <v>185</v>
      </c>
      <c r="G314" s="8" t="s">
        <v>3022</v>
      </c>
      <c r="H314" s="8" t="s">
        <v>3023</v>
      </c>
      <c r="I314" s="8" t="s">
        <v>3024</v>
      </c>
      <c r="J314" s="8" t="s">
        <v>421</v>
      </c>
      <c r="K314" s="8" t="s">
        <v>56</v>
      </c>
      <c r="L314" s="7">
        <v>6.0E8</v>
      </c>
      <c r="M314" s="8" t="s">
        <v>52</v>
      </c>
      <c r="N314" s="8" t="s">
        <v>1771</v>
      </c>
      <c r="O314" s="8" t="s">
        <v>185</v>
      </c>
      <c r="P314" s="32">
        <v>42529.0</v>
      </c>
      <c r="Q314" s="7">
        <f>VLOOKUP(G314,'CBs RAW'!$E$2:$P$427,12)</f>
        <v>3.25</v>
      </c>
      <c r="R314" s="32">
        <v>46181.0</v>
      </c>
      <c r="S314" s="8" t="s">
        <v>271</v>
      </c>
      <c r="T314" s="8" t="s">
        <v>620</v>
      </c>
      <c r="U314" s="8" t="s">
        <v>115</v>
      </c>
      <c r="V314" s="8" t="s">
        <v>263</v>
      </c>
      <c r="W314" s="8" t="s">
        <v>3025</v>
      </c>
      <c r="X314" s="33">
        <f>VLOOKUP(G314,'CBs RAW'!$E$2:$W$427,19)</f>
        <v>3.121</v>
      </c>
      <c r="Y314" s="34">
        <f t="shared" si="1"/>
        <v>3.121</v>
      </c>
      <c r="Z314" s="4" t="str">
        <f t="shared" si="2"/>
        <v>Pernod Ricard SACALLABLEFIXEDUSDSr Unsecured</v>
      </c>
      <c r="AB314" s="24"/>
    </row>
    <row r="315">
      <c r="A315" s="8">
        <v>314.0</v>
      </c>
      <c r="B315" s="8" t="s">
        <v>1526</v>
      </c>
      <c r="C315" s="8" t="s">
        <v>1529</v>
      </c>
      <c r="D315" s="8" t="s">
        <v>57</v>
      </c>
      <c r="E315" s="8" t="str">
        <f>VLOOKUP(G315,'CBs RAW'!$E$2:$H$427,4)</f>
        <v>#N/A N/A</v>
      </c>
      <c r="F315" s="8" t="s">
        <v>185</v>
      </c>
      <c r="G315" s="8" t="s">
        <v>3026</v>
      </c>
      <c r="H315" s="8" t="s">
        <v>3027</v>
      </c>
      <c r="I315" s="8" t="s">
        <v>3028</v>
      </c>
      <c r="J315" s="8" t="s">
        <v>421</v>
      </c>
      <c r="K315" s="8" t="s">
        <v>56</v>
      </c>
      <c r="L315" s="7">
        <v>5.6189E8</v>
      </c>
      <c r="M315" s="8" t="s">
        <v>52</v>
      </c>
      <c r="N315" s="8" t="s">
        <v>1771</v>
      </c>
      <c r="O315" s="8" t="s">
        <v>185</v>
      </c>
      <c r="P315" s="32">
        <v>42275.0</v>
      </c>
      <c r="Q315" s="7">
        <f>VLOOKUP(G315,'CBs RAW'!$E$2:$P$427,12)</f>
        <v>1.875</v>
      </c>
      <c r="R315" s="32">
        <v>45197.0</v>
      </c>
      <c r="S315" s="8" t="s">
        <v>174</v>
      </c>
      <c r="T315" s="8" t="s">
        <v>190</v>
      </c>
      <c r="U315" s="8" t="s">
        <v>115</v>
      </c>
      <c r="V315" s="8" t="s">
        <v>53</v>
      </c>
      <c r="W315" s="8" t="s">
        <v>3029</v>
      </c>
      <c r="X315" s="33">
        <f>VLOOKUP(G315,'CBs RAW'!$E$2:$W$427,19)</f>
        <v>1.89</v>
      </c>
      <c r="Y315" s="34">
        <f t="shared" si="1"/>
        <v>1.89</v>
      </c>
      <c r="Z315" s="4" t="str">
        <f t="shared" si="2"/>
        <v>Pernod Ricard SACALLABLEFIXEDEURSr Unsecured</v>
      </c>
      <c r="AB315" s="24"/>
    </row>
    <row r="316">
      <c r="A316" s="8">
        <v>315.0</v>
      </c>
      <c r="B316" s="8" t="s">
        <v>1526</v>
      </c>
      <c r="C316" s="8" t="s">
        <v>1529</v>
      </c>
      <c r="D316" s="8" t="s">
        <v>57</v>
      </c>
      <c r="E316" s="8" t="str">
        <f>VLOOKUP(G316,'CBs RAW'!$E$2:$H$427,4)</f>
        <v>#N/A N/A</v>
      </c>
      <c r="F316" s="8" t="s">
        <v>185</v>
      </c>
      <c r="G316" s="8" t="s">
        <v>3030</v>
      </c>
      <c r="H316" s="8" t="s">
        <v>3031</v>
      </c>
      <c r="I316" s="8" t="s">
        <v>3032</v>
      </c>
      <c r="J316" s="8" t="s">
        <v>421</v>
      </c>
      <c r="K316" s="8" t="s">
        <v>56</v>
      </c>
      <c r="L316" s="7">
        <v>5.5534E8</v>
      </c>
      <c r="M316" s="8" t="s">
        <v>52</v>
      </c>
      <c r="N316" s="8" t="s">
        <v>1771</v>
      </c>
      <c r="O316" s="8" t="s">
        <v>185</v>
      </c>
      <c r="P316" s="32">
        <v>43762.0</v>
      </c>
      <c r="Q316" s="7">
        <f>VLOOKUP(G316,'CBs RAW'!$E$2:$P$427,12)</f>
        <v>0</v>
      </c>
      <c r="R316" s="32">
        <v>45223.0</v>
      </c>
      <c r="S316" s="8" t="s">
        <v>174</v>
      </c>
      <c r="T316" s="8" t="s">
        <v>620</v>
      </c>
      <c r="U316" s="8" t="s">
        <v>115</v>
      </c>
      <c r="V316" s="8" t="s">
        <v>53</v>
      </c>
      <c r="W316" s="8" t="s">
        <v>3033</v>
      </c>
      <c r="X316" s="33">
        <f>VLOOKUP(G316,'CBs RAW'!$E$2:$W$427,19)</f>
        <v>-0.073</v>
      </c>
      <c r="Y316" s="34">
        <f t="shared" si="1"/>
        <v>-0.073</v>
      </c>
      <c r="Z316" s="4" t="str">
        <f t="shared" si="2"/>
        <v>Pernod Ricard SACALLABLEFIXEDEURSr Unsecured</v>
      </c>
      <c r="AB316" s="24"/>
    </row>
    <row r="317">
      <c r="A317" s="8">
        <v>316.0</v>
      </c>
      <c r="B317" s="8" t="s">
        <v>1526</v>
      </c>
      <c r="C317" s="8" t="s">
        <v>1529</v>
      </c>
      <c r="D317" s="8" t="s">
        <v>57</v>
      </c>
      <c r="E317" s="8" t="str">
        <f>VLOOKUP(G317,'CBs RAW'!$E$2:$H$427,4)</f>
        <v>#N/A N/A</v>
      </c>
      <c r="F317" s="8" t="s">
        <v>185</v>
      </c>
      <c r="G317" s="8" t="s">
        <v>3034</v>
      </c>
      <c r="H317" s="8" t="s">
        <v>3035</v>
      </c>
      <c r="I317" s="8" t="s">
        <v>3036</v>
      </c>
      <c r="J317" s="8" t="s">
        <v>421</v>
      </c>
      <c r="K317" s="8" t="s">
        <v>56</v>
      </c>
      <c r="L317" s="7">
        <v>5.5534E8</v>
      </c>
      <c r="M317" s="8" t="s">
        <v>52</v>
      </c>
      <c r="N317" s="8" t="s">
        <v>1771</v>
      </c>
      <c r="O317" s="8" t="s">
        <v>185</v>
      </c>
      <c r="P317" s="32">
        <v>43762.0</v>
      </c>
      <c r="Q317" s="7">
        <f>VLOOKUP(G317,'CBs RAW'!$E$2:$P$427,12)</f>
        <v>0.5</v>
      </c>
      <c r="R317" s="32">
        <v>46684.0</v>
      </c>
      <c r="S317" s="8" t="s">
        <v>174</v>
      </c>
      <c r="T317" s="8" t="s">
        <v>620</v>
      </c>
      <c r="U317" s="8" t="s">
        <v>115</v>
      </c>
      <c r="V317" s="8" t="s">
        <v>53</v>
      </c>
      <c r="W317" s="8" t="s">
        <v>3037</v>
      </c>
      <c r="X317" s="33">
        <f>VLOOKUP(G317,'CBs RAW'!$E$2:$W$427,19)</f>
        <v>0.38</v>
      </c>
      <c r="Y317" s="34">
        <f t="shared" si="1"/>
        <v>0.38</v>
      </c>
      <c r="Z317" s="4" t="str">
        <f t="shared" si="2"/>
        <v>Pernod Ricard SACALLABLEFIXEDEURSr Unsecured</v>
      </c>
      <c r="AB317" s="24"/>
    </row>
    <row r="318">
      <c r="A318" s="8">
        <v>317.0</v>
      </c>
      <c r="B318" s="8" t="s">
        <v>1526</v>
      </c>
      <c r="C318" s="8" t="s">
        <v>1529</v>
      </c>
      <c r="D318" s="8" t="s">
        <v>57</v>
      </c>
      <c r="E318" s="8" t="str">
        <f>VLOOKUP(G318,'CBs RAW'!$E$2:$H$427,4)</f>
        <v>#N/A N/A</v>
      </c>
      <c r="F318" s="8" t="s">
        <v>185</v>
      </c>
      <c r="G318" s="8" t="s">
        <v>3038</v>
      </c>
      <c r="H318" s="8" t="s">
        <v>3039</v>
      </c>
      <c r="I318" s="8" t="s">
        <v>3040</v>
      </c>
      <c r="J318" s="8" t="s">
        <v>421</v>
      </c>
      <c r="K318" s="8" t="s">
        <v>56</v>
      </c>
      <c r="L318" s="7">
        <v>5.5534E8</v>
      </c>
      <c r="M318" s="8" t="s">
        <v>52</v>
      </c>
      <c r="N318" s="8" t="s">
        <v>1771</v>
      </c>
      <c r="O318" s="8" t="s">
        <v>185</v>
      </c>
      <c r="P318" s="32">
        <v>43762.0</v>
      </c>
      <c r="Q318" s="7">
        <f>VLOOKUP(G318,'CBs RAW'!$E$2:$P$427,12)</f>
        <v>0.875</v>
      </c>
      <c r="R318" s="32">
        <v>48145.0</v>
      </c>
      <c r="S318" s="8" t="s">
        <v>174</v>
      </c>
      <c r="T318" s="8" t="s">
        <v>620</v>
      </c>
      <c r="U318" s="8" t="s">
        <v>115</v>
      </c>
      <c r="V318" s="8" t="s">
        <v>53</v>
      </c>
      <c r="W318" s="8" t="s">
        <v>3041</v>
      </c>
      <c r="X318" s="33">
        <f>VLOOKUP(G318,'CBs RAW'!$E$2:$W$427,19)</f>
        <v>0.781</v>
      </c>
      <c r="Y318" s="34">
        <f t="shared" si="1"/>
        <v>0.781</v>
      </c>
      <c r="Z318" s="4" t="str">
        <f t="shared" si="2"/>
        <v>Pernod Ricard SACALLABLEFIXEDEURSr Unsecured</v>
      </c>
      <c r="AB318" s="24"/>
    </row>
    <row r="319">
      <c r="A319" s="8">
        <v>318.0</v>
      </c>
      <c r="B319" s="8" t="s">
        <v>219</v>
      </c>
      <c r="C319" s="8" t="s">
        <v>222</v>
      </c>
      <c r="D319" s="8" t="s">
        <v>57</v>
      </c>
      <c r="E319" s="8" t="str">
        <f>VLOOKUP(G319,'CBs RAW'!$E$2:$H$427,4)</f>
        <v>#N/A N/A</v>
      </c>
      <c r="F319" s="8" t="s">
        <v>223</v>
      </c>
      <c r="G319" s="8" t="s">
        <v>3042</v>
      </c>
      <c r="H319" s="8" t="s">
        <v>3043</v>
      </c>
      <c r="I319" s="8" t="s">
        <v>3044</v>
      </c>
      <c r="J319" s="8" t="s">
        <v>55</v>
      </c>
      <c r="K319" s="8" t="s">
        <v>56</v>
      </c>
      <c r="L319" s="7">
        <v>2.17636E7</v>
      </c>
      <c r="M319" s="8" t="s">
        <v>52</v>
      </c>
      <c r="N319" s="8" t="s">
        <v>174</v>
      </c>
      <c r="O319" s="8" t="s">
        <v>223</v>
      </c>
      <c r="P319" s="32">
        <v>42151.0</v>
      </c>
      <c r="Q319" s="7">
        <f>VLOOKUP(G319,'CBs RAW'!$E$2:$P$427,12)</f>
        <v>5</v>
      </c>
      <c r="R319" s="32">
        <v>45804.0</v>
      </c>
      <c r="S319" s="8">
        <v>1.0</v>
      </c>
      <c r="T319" s="8" t="s">
        <v>54</v>
      </c>
      <c r="U319" s="8" t="s">
        <v>49</v>
      </c>
      <c r="V319" s="8" t="s">
        <v>53</v>
      </c>
      <c r="W319" s="8" t="s">
        <v>3045</v>
      </c>
      <c r="X319" s="33" t="str">
        <f>VLOOKUP(G319,'CBs RAW'!$E$2:$W$427,19)</f>
        <v>#N/A N/A</v>
      </c>
      <c r="Y319" s="4" t="str">
        <f t="shared" si="1"/>
        <v>#N/A N/A</v>
      </c>
      <c r="Z319" s="4" t="str">
        <f t="shared" si="2"/>
        <v>Pikolin SLAT MATURITYFIXEDEURSr Unsecured</v>
      </c>
      <c r="AB319" s="24"/>
    </row>
    <row r="320">
      <c r="A320" s="8">
        <v>319.0</v>
      </c>
      <c r="B320" s="8" t="s">
        <v>219</v>
      </c>
      <c r="C320" s="8" t="s">
        <v>222</v>
      </c>
      <c r="D320" s="8" t="s">
        <v>57</v>
      </c>
      <c r="E320" s="8" t="str">
        <f>VLOOKUP(G320,'CBs RAW'!$E$2:$H$427,4)</f>
        <v>#N/A N/A</v>
      </c>
      <c r="F320" s="8" t="s">
        <v>223</v>
      </c>
      <c r="G320" s="8" t="s">
        <v>3046</v>
      </c>
      <c r="H320" s="8" t="s">
        <v>3047</v>
      </c>
      <c r="I320" s="8" t="s">
        <v>3048</v>
      </c>
      <c r="J320" s="8" t="s">
        <v>55</v>
      </c>
      <c r="K320" s="8" t="s">
        <v>56</v>
      </c>
      <c r="L320" s="7">
        <v>1.08818E7</v>
      </c>
      <c r="M320" s="8" t="s">
        <v>52</v>
      </c>
      <c r="N320" s="8" t="s">
        <v>174</v>
      </c>
      <c r="O320" s="8" t="s">
        <v>223</v>
      </c>
      <c r="P320" s="32">
        <v>42151.0</v>
      </c>
      <c r="Q320" s="7">
        <f>VLOOKUP(G320,'CBs RAW'!$E$2:$P$427,12)</f>
        <v>4.5</v>
      </c>
      <c r="R320" s="32">
        <v>44708.0</v>
      </c>
      <c r="S320" s="8">
        <v>2.0</v>
      </c>
      <c r="T320" s="8" t="s">
        <v>54</v>
      </c>
      <c r="U320" s="8" t="s">
        <v>49</v>
      </c>
      <c r="V320" s="8" t="s">
        <v>53</v>
      </c>
      <c r="W320" s="8" t="s">
        <v>3049</v>
      </c>
      <c r="X320" s="33" t="str">
        <f>VLOOKUP(G320,'CBs RAW'!$E$2:$W$427,19)</f>
        <v>#N/A N/A</v>
      </c>
      <c r="Y320" s="4" t="str">
        <f t="shared" si="1"/>
        <v>#N/A N/A</v>
      </c>
      <c r="Z320" s="4" t="str">
        <f t="shared" si="2"/>
        <v>Pikolin SLAT MATURITYFIXEDEURSr Unsecured</v>
      </c>
      <c r="AB320" s="24"/>
    </row>
    <row r="321">
      <c r="A321" s="8">
        <v>320.0</v>
      </c>
      <c r="B321" s="8" t="s">
        <v>207</v>
      </c>
      <c r="C321" s="8" t="s">
        <v>210</v>
      </c>
      <c r="D321" s="8" t="s">
        <v>71</v>
      </c>
      <c r="E321" s="8" t="str">
        <f>VLOOKUP(G321,'CBs RAW'!$E$2:$H$427,4)</f>
        <v>#N/A N/A</v>
      </c>
      <c r="F321" s="8" t="s">
        <v>112</v>
      </c>
      <c r="G321" s="8" t="s">
        <v>3050</v>
      </c>
      <c r="H321" s="8" t="s">
        <v>3051</v>
      </c>
      <c r="I321" s="8" t="s">
        <v>3052</v>
      </c>
      <c r="J321" s="8" t="s">
        <v>175</v>
      </c>
      <c r="K321" s="8" t="s">
        <v>70</v>
      </c>
      <c r="L321" s="7">
        <v>5.6484E7</v>
      </c>
      <c r="M321" s="8" t="s">
        <v>52</v>
      </c>
      <c r="N321" s="8" t="s">
        <v>174</v>
      </c>
      <c r="O321" s="8" t="s">
        <v>112</v>
      </c>
      <c r="P321" s="32">
        <v>43089.0</v>
      </c>
      <c r="Q321" s="7">
        <f>VLOOKUP(G321,'CBs RAW'!$E$2:$P$427,12)</f>
        <v>3.51</v>
      </c>
      <c r="R321" s="32">
        <v>44903.0</v>
      </c>
      <c r="S321" s="8" t="s">
        <v>351</v>
      </c>
      <c r="T321" s="8" t="s">
        <v>54</v>
      </c>
      <c r="U321" s="8" t="s">
        <v>49</v>
      </c>
      <c r="V321" s="8" t="s">
        <v>119</v>
      </c>
      <c r="W321" s="8" t="s">
        <v>3053</v>
      </c>
      <c r="X321" s="33" t="str">
        <f>VLOOKUP(G321,'CBs RAW'!$E$2:$W$427,19)</f>
        <v>#N/A N/A</v>
      </c>
      <c r="Y321" s="4" t="str">
        <f t="shared" si="1"/>
        <v>#N/A N/A</v>
      </c>
      <c r="Z321" s="4" t="str">
        <f t="shared" si="2"/>
        <v>Polski Koncern Naftowy ORLEN SAAT MATURITYFLOATINGPLNSr Unsecured</v>
      </c>
      <c r="AB321" s="24"/>
    </row>
    <row r="322">
      <c r="A322" s="8">
        <v>321.0</v>
      </c>
      <c r="B322" s="8" t="s">
        <v>207</v>
      </c>
      <c r="C322" s="8" t="s">
        <v>210</v>
      </c>
      <c r="D322" s="8" t="s">
        <v>71</v>
      </c>
      <c r="E322" s="8" t="str">
        <f>VLOOKUP(G322,'CBs RAW'!$E$2:$H$427,4)</f>
        <v>#N/A N/A</v>
      </c>
      <c r="F322" s="8" t="s">
        <v>112</v>
      </c>
      <c r="G322" s="8" t="s">
        <v>3054</v>
      </c>
      <c r="H322" s="8" t="s">
        <v>3055</v>
      </c>
      <c r="I322" s="8" t="s">
        <v>3056</v>
      </c>
      <c r="J322" s="8" t="s">
        <v>175</v>
      </c>
      <c r="K322" s="8" t="s">
        <v>70</v>
      </c>
      <c r="L322" s="7">
        <v>5.47468E7</v>
      </c>
      <c r="M322" s="8" t="s">
        <v>52</v>
      </c>
      <c r="N322" s="8" t="s">
        <v>174</v>
      </c>
      <c r="O322" s="8" t="s">
        <v>112</v>
      </c>
      <c r="P322" s="32">
        <v>43256.0</v>
      </c>
      <c r="Q322" s="7">
        <f>VLOOKUP(G322,'CBs RAW'!$E$2:$P$427,12)</f>
        <v>3.63</v>
      </c>
      <c r="R322" s="32">
        <v>44717.0</v>
      </c>
      <c r="S322" s="8" t="s">
        <v>213</v>
      </c>
      <c r="T322" s="8" t="s">
        <v>54</v>
      </c>
      <c r="U322" s="8" t="s">
        <v>49</v>
      </c>
      <c r="V322" s="8" t="s">
        <v>119</v>
      </c>
      <c r="W322" s="8" t="s">
        <v>3057</v>
      </c>
      <c r="X322" s="33" t="str">
        <f>VLOOKUP(G322,'CBs RAW'!$E$2:$W$427,19)</f>
        <v>#N/A N/A</v>
      </c>
      <c r="Y322" s="4" t="str">
        <f t="shared" si="1"/>
        <v>#N/A N/A</v>
      </c>
      <c r="Z322" s="4" t="str">
        <f t="shared" si="2"/>
        <v>Polski Koncern Naftowy ORLEN SAAT MATURITYFLOATINGPLNSr Unsecured</v>
      </c>
      <c r="AB322" s="24"/>
    </row>
    <row r="323">
      <c r="A323" s="8">
        <v>322.0</v>
      </c>
      <c r="B323" s="8" t="s">
        <v>207</v>
      </c>
      <c r="C323" s="8" t="s">
        <v>210</v>
      </c>
      <c r="D323" s="8" t="s">
        <v>71</v>
      </c>
      <c r="E323" s="8" t="str">
        <f>VLOOKUP(G323,'CBs RAW'!$E$2:$H$427,4)</f>
        <v>#N/A N/A</v>
      </c>
      <c r="F323" s="8" t="s">
        <v>112</v>
      </c>
      <c r="G323" s="8" t="s">
        <v>3058</v>
      </c>
      <c r="H323" s="8" t="s">
        <v>3059</v>
      </c>
      <c r="I323" s="8" t="s">
        <v>3060</v>
      </c>
      <c r="J323" s="8" t="s">
        <v>175</v>
      </c>
      <c r="K323" s="8" t="s">
        <v>70</v>
      </c>
      <c r="L323" s="7">
        <v>5.36142E7</v>
      </c>
      <c r="M323" s="8" t="s">
        <v>52</v>
      </c>
      <c r="N323" s="8" t="s">
        <v>174</v>
      </c>
      <c r="O323" s="8" t="s">
        <v>112</v>
      </c>
      <c r="P323" s="32">
        <v>43270.0</v>
      </c>
      <c r="Q323" s="7">
        <f>VLOOKUP(G323,'CBs RAW'!$E$2:$P$427,12)</f>
        <v>3.8</v>
      </c>
      <c r="R323" s="32">
        <v>44731.0</v>
      </c>
      <c r="S323" s="8" t="s">
        <v>431</v>
      </c>
      <c r="T323" s="8" t="s">
        <v>54</v>
      </c>
      <c r="U323" s="8" t="s">
        <v>49</v>
      </c>
      <c r="V323" s="8" t="s">
        <v>119</v>
      </c>
      <c r="W323" s="8" t="s">
        <v>3061</v>
      </c>
      <c r="X323" s="33" t="str">
        <f>VLOOKUP(G323,'CBs RAW'!$E$2:$W$427,19)</f>
        <v>#N/A N/A</v>
      </c>
      <c r="Y323" s="4" t="str">
        <f t="shared" si="1"/>
        <v>#N/A N/A</v>
      </c>
      <c r="Z323" s="4" t="str">
        <f t="shared" si="2"/>
        <v>Polski Koncern Naftowy ORLEN SAAT MATURITYFLOATINGPLNSr Unsecured</v>
      </c>
      <c r="AB323" s="24"/>
    </row>
    <row r="324">
      <c r="A324" s="8">
        <v>323.0</v>
      </c>
      <c r="B324" s="8" t="s">
        <v>207</v>
      </c>
      <c r="C324" s="8" t="s">
        <v>210</v>
      </c>
      <c r="D324" s="8" t="s">
        <v>71</v>
      </c>
      <c r="E324" s="8" t="str">
        <f>VLOOKUP(G324,'CBs RAW'!$E$2:$H$427,4)</f>
        <v>#N/A N/A</v>
      </c>
      <c r="F324" s="8" t="s">
        <v>112</v>
      </c>
      <c r="G324" s="8" t="s">
        <v>3062</v>
      </c>
      <c r="H324" s="8" t="s">
        <v>3063</v>
      </c>
      <c r="I324" s="8" t="s">
        <v>3064</v>
      </c>
      <c r="J324" s="8" t="s">
        <v>175</v>
      </c>
      <c r="K324" s="8" t="s">
        <v>70</v>
      </c>
      <c r="L324" s="7">
        <v>5.41264E7</v>
      </c>
      <c r="M324" s="8" t="s">
        <v>52</v>
      </c>
      <c r="N324" s="8" t="s">
        <v>174</v>
      </c>
      <c r="O324" s="8" t="s">
        <v>112</v>
      </c>
      <c r="P324" s="32">
        <v>43294.0</v>
      </c>
      <c r="Q324" s="7">
        <f>VLOOKUP(G324,'CBs RAW'!$E$2:$P$427,12)</f>
        <v>4.24</v>
      </c>
      <c r="R324" s="32">
        <v>44755.0</v>
      </c>
      <c r="S324" s="8" t="s">
        <v>3065</v>
      </c>
      <c r="T324" s="8" t="s">
        <v>54</v>
      </c>
      <c r="U324" s="8" t="s">
        <v>49</v>
      </c>
      <c r="V324" s="8" t="s">
        <v>119</v>
      </c>
      <c r="W324" s="8" t="s">
        <v>3066</v>
      </c>
      <c r="X324" s="33" t="str">
        <f>VLOOKUP(G324,'CBs RAW'!$E$2:$W$427,19)</f>
        <v>#N/A N/A</v>
      </c>
      <c r="Y324" s="4" t="str">
        <f t="shared" si="1"/>
        <v>#N/A N/A</v>
      </c>
      <c r="Z324" s="4" t="str">
        <f t="shared" si="2"/>
        <v>Polski Koncern Naftowy ORLEN SAAT MATURITYFLOATINGPLNSr Unsecured</v>
      </c>
      <c r="AB324" s="24"/>
    </row>
    <row r="325">
      <c r="A325" s="8">
        <v>324.0</v>
      </c>
      <c r="B325" s="8" t="s">
        <v>127</v>
      </c>
      <c r="C325" s="8" t="s">
        <v>130</v>
      </c>
      <c r="D325" s="8" t="s">
        <v>71</v>
      </c>
      <c r="E325" s="8" t="str">
        <f>VLOOKUP(G325,'CBs RAW'!$E$2:$H$427,4)</f>
        <v>#N/A N/A</v>
      </c>
      <c r="F325" s="8" t="s">
        <v>45</v>
      </c>
      <c r="G325" s="8" t="s">
        <v>3067</v>
      </c>
      <c r="H325" s="8" t="s">
        <v>174</v>
      </c>
      <c r="I325" s="8" t="s">
        <v>3068</v>
      </c>
      <c r="J325" s="8" t="s">
        <v>133</v>
      </c>
      <c r="K325" s="8" t="s">
        <v>70</v>
      </c>
      <c r="L325" s="7">
        <v>1.872912E8</v>
      </c>
      <c r="M325" s="8" t="s">
        <v>52</v>
      </c>
      <c r="N325" s="8" t="s">
        <v>174</v>
      </c>
      <c r="O325" s="8" t="s">
        <v>45</v>
      </c>
      <c r="P325" s="32">
        <v>43297.0</v>
      </c>
      <c r="Q325" s="7">
        <f>VLOOKUP(G325,'CBs RAW'!$E$2:$P$427,12)</f>
        <v>0</v>
      </c>
      <c r="R325" s="32">
        <v>45123.0</v>
      </c>
      <c r="S325" s="8" t="s">
        <v>76</v>
      </c>
      <c r="T325" s="8" t="s">
        <v>54</v>
      </c>
      <c r="U325" s="8" t="s">
        <v>49</v>
      </c>
      <c r="V325" s="8" t="s">
        <v>53</v>
      </c>
      <c r="W325" s="8" t="s">
        <v>3069</v>
      </c>
      <c r="X325" s="33" t="str">
        <f>VLOOKUP(G325,'CBs RAW'!$E$2:$W$427,19)</f>
        <v>#N/A N/A</v>
      </c>
      <c r="Y325" s="4" t="str">
        <f t="shared" si="1"/>
        <v>#N/A N/A</v>
      </c>
      <c r="Z325" s="4" t="str">
        <f t="shared" si="2"/>
        <v>Puma SEAT MATURITYFLOATINGEURSr Unsecured</v>
      </c>
      <c r="AB325" s="24"/>
    </row>
    <row r="326">
      <c r="A326" s="8">
        <v>325.0</v>
      </c>
      <c r="B326" s="8" t="s">
        <v>127</v>
      </c>
      <c r="C326" s="8" t="s">
        <v>130</v>
      </c>
      <c r="D326" s="8" t="s">
        <v>57</v>
      </c>
      <c r="E326" s="8" t="str">
        <f>VLOOKUP(G326,'CBs RAW'!$E$2:$H$427,4)</f>
        <v>#N/A N/A</v>
      </c>
      <c r="F326" s="8" t="s">
        <v>45</v>
      </c>
      <c r="G326" s="8" t="s">
        <v>3070</v>
      </c>
      <c r="H326" s="8" t="s">
        <v>174</v>
      </c>
      <c r="I326" s="8" t="s">
        <v>3071</v>
      </c>
      <c r="J326" s="8" t="s">
        <v>133</v>
      </c>
      <c r="K326" s="8" t="s">
        <v>56</v>
      </c>
      <c r="L326" s="7">
        <v>7.79163E7</v>
      </c>
      <c r="M326" s="8" t="s">
        <v>52</v>
      </c>
      <c r="N326" s="8" t="s">
        <v>1771</v>
      </c>
      <c r="O326" s="8" t="s">
        <v>45</v>
      </c>
      <c r="P326" s="32">
        <v>43844.0</v>
      </c>
      <c r="Q326" s="7">
        <f>VLOOKUP(G326,'CBs RAW'!$E$2:$P$427,12)</f>
        <v>0</v>
      </c>
      <c r="R326" s="32">
        <v>45671.0</v>
      </c>
      <c r="S326" s="8" t="s">
        <v>104</v>
      </c>
      <c r="T326" s="8" t="s">
        <v>54</v>
      </c>
      <c r="U326" s="8" t="s">
        <v>49</v>
      </c>
      <c r="V326" s="8" t="s">
        <v>53</v>
      </c>
      <c r="W326" s="8" t="s">
        <v>3072</v>
      </c>
      <c r="X326" s="33" t="str">
        <f>VLOOKUP(G326,'CBs RAW'!$E$2:$W$427,19)</f>
        <v>#N/A N/A</v>
      </c>
      <c r="Y326" s="4" t="str">
        <f t="shared" si="1"/>
        <v>#N/A N/A</v>
      </c>
      <c r="Z326" s="4" t="str">
        <f t="shared" si="2"/>
        <v>Puma SEAT MATURITYFIXEDEURSr Unsecured</v>
      </c>
      <c r="AB326" s="24"/>
    </row>
    <row r="327">
      <c r="A327" s="8">
        <v>326.0</v>
      </c>
      <c r="B327" s="8" t="s">
        <v>127</v>
      </c>
      <c r="C327" s="8" t="s">
        <v>130</v>
      </c>
      <c r="D327" s="8" t="s">
        <v>71</v>
      </c>
      <c r="E327" s="8" t="str">
        <f>VLOOKUP(G327,'CBs RAW'!$E$2:$H$427,4)</f>
        <v>#N/A N/A</v>
      </c>
      <c r="F327" s="8" t="s">
        <v>45</v>
      </c>
      <c r="G327" s="8" t="s">
        <v>3073</v>
      </c>
      <c r="H327" s="8" t="s">
        <v>174</v>
      </c>
      <c r="I327" s="8" t="s">
        <v>3074</v>
      </c>
      <c r="J327" s="8" t="s">
        <v>133</v>
      </c>
      <c r="K327" s="8" t="s">
        <v>70</v>
      </c>
      <c r="L327" s="7">
        <v>7.79163E7</v>
      </c>
      <c r="M327" s="8" t="s">
        <v>52</v>
      </c>
      <c r="N327" s="8" t="s">
        <v>1771</v>
      </c>
      <c r="O327" s="8" t="s">
        <v>45</v>
      </c>
      <c r="P327" s="32">
        <v>43844.0</v>
      </c>
      <c r="Q327" s="7">
        <f>VLOOKUP(G327,'CBs RAW'!$E$2:$P$427,12)</f>
        <v>0</v>
      </c>
      <c r="R327" s="32">
        <v>45671.0</v>
      </c>
      <c r="S327" s="8" t="s">
        <v>94</v>
      </c>
      <c r="T327" s="8" t="s">
        <v>54</v>
      </c>
      <c r="U327" s="8" t="s">
        <v>49</v>
      </c>
      <c r="V327" s="8" t="s">
        <v>53</v>
      </c>
      <c r="W327" s="8" t="s">
        <v>3075</v>
      </c>
      <c r="X327" s="33" t="str">
        <f>VLOOKUP(G327,'CBs RAW'!$E$2:$W$427,19)</f>
        <v>#N/A N/A</v>
      </c>
      <c r="Y327" s="4" t="str">
        <f t="shared" si="1"/>
        <v>#N/A N/A</v>
      </c>
      <c r="Z327" s="4" t="str">
        <f t="shared" si="2"/>
        <v>Puma SEAT MATURITYFLOATINGEURSr Unsecured</v>
      </c>
      <c r="AB327" s="24"/>
    </row>
    <row r="328">
      <c r="A328" s="8">
        <v>327.0</v>
      </c>
      <c r="B328" s="8" t="s">
        <v>1519</v>
      </c>
      <c r="C328" s="8" t="s">
        <v>1522</v>
      </c>
      <c r="D328" s="8" t="s">
        <v>57</v>
      </c>
      <c r="E328" s="8">
        <f>VLOOKUP(G328,'CBs RAW'!$E$2:$H$427,4)</f>
        <v>0.54</v>
      </c>
      <c r="F328" s="8" t="s">
        <v>185</v>
      </c>
      <c r="G328" s="8" t="s">
        <v>3076</v>
      </c>
      <c r="H328" s="8" t="s">
        <v>3077</v>
      </c>
      <c r="I328" s="8" t="s">
        <v>3078</v>
      </c>
      <c r="J328" s="8" t="s">
        <v>117</v>
      </c>
      <c r="K328" s="8" t="s">
        <v>56</v>
      </c>
      <c r="L328" s="7">
        <v>2.1490525E9</v>
      </c>
      <c r="M328" s="8" t="s">
        <v>52</v>
      </c>
      <c r="N328" s="8" t="s">
        <v>1776</v>
      </c>
      <c r="O328" s="8" t="s">
        <v>185</v>
      </c>
      <c r="P328" s="32">
        <v>43180.0</v>
      </c>
      <c r="Q328" s="7">
        <f>VLOOKUP(G328,'CBs RAW'!$E$2:$P$427,12)</f>
        <v>0.5</v>
      </c>
      <c r="R328" s="32">
        <v>45006.0</v>
      </c>
      <c r="S328" s="8" t="s">
        <v>3079</v>
      </c>
      <c r="T328" s="8" t="s">
        <v>484</v>
      </c>
      <c r="U328" s="8" t="s">
        <v>115</v>
      </c>
      <c r="V328" s="8" t="s">
        <v>53</v>
      </c>
      <c r="W328" s="8" t="s">
        <v>3080</v>
      </c>
      <c r="X328" s="33">
        <f>VLOOKUP(G328,'CBs RAW'!$E$2:$W$427,19)</f>
        <v>0.506</v>
      </c>
      <c r="Y328" s="34">
        <f t="shared" si="1"/>
        <v>0.506</v>
      </c>
      <c r="Z328" s="4" t="str">
        <f t="shared" si="2"/>
        <v>SanofiCALLABLEFIXEDEURSr Unsecured</v>
      </c>
      <c r="AB328" s="24"/>
    </row>
    <row r="329">
      <c r="A329" s="8">
        <v>328.0</v>
      </c>
      <c r="B329" s="8" t="s">
        <v>1519</v>
      </c>
      <c r="C329" s="8" t="s">
        <v>1522</v>
      </c>
      <c r="D329" s="8" t="s">
        <v>57</v>
      </c>
      <c r="E329" s="8" t="str">
        <f>VLOOKUP(G329,'CBs RAW'!$E$2:$H$427,4)</f>
        <v>#N/A N/A</v>
      </c>
      <c r="F329" s="8" t="s">
        <v>185</v>
      </c>
      <c r="G329" s="8" t="s">
        <v>3081</v>
      </c>
      <c r="H329" s="8" t="s">
        <v>3082</v>
      </c>
      <c r="I329" s="8" t="s">
        <v>3083</v>
      </c>
      <c r="J329" s="8" t="s">
        <v>117</v>
      </c>
      <c r="K329" s="8" t="s">
        <v>56</v>
      </c>
      <c r="L329" s="7">
        <v>1.5350375E9</v>
      </c>
      <c r="M329" s="8" t="s">
        <v>52</v>
      </c>
      <c r="N329" s="8" t="s">
        <v>2895</v>
      </c>
      <c r="O329" s="8" t="s">
        <v>185</v>
      </c>
      <c r="P329" s="32">
        <v>43180.0</v>
      </c>
      <c r="Q329" s="7">
        <f>VLOOKUP(G329,'CBs RAW'!$E$2:$P$427,12)</f>
        <v>1.875</v>
      </c>
      <c r="R329" s="32">
        <v>50485.0</v>
      </c>
      <c r="S329" s="8" t="s">
        <v>3084</v>
      </c>
      <c r="T329" s="8" t="s">
        <v>484</v>
      </c>
      <c r="U329" s="8" t="s">
        <v>115</v>
      </c>
      <c r="V329" s="8" t="s">
        <v>53</v>
      </c>
      <c r="W329" s="8" t="s">
        <v>3085</v>
      </c>
      <c r="X329" s="33">
        <f>VLOOKUP(G329,'CBs RAW'!$E$2:$W$427,19)</f>
        <v>1.889</v>
      </c>
      <c r="Y329" s="34">
        <f t="shared" si="1"/>
        <v>1.889</v>
      </c>
      <c r="Z329" s="4" t="str">
        <f t="shared" si="2"/>
        <v>SanofiCALLABLEFIXEDEURSr Unsecured</v>
      </c>
      <c r="AB329" s="24"/>
    </row>
    <row r="330">
      <c r="A330" s="8">
        <v>329.0</v>
      </c>
      <c r="B330" s="8" t="s">
        <v>1519</v>
      </c>
      <c r="C330" s="8" t="s">
        <v>1522</v>
      </c>
      <c r="D330" s="8" t="s">
        <v>57</v>
      </c>
      <c r="E330" s="8" t="str">
        <f>VLOOKUP(G330,'CBs RAW'!$E$2:$H$427,4)</f>
        <v>#N/A N/A</v>
      </c>
      <c r="F330" s="8" t="s">
        <v>185</v>
      </c>
      <c r="G330" s="8" t="s">
        <v>3086</v>
      </c>
      <c r="H330" s="8" t="s">
        <v>3087</v>
      </c>
      <c r="I330" s="8" t="s">
        <v>3088</v>
      </c>
      <c r="J330" s="8" t="s">
        <v>117</v>
      </c>
      <c r="K330" s="8" t="s">
        <v>56</v>
      </c>
      <c r="L330" s="7">
        <v>2.45606E9</v>
      </c>
      <c r="M330" s="8" t="s">
        <v>52</v>
      </c>
      <c r="N330" s="8" t="s">
        <v>2895</v>
      </c>
      <c r="O330" s="8" t="s">
        <v>185</v>
      </c>
      <c r="P330" s="32">
        <v>43180.0</v>
      </c>
      <c r="Q330" s="7">
        <f>VLOOKUP(G330,'CBs RAW'!$E$2:$P$427,12)</f>
        <v>1.375</v>
      </c>
      <c r="R330" s="32">
        <v>47563.0</v>
      </c>
      <c r="S330" s="8" t="s">
        <v>3089</v>
      </c>
      <c r="T330" s="8" t="s">
        <v>484</v>
      </c>
      <c r="U330" s="8" t="s">
        <v>115</v>
      </c>
      <c r="V330" s="8" t="s">
        <v>53</v>
      </c>
      <c r="W330" s="8" t="s">
        <v>3090</v>
      </c>
      <c r="X330" s="33">
        <f>VLOOKUP(G330,'CBs RAW'!$E$2:$W$427,19)</f>
        <v>1.472</v>
      </c>
      <c r="Y330" s="34">
        <f t="shared" si="1"/>
        <v>1.472</v>
      </c>
      <c r="Z330" s="4" t="str">
        <f t="shared" si="2"/>
        <v>SanofiCALLABLEFIXEDEURSr Unsecured</v>
      </c>
      <c r="AB330" s="24"/>
    </row>
    <row r="331">
      <c r="A331" s="8">
        <v>330.0</v>
      </c>
      <c r="B331" s="8" t="s">
        <v>1519</v>
      </c>
      <c r="C331" s="8" t="s">
        <v>1522</v>
      </c>
      <c r="D331" s="8" t="s">
        <v>57</v>
      </c>
      <c r="E331" s="8">
        <f>VLOOKUP(G331,'CBs RAW'!$E$2:$H$427,4)</f>
        <v>1.05</v>
      </c>
      <c r="F331" s="8" t="s">
        <v>185</v>
      </c>
      <c r="G331" s="8" t="s">
        <v>3091</v>
      </c>
      <c r="H331" s="8" t="s">
        <v>3092</v>
      </c>
      <c r="I331" s="8" t="s">
        <v>3093</v>
      </c>
      <c r="J331" s="8" t="s">
        <v>117</v>
      </c>
      <c r="K331" s="8" t="s">
        <v>56</v>
      </c>
      <c r="L331" s="7">
        <v>1.842045E9</v>
      </c>
      <c r="M331" s="8" t="s">
        <v>52</v>
      </c>
      <c r="N331" s="8" t="s">
        <v>1776</v>
      </c>
      <c r="O331" s="8" t="s">
        <v>185</v>
      </c>
      <c r="P331" s="32">
        <v>43180.0</v>
      </c>
      <c r="Q331" s="7">
        <f>VLOOKUP(G331,'CBs RAW'!$E$2:$P$427,12)</f>
        <v>1</v>
      </c>
      <c r="R331" s="32">
        <v>46102.0</v>
      </c>
      <c r="S331" s="8" t="s">
        <v>3094</v>
      </c>
      <c r="T331" s="8" t="s">
        <v>484</v>
      </c>
      <c r="U331" s="8" t="s">
        <v>115</v>
      </c>
      <c r="V331" s="8" t="s">
        <v>53</v>
      </c>
      <c r="W331" s="8" t="s">
        <v>3095</v>
      </c>
      <c r="X331" s="33">
        <f>VLOOKUP(G331,'CBs RAW'!$E$2:$W$427,19)</f>
        <v>1.028</v>
      </c>
      <c r="Y331" s="34">
        <f t="shared" si="1"/>
        <v>1.028</v>
      </c>
      <c r="Z331" s="4" t="str">
        <f t="shared" si="2"/>
        <v>SanofiCALLABLEFIXEDEURSr Unsecured</v>
      </c>
      <c r="AB331" s="24"/>
    </row>
    <row r="332">
      <c r="A332" s="8">
        <v>331.0</v>
      </c>
      <c r="B332" s="8" t="s">
        <v>1519</v>
      </c>
      <c r="C332" s="8" t="s">
        <v>1522</v>
      </c>
      <c r="D332" s="8" t="s">
        <v>71</v>
      </c>
      <c r="E332" s="8">
        <f>VLOOKUP(G332,'CBs RAW'!$E$2:$H$427,4)</f>
        <v>3.413</v>
      </c>
      <c r="F332" s="8" t="s">
        <v>185</v>
      </c>
      <c r="G332" s="8" t="s">
        <v>3096</v>
      </c>
      <c r="H332" s="8" t="s">
        <v>3097</v>
      </c>
      <c r="I332" s="8" t="s">
        <v>3098</v>
      </c>
      <c r="J332" s="8" t="s">
        <v>117</v>
      </c>
      <c r="K332" s="8" t="s">
        <v>56</v>
      </c>
      <c r="L332" s="7">
        <v>1.0E9</v>
      </c>
      <c r="M332" s="8" t="s">
        <v>52</v>
      </c>
      <c r="N332" s="8" t="s">
        <v>1771</v>
      </c>
      <c r="O332" s="8" t="s">
        <v>185</v>
      </c>
      <c r="P332" s="32">
        <v>43270.0</v>
      </c>
      <c r="Q332" s="7">
        <f>VLOOKUP(G332,'CBs RAW'!$E$2:$P$427,12)</f>
        <v>3.375</v>
      </c>
      <c r="R332" s="32">
        <v>45096.0</v>
      </c>
      <c r="S332" s="8" t="s">
        <v>174</v>
      </c>
      <c r="T332" s="8" t="s">
        <v>484</v>
      </c>
      <c r="U332" s="8" t="s">
        <v>115</v>
      </c>
      <c r="V332" s="8" t="s">
        <v>263</v>
      </c>
      <c r="W332" s="8" t="s">
        <v>3099</v>
      </c>
      <c r="X332" s="33" t="str">
        <f>VLOOKUP(G332,'CBs RAW'!$E$2:$W$427,19)</f>
        <v>#N/A N/A</v>
      </c>
      <c r="Y332" s="4">
        <f t="shared" si="1"/>
        <v>3.413</v>
      </c>
      <c r="Z332" s="4" t="str">
        <f t="shared" si="2"/>
        <v>SanofiCALLABLEFIXEDUSDSr Unsecured</v>
      </c>
      <c r="AB332" s="24"/>
    </row>
    <row r="333">
      <c r="A333" s="8">
        <v>332.0</v>
      </c>
      <c r="B333" s="8" t="s">
        <v>1519</v>
      </c>
      <c r="C333" s="8" t="s">
        <v>1522</v>
      </c>
      <c r="D333" s="8" t="s">
        <v>71</v>
      </c>
      <c r="E333" s="8">
        <f>VLOOKUP(G333,'CBs RAW'!$E$2:$H$427,4)</f>
        <v>3.713</v>
      </c>
      <c r="F333" s="8" t="s">
        <v>185</v>
      </c>
      <c r="G333" s="8" t="s">
        <v>3100</v>
      </c>
      <c r="H333" s="8" t="s">
        <v>3101</v>
      </c>
      <c r="I333" s="8" t="s">
        <v>3102</v>
      </c>
      <c r="J333" s="8" t="s">
        <v>117</v>
      </c>
      <c r="K333" s="8" t="s">
        <v>56</v>
      </c>
      <c r="L333" s="7">
        <v>1.0E9</v>
      </c>
      <c r="M333" s="8" t="s">
        <v>52</v>
      </c>
      <c r="N333" s="8" t="s">
        <v>1771</v>
      </c>
      <c r="O333" s="8" t="s">
        <v>185</v>
      </c>
      <c r="P333" s="32">
        <v>43270.0</v>
      </c>
      <c r="Q333" s="7">
        <f>VLOOKUP(G333,'CBs RAW'!$E$2:$P$427,12)</f>
        <v>3.625</v>
      </c>
      <c r="R333" s="32">
        <v>46923.0</v>
      </c>
      <c r="S333" s="8" t="s">
        <v>174</v>
      </c>
      <c r="T333" s="8" t="s">
        <v>484</v>
      </c>
      <c r="U333" s="8" t="s">
        <v>115</v>
      </c>
      <c r="V333" s="8" t="s">
        <v>263</v>
      </c>
      <c r="W333" s="8" t="s">
        <v>3103</v>
      </c>
      <c r="X333" s="33" t="str">
        <f>VLOOKUP(G333,'CBs RAW'!$E$2:$W$427,19)</f>
        <v>#N/A N/A</v>
      </c>
      <c r="Y333" s="4">
        <f t="shared" si="1"/>
        <v>3.713</v>
      </c>
      <c r="Z333" s="4" t="str">
        <f t="shared" si="2"/>
        <v>SanofiCALLABLEFIXEDUSDSr Unsecured</v>
      </c>
      <c r="AB333" s="24"/>
    </row>
    <row r="334">
      <c r="A334" s="8">
        <v>333.0</v>
      </c>
      <c r="B334" s="8" t="s">
        <v>1519</v>
      </c>
      <c r="C334" s="8" t="s">
        <v>1522</v>
      </c>
      <c r="D334" s="8" t="s">
        <v>57</v>
      </c>
      <c r="E334" s="8" t="str">
        <f>VLOOKUP(G334,'CBs RAW'!$E$2:$H$427,4)</f>
        <v>#N/A N/A</v>
      </c>
      <c r="F334" s="8" t="s">
        <v>185</v>
      </c>
      <c r="G334" s="8" t="s">
        <v>3104</v>
      </c>
      <c r="H334" s="8" t="s">
        <v>3105</v>
      </c>
      <c r="I334" s="8" t="s">
        <v>3106</v>
      </c>
      <c r="J334" s="8" t="s">
        <v>117</v>
      </c>
      <c r="K334" s="8" t="s">
        <v>56</v>
      </c>
      <c r="L334" s="7">
        <v>7.379385E8</v>
      </c>
      <c r="M334" s="8" t="s">
        <v>52</v>
      </c>
      <c r="N334" s="8" t="s">
        <v>1771</v>
      </c>
      <c r="O334" s="8" t="s">
        <v>185</v>
      </c>
      <c r="P334" s="32">
        <v>43545.0</v>
      </c>
      <c r="Q334" s="7">
        <f>VLOOKUP(G334,'CBs RAW'!$E$2:$P$427,12)</f>
        <v>0.875</v>
      </c>
      <c r="R334" s="32">
        <v>47198.0</v>
      </c>
      <c r="S334" s="8" t="s">
        <v>226</v>
      </c>
      <c r="T334" s="8" t="s">
        <v>484</v>
      </c>
      <c r="U334" s="8" t="s">
        <v>115</v>
      </c>
      <c r="V334" s="8" t="s">
        <v>53</v>
      </c>
      <c r="W334" s="8" t="s">
        <v>3107</v>
      </c>
      <c r="X334" s="33">
        <f>VLOOKUP(G334,'CBs RAW'!$E$2:$W$427,19)</f>
        <v>0.849</v>
      </c>
      <c r="Y334" s="34">
        <f t="shared" si="1"/>
        <v>0.849</v>
      </c>
      <c r="Z334" s="4" t="str">
        <f t="shared" si="2"/>
        <v>SanofiCALLABLEFIXEDEURSr Unsecured</v>
      </c>
      <c r="AB334" s="24"/>
    </row>
    <row r="335">
      <c r="A335" s="8">
        <v>334.0</v>
      </c>
      <c r="B335" s="8" t="s">
        <v>1519</v>
      </c>
      <c r="C335" s="8" t="s">
        <v>1522</v>
      </c>
      <c r="D335" s="8" t="s">
        <v>57</v>
      </c>
      <c r="E335" s="8" t="str">
        <f>VLOOKUP(G335,'CBs RAW'!$E$2:$H$427,4)</f>
        <v>#N/A N/A</v>
      </c>
      <c r="F335" s="8" t="s">
        <v>185</v>
      </c>
      <c r="G335" s="8" t="s">
        <v>3108</v>
      </c>
      <c r="H335" s="8" t="s">
        <v>3109</v>
      </c>
      <c r="I335" s="8" t="s">
        <v>3110</v>
      </c>
      <c r="J335" s="8" t="s">
        <v>117</v>
      </c>
      <c r="K335" s="8" t="s">
        <v>56</v>
      </c>
      <c r="L335" s="7">
        <v>5.67645E8</v>
      </c>
      <c r="M335" s="8" t="s">
        <v>52</v>
      </c>
      <c r="N335" s="8" t="s">
        <v>1771</v>
      </c>
      <c r="O335" s="8" t="s">
        <v>185</v>
      </c>
      <c r="P335" s="32">
        <v>43545.0</v>
      </c>
      <c r="Q335" s="7">
        <f>VLOOKUP(G335,'CBs RAW'!$E$2:$P$427,12)</f>
        <v>1.25</v>
      </c>
      <c r="R335" s="32">
        <v>49024.0</v>
      </c>
      <c r="S335" s="8" t="s">
        <v>226</v>
      </c>
      <c r="T335" s="8" t="s">
        <v>484</v>
      </c>
      <c r="U335" s="8" t="s">
        <v>115</v>
      </c>
      <c r="V335" s="8" t="s">
        <v>53</v>
      </c>
      <c r="W335" s="8" t="s">
        <v>3111</v>
      </c>
      <c r="X335" s="33">
        <f>VLOOKUP(G335,'CBs RAW'!$E$2:$W$427,19)</f>
        <v>1.293</v>
      </c>
      <c r="Y335" s="34">
        <f t="shared" si="1"/>
        <v>1.293</v>
      </c>
      <c r="Z335" s="4" t="str">
        <f t="shared" si="2"/>
        <v>SanofiCALLABLEFIXEDEURSr Unsecured</v>
      </c>
      <c r="AB335" s="24"/>
    </row>
    <row r="336">
      <c r="A336" s="8">
        <v>335.0</v>
      </c>
      <c r="B336" s="8" t="s">
        <v>1519</v>
      </c>
      <c r="C336" s="8" t="s">
        <v>1522</v>
      </c>
      <c r="D336" s="8" t="s">
        <v>57</v>
      </c>
      <c r="E336" s="8" t="str">
        <f>VLOOKUP(G336,'CBs RAW'!$E$2:$H$427,4)</f>
        <v>#N/A N/A</v>
      </c>
      <c r="F336" s="8" t="s">
        <v>185</v>
      </c>
      <c r="G336" s="8" t="s">
        <v>3112</v>
      </c>
      <c r="H336" s="8" t="s">
        <v>3113</v>
      </c>
      <c r="I336" s="8" t="s">
        <v>3114</v>
      </c>
      <c r="J336" s="8" t="s">
        <v>117</v>
      </c>
      <c r="K336" s="8" t="s">
        <v>56</v>
      </c>
      <c r="L336" s="7">
        <v>1.10196E9</v>
      </c>
      <c r="M336" s="8" t="s">
        <v>52</v>
      </c>
      <c r="N336" s="8" t="s">
        <v>1771</v>
      </c>
      <c r="O336" s="8" t="s">
        <v>185</v>
      </c>
      <c r="P336" s="32">
        <v>43920.0</v>
      </c>
      <c r="Q336" s="7">
        <f>VLOOKUP(G336,'CBs RAW'!$E$2:$P$427,12)</f>
        <v>1</v>
      </c>
      <c r="R336" s="32">
        <v>45748.0</v>
      </c>
      <c r="S336" s="8" t="s">
        <v>226</v>
      </c>
      <c r="T336" s="8" t="s">
        <v>484</v>
      </c>
      <c r="U336" s="8" t="s">
        <v>115</v>
      </c>
      <c r="V336" s="8" t="s">
        <v>53</v>
      </c>
      <c r="W336" s="8" t="s">
        <v>3115</v>
      </c>
      <c r="X336" s="33">
        <f>VLOOKUP(G336,'CBs RAW'!$E$2:$W$427,19)</f>
        <v>0.457</v>
      </c>
      <c r="Y336" s="34">
        <f t="shared" si="1"/>
        <v>0.457</v>
      </c>
      <c r="Z336" s="4" t="str">
        <f t="shared" si="2"/>
        <v>SanofiCALLABLEFIXEDEURSr Unsecured</v>
      </c>
      <c r="AB336" s="24"/>
    </row>
    <row r="337">
      <c r="A337" s="8">
        <v>336.0</v>
      </c>
      <c r="B337" s="8" t="s">
        <v>1519</v>
      </c>
      <c r="C337" s="8" t="s">
        <v>1522</v>
      </c>
      <c r="D337" s="8" t="s">
        <v>57</v>
      </c>
      <c r="E337" s="8" t="str">
        <f>VLOOKUP(G337,'CBs RAW'!$E$2:$H$427,4)</f>
        <v>#N/A N/A</v>
      </c>
      <c r="F337" s="8" t="s">
        <v>185</v>
      </c>
      <c r="G337" s="8" t="s">
        <v>3116</v>
      </c>
      <c r="H337" s="8" t="s">
        <v>3117</v>
      </c>
      <c r="I337" s="8" t="s">
        <v>3118</v>
      </c>
      <c r="J337" s="8" t="s">
        <v>117</v>
      </c>
      <c r="K337" s="8" t="s">
        <v>56</v>
      </c>
      <c r="L337" s="7">
        <v>1.10196E9</v>
      </c>
      <c r="M337" s="8" t="s">
        <v>52</v>
      </c>
      <c r="N337" s="8" t="s">
        <v>1771</v>
      </c>
      <c r="O337" s="8" t="s">
        <v>185</v>
      </c>
      <c r="P337" s="32">
        <v>43920.0</v>
      </c>
      <c r="Q337" s="7">
        <f>VLOOKUP(G337,'CBs RAW'!$E$2:$P$427,12)</f>
        <v>1.5</v>
      </c>
      <c r="R337" s="32">
        <v>47574.0</v>
      </c>
      <c r="S337" s="8" t="s">
        <v>226</v>
      </c>
      <c r="T337" s="8" t="s">
        <v>484</v>
      </c>
      <c r="U337" s="8" t="s">
        <v>115</v>
      </c>
      <c r="V337" s="8" t="s">
        <v>53</v>
      </c>
      <c r="W337" s="8" t="s">
        <v>3119</v>
      </c>
      <c r="X337" s="33">
        <f>VLOOKUP(G337,'CBs RAW'!$E$2:$W$427,19)</f>
        <v>0.78</v>
      </c>
      <c r="Y337" s="34">
        <f t="shared" si="1"/>
        <v>0.78</v>
      </c>
      <c r="Z337" s="4" t="str">
        <f t="shared" si="2"/>
        <v>SanofiCALLABLEFIXEDEURSr Unsecured</v>
      </c>
      <c r="AB337" s="24"/>
    </row>
    <row r="338">
      <c r="A338" s="8">
        <v>337.0</v>
      </c>
      <c r="B338" s="8" t="s">
        <v>1519</v>
      </c>
      <c r="C338" s="8" t="s">
        <v>1522</v>
      </c>
      <c r="D338" s="8" t="s">
        <v>57</v>
      </c>
      <c r="E338" s="8">
        <f>VLOOKUP(G338,'CBs RAW'!$E$2:$H$427,4)</f>
        <v>0.903</v>
      </c>
      <c r="F338" s="8" t="s">
        <v>185</v>
      </c>
      <c r="G338" s="8" t="s">
        <v>3120</v>
      </c>
      <c r="H338" s="8" t="s">
        <v>3121</v>
      </c>
      <c r="I338" s="8" t="s">
        <v>3122</v>
      </c>
      <c r="J338" s="8" t="s">
        <v>117</v>
      </c>
      <c r="K338" s="8" t="s">
        <v>56</v>
      </c>
      <c r="L338" s="7">
        <v>9.27197E8</v>
      </c>
      <c r="M338" s="8" t="s">
        <v>52</v>
      </c>
      <c r="N338" s="8" t="s">
        <v>1771</v>
      </c>
      <c r="O338" s="8" t="s">
        <v>185</v>
      </c>
      <c r="P338" s="32">
        <v>44657.0</v>
      </c>
      <c r="Q338" s="7">
        <f>VLOOKUP(G338,'CBs RAW'!$E$2:$P$427,12)</f>
        <v>0.875</v>
      </c>
      <c r="R338" s="32">
        <v>45753.0</v>
      </c>
      <c r="S338" s="8" t="s">
        <v>174</v>
      </c>
      <c r="T338" s="8" t="s">
        <v>484</v>
      </c>
      <c r="U338" s="8" t="s">
        <v>115</v>
      </c>
      <c r="V338" s="8" t="s">
        <v>53</v>
      </c>
      <c r="W338" s="8" t="s">
        <v>3123</v>
      </c>
      <c r="X338" s="33">
        <f>VLOOKUP(G338,'CBs RAW'!$E$2:$W$427,19)</f>
        <v>0.818</v>
      </c>
      <c r="Y338" s="34">
        <f t="shared" si="1"/>
        <v>0.818</v>
      </c>
      <c r="Z338" s="4" t="str">
        <f t="shared" si="2"/>
        <v>SanofiCALLABLEFIXEDEURSr Unsecured</v>
      </c>
    </row>
    <row r="339">
      <c r="A339" s="8">
        <v>338.0</v>
      </c>
      <c r="B339" s="8" t="s">
        <v>1519</v>
      </c>
      <c r="C339" s="8" t="s">
        <v>1522</v>
      </c>
      <c r="D339" s="8" t="s">
        <v>57</v>
      </c>
      <c r="E339" s="8" t="str">
        <f>VLOOKUP(G339,'CBs RAW'!$E$2:$H$427,4)</f>
        <v>#N/A N/A</v>
      </c>
      <c r="F339" s="8" t="s">
        <v>185</v>
      </c>
      <c r="G339" s="8" t="s">
        <v>3124</v>
      </c>
      <c r="H339" s="8" t="s">
        <v>3125</v>
      </c>
      <c r="I339" s="8" t="s">
        <v>3126</v>
      </c>
      <c r="J339" s="8" t="s">
        <v>117</v>
      </c>
      <c r="K339" s="8" t="s">
        <v>56</v>
      </c>
      <c r="L339" s="7">
        <v>1.34718E9</v>
      </c>
      <c r="M339" s="8" t="s">
        <v>52</v>
      </c>
      <c r="N339" s="8" t="s">
        <v>1771</v>
      </c>
      <c r="O339" s="8" t="s">
        <v>185</v>
      </c>
      <c r="P339" s="32">
        <v>41592.0</v>
      </c>
      <c r="Q339" s="7">
        <f>VLOOKUP(G339,'CBs RAW'!$E$2:$P$427,12)</f>
        <v>2.5</v>
      </c>
      <c r="R339" s="32">
        <v>45244.0</v>
      </c>
      <c r="S339" s="8" t="s">
        <v>226</v>
      </c>
      <c r="T339" s="8" t="s">
        <v>484</v>
      </c>
      <c r="U339" s="8" t="s">
        <v>115</v>
      </c>
      <c r="V339" s="8" t="s">
        <v>53</v>
      </c>
      <c r="W339" s="8" t="s">
        <v>3127</v>
      </c>
      <c r="X339" s="33">
        <f>VLOOKUP(G339,'CBs RAW'!$E$2:$W$427,19)</f>
        <v>2.493</v>
      </c>
      <c r="Y339" s="34">
        <f t="shared" si="1"/>
        <v>2.493</v>
      </c>
      <c r="Z339" s="4" t="str">
        <f t="shared" si="2"/>
        <v>SanofiCALLABLEFIXEDEURSr Unsecured</v>
      </c>
    </row>
    <row r="340">
      <c r="A340" s="8">
        <v>339.0</v>
      </c>
      <c r="B340" s="8" t="s">
        <v>1519</v>
      </c>
      <c r="C340" s="8" t="s">
        <v>1522</v>
      </c>
      <c r="D340" s="8" t="s">
        <v>57</v>
      </c>
      <c r="E340" s="8">
        <f>VLOOKUP(G340,'CBs RAW'!$E$2:$H$427,4)</f>
        <v>1.872</v>
      </c>
      <c r="F340" s="8" t="s">
        <v>185</v>
      </c>
      <c r="G340" s="8" t="s">
        <v>3128</v>
      </c>
      <c r="H340" s="8" t="s">
        <v>3129</v>
      </c>
      <c r="I340" s="8" t="s">
        <v>3130</v>
      </c>
      <c r="J340" s="8" t="s">
        <v>117</v>
      </c>
      <c r="K340" s="8" t="s">
        <v>56</v>
      </c>
      <c r="L340" s="7">
        <v>1.9481869E9</v>
      </c>
      <c r="M340" s="8" t="s">
        <v>52</v>
      </c>
      <c r="N340" s="8" t="s">
        <v>1771</v>
      </c>
      <c r="O340" s="8" t="s">
        <v>185</v>
      </c>
      <c r="P340" s="32">
        <v>41892.0</v>
      </c>
      <c r="Q340" s="7">
        <f>VLOOKUP(G340,'CBs RAW'!$E$2:$P$427,12)</f>
        <v>1.75</v>
      </c>
      <c r="R340" s="32">
        <v>46275.0</v>
      </c>
      <c r="S340" s="8" t="s">
        <v>226</v>
      </c>
      <c r="T340" s="8" t="s">
        <v>484</v>
      </c>
      <c r="U340" s="8" t="s">
        <v>115</v>
      </c>
      <c r="V340" s="8" t="s">
        <v>53</v>
      </c>
      <c r="W340" s="8" t="s">
        <v>3131</v>
      </c>
      <c r="X340" s="33">
        <f>VLOOKUP(G340,'CBs RAW'!$E$2:$W$427,19)</f>
        <v>1.834</v>
      </c>
      <c r="Y340" s="34">
        <f t="shared" si="1"/>
        <v>1.834</v>
      </c>
      <c r="Z340" s="4" t="str">
        <f t="shared" si="2"/>
        <v>SanofiCALLABLEFIXEDEURSr Unsecured</v>
      </c>
    </row>
    <row r="341">
      <c r="A341" s="8">
        <v>340.0</v>
      </c>
      <c r="B341" s="8" t="s">
        <v>1519</v>
      </c>
      <c r="C341" s="8" t="s">
        <v>1522</v>
      </c>
      <c r="D341" s="8" t="s">
        <v>57</v>
      </c>
      <c r="E341" s="8" t="str">
        <f>VLOOKUP(G341,'CBs RAW'!$E$2:$H$427,4)</f>
        <v>#N/A N/A</v>
      </c>
      <c r="F341" s="8" t="s">
        <v>185</v>
      </c>
      <c r="G341" s="8" t="s">
        <v>3132</v>
      </c>
      <c r="H341" s="8" t="s">
        <v>3133</v>
      </c>
      <c r="I341" s="8" t="s">
        <v>3134</v>
      </c>
      <c r="J341" s="8" t="s">
        <v>117</v>
      </c>
      <c r="K341" s="8" t="s">
        <v>56</v>
      </c>
      <c r="L341" s="7">
        <v>6.83772E8</v>
      </c>
      <c r="M341" s="8" t="s">
        <v>52</v>
      </c>
      <c r="N341" s="8" t="s">
        <v>1771</v>
      </c>
      <c r="O341" s="8" t="s">
        <v>185</v>
      </c>
      <c r="P341" s="32">
        <v>42465.0</v>
      </c>
      <c r="Q341" s="7">
        <f>VLOOKUP(G341,'CBs RAW'!$E$2:$P$427,12)</f>
        <v>0.625</v>
      </c>
      <c r="R341" s="32">
        <v>45387.0</v>
      </c>
      <c r="S341" s="8" t="s">
        <v>226</v>
      </c>
      <c r="T341" s="8" t="s">
        <v>484</v>
      </c>
      <c r="U341" s="8" t="s">
        <v>115</v>
      </c>
      <c r="V341" s="8" t="s">
        <v>53</v>
      </c>
      <c r="W341" s="8" t="s">
        <v>3135</v>
      </c>
      <c r="X341" s="33">
        <f>VLOOKUP(G341,'CBs RAW'!$E$2:$W$427,19)</f>
        <v>0.555</v>
      </c>
      <c r="Y341" s="34">
        <f t="shared" si="1"/>
        <v>0.555</v>
      </c>
      <c r="Z341" s="4" t="str">
        <f t="shared" si="2"/>
        <v>SanofiCALLABLEFIXEDEURSr Unsecured</v>
      </c>
    </row>
    <row r="342">
      <c r="A342" s="8">
        <v>341.0</v>
      </c>
      <c r="B342" s="8" t="s">
        <v>1519</v>
      </c>
      <c r="C342" s="8" t="s">
        <v>1522</v>
      </c>
      <c r="D342" s="8" t="s">
        <v>57</v>
      </c>
      <c r="E342" s="8" t="str">
        <f>VLOOKUP(G342,'CBs RAW'!$E$2:$H$427,4)</f>
        <v>#N/A N/A</v>
      </c>
      <c r="F342" s="8" t="s">
        <v>185</v>
      </c>
      <c r="G342" s="8" t="s">
        <v>3136</v>
      </c>
      <c r="H342" s="8" t="s">
        <v>3137</v>
      </c>
      <c r="I342" s="8" t="s">
        <v>3138</v>
      </c>
      <c r="J342" s="8" t="s">
        <v>117</v>
      </c>
      <c r="K342" s="8" t="s">
        <v>56</v>
      </c>
      <c r="L342" s="7">
        <v>7.97734E8</v>
      </c>
      <c r="M342" s="8" t="s">
        <v>52</v>
      </c>
      <c r="N342" s="8" t="s">
        <v>1771</v>
      </c>
      <c r="O342" s="8" t="s">
        <v>185</v>
      </c>
      <c r="P342" s="32">
        <v>42465.0</v>
      </c>
      <c r="Q342" s="7">
        <f>VLOOKUP(G342,'CBs RAW'!$E$2:$P$427,12)</f>
        <v>1.125</v>
      </c>
      <c r="R342" s="32">
        <v>46848.0</v>
      </c>
      <c r="S342" s="8" t="s">
        <v>226</v>
      </c>
      <c r="T342" s="8" t="s">
        <v>484</v>
      </c>
      <c r="U342" s="8" t="s">
        <v>115</v>
      </c>
      <c r="V342" s="8" t="s">
        <v>53</v>
      </c>
      <c r="W342" s="8" t="s">
        <v>3139</v>
      </c>
      <c r="X342" s="33">
        <f>VLOOKUP(G342,'CBs RAW'!$E$2:$W$427,19)</f>
        <v>1.004</v>
      </c>
      <c r="Y342" s="34">
        <f t="shared" si="1"/>
        <v>1.004</v>
      </c>
      <c r="Z342" s="4" t="str">
        <f t="shared" si="2"/>
        <v>SanofiCALLABLEFIXEDEURSr Unsecured</v>
      </c>
    </row>
    <row r="343">
      <c r="A343" s="8">
        <v>342.0</v>
      </c>
      <c r="B343" s="8" t="s">
        <v>1519</v>
      </c>
      <c r="C343" s="8" t="s">
        <v>1522</v>
      </c>
      <c r="D343" s="8" t="s">
        <v>57</v>
      </c>
      <c r="E343" s="8" t="str">
        <f>VLOOKUP(G343,'CBs RAW'!$E$2:$H$427,4)</f>
        <v>#N/A N/A</v>
      </c>
      <c r="F343" s="8" t="s">
        <v>185</v>
      </c>
      <c r="G343" s="8" t="s">
        <v>3140</v>
      </c>
      <c r="H343" s="8" t="s">
        <v>3141</v>
      </c>
      <c r="I343" s="8" t="s">
        <v>3142</v>
      </c>
      <c r="J343" s="8" t="s">
        <v>117</v>
      </c>
      <c r="K343" s="8" t="s">
        <v>56</v>
      </c>
      <c r="L343" s="7">
        <v>9.54975E8</v>
      </c>
      <c r="M343" s="8" t="s">
        <v>52</v>
      </c>
      <c r="N343" s="8" t="s">
        <v>1771</v>
      </c>
      <c r="O343" s="8" t="s">
        <v>185</v>
      </c>
      <c r="P343" s="32">
        <v>42626.0</v>
      </c>
      <c r="Q343" s="7">
        <f>VLOOKUP(G343,'CBs RAW'!$E$2:$P$427,12)</f>
        <v>0</v>
      </c>
      <c r="R343" s="32">
        <v>44817.0</v>
      </c>
      <c r="S343" s="8" t="s">
        <v>226</v>
      </c>
      <c r="T343" s="8" t="s">
        <v>484</v>
      </c>
      <c r="U343" s="8" t="s">
        <v>115</v>
      </c>
      <c r="V343" s="8" t="s">
        <v>53</v>
      </c>
      <c r="W343" s="8" t="s">
        <v>3143</v>
      </c>
      <c r="X343" s="33">
        <f>VLOOKUP(G343,'CBs RAW'!$E$2:$W$427,19)</f>
        <v>0.167</v>
      </c>
      <c r="Y343" s="34">
        <f t="shared" si="1"/>
        <v>0.167</v>
      </c>
      <c r="Z343" s="4" t="str">
        <f t="shared" si="2"/>
        <v>SanofiCALLABLEFIXEDEURSr Unsecured</v>
      </c>
    </row>
    <row r="344">
      <c r="A344" s="8">
        <v>343.0</v>
      </c>
      <c r="B344" s="8" t="s">
        <v>1519</v>
      </c>
      <c r="C344" s="8" t="s">
        <v>1522</v>
      </c>
      <c r="D344" s="8" t="s">
        <v>57</v>
      </c>
      <c r="E344" s="8" t="str">
        <f>VLOOKUP(G344,'CBs RAW'!$E$2:$H$427,4)</f>
        <v>#N/A N/A</v>
      </c>
      <c r="F344" s="8" t="s">
        <v>185</v>
      </c>
      <c r="G344" s="8" t="s">
        <v>3144</v>
      </c>
      <c r="H344" s="8" t="s">
        <v>3145</v>
      </c>
      <c r="I344" s="8" t="s">
        <v>3146</v>
      </c>
      <c r="J344" s="8" t="s">
        <v>117</v>
      </c>
      <c r="K344" s="8" t="s">
        <v>56</v>
      </c>
      <c r="L344" s="7">
        <v>1.292025E9</v>
      </c>
      <c r="M344" s="8" t="s">
        <v>52</v>
      </c>
      <c r="N344" s="8" t="s">
        <v>1771</v>
      </c>
      <c r="O344" s="8" t="s">
        <v>185</v>
      </c>
      <c r="P344" s="32">
        <v>42626.0</v>
      </c>
      <c r="Q344" s="7">
        <f>VLOOKUP(G344,'CBs RAW'!$E$2:$P$427,12)</f>
        <v>0.5</v>
      </c>
      <c r="R344" s="32">
        <v>46400.0</v>
      </c>
      <c r="S344" s="8" t="s">
        <v>226</v>
      </c>
      <c r="T344" s="8" t="s">
        <v>484</v>
      </c>
      <c r="U344" s="8" t="s">
        <v>115</v>
      </c>
      <c r="V344" s="8" t="s">
        <v>53</v>
      </c>
      <c r="W344" s="8" t="s">
        <v>3147</v>
      </c>
      <c r="X344" s="33">
        <f>VLOOKUP(G344,'CBs RAW'!$E$2:$W$427,19)</f>
        <v>0.735</v>
      </c>
      <c r="Y344" s="34">
        <f t="shared" si="1"/>
        <v>0.735</v>
      </c>
      <c r="Z344" s="4" t="str">
        <f t="shared" si="2"/>
        <v>SanofiCALLABLEFIXEDEURSr Unsecured</v>
      </c>
    </row>
    <row r="345">
      <c r="A345" s="8">
        <v>344.0</v>
      </c>
      <c r="B345" s="8" t="s">
        <v>1519</v>
      </c>
      <c r="C345" s="8" t="s">
        <v>1522</v>
      </c>
      <c r="D345" s="8" t="s">
        <v>57</v>
      </c>
      <c r="E345" s="8" t="str">
        <f>VLOOKUP(G345,'CBs RAW'!$E$2:$H$427,4)</f>
        <v>#N/A N/A</v>
      </c>
      <c r="F345" s="8" t="s">
        <v>185</v>
      </c>
      <c r="G345" s="8" t="s">
        <v>3148</v>
      </c>
      <c r="H345" s="8" t="s">
        <v>3149</v>
      </c>
      <c r="I345" s="8" t="s">
        <v>3150</v>
      </c>
      <c r="J345" s="8" t="s">
        <v>117</v>
      </c>
      <c r="K345" s="8" t="s">
        <v>56</v>
      </c>
      <c r="L345" s="7">
        <v>8.3433E8</v>
      </c>
      <c r="M345" s="8" t="s">
        <v>52</v>
      </c>
      <c r="N345" s="8" t="s">
        <v>1771</v>
      </c>
      <c r="O345" s="8" t="s">
        <v>185</v>
      </c>
      <c r="P345" s="32">
        <v>42269.0</v>
      </c>
      <c r="Q345" s="7">
        <f>VLOOKUP(G345,'CBs RAW'!$E$2:$P$427,12)</f>
        <v>1.5</v>
      </c>
      <c r="R345" s="32">
        <v>45922.0</v>
      </c>
      <c r="S345" s="8" t="s">
        <v>226</v>
      </c>
      <c r="T345" s="8" t="s">
        <v>484</v>
      </c>
      <c r="U345" s="8" t="s">
        <v>115</v>
      </c>
      <c r="V345" s="8" t="s">
        <v>53</v>
      </c>
      <c r="W345" s="8" t="s">
        <v>3151</v>
      </c>
      <c r="X345" s="33">
        <f>VLOOKUP(G345,'CBs RAW'!$E$2:$W$427,19)</f>
        <v>1.57</v>
      </c>
      <c r="Y345" s="34">
        <f t="shared" si="1"/>
        <v>1.57</v>
      </c>
      <c r="Z345" s="4" t="str">
        <f t="shared" si="2"/>
        <v>SanofiCALLABLEFIXEDEURSr Unsecured</v>
      </c>
    </row>
    <row r="346">
      <c r="A346" s="8">
        <v>345.0</v>
      </c>
      <c r="B346" s="8" t="s">
        <v>1604</v>
      </c>
      <c r="C346" s="8" t="s">
        <v>1607</v>
      </c>
      <c r="D346" s="8" t="s">
        <v>71</v>
      </c>
      <c r="E346" s="8" t="str">
        <f>VLOOKUP(G346,'CBs RAW'!$E$2:$H$427,4)</f>
        <v>#N/A N/A</v>
      </c>
      <c r="F346" s="8" t="s">
        <v>45</v>
      </c>
      <c r="G346" s="8" t="s">
        <v>3152</v>
      </c>
      <c r="H346" s="8" t="s">
        <v>174</v>
      </c>
      <c r="I346" s="8" t="s">
        <v>3153</v>
      </c>
      <c r="J346" s="8" t="s">
        <v>55</v>
      </c>
      <c r="K346" s="8" t="s">
        <v>70</v>
      </c>
      <c r="L346" s="7">
        <v>3.08828115E8</v>
      </c>
      <c r="M346" s="8" t="s">
        <v>52</v>
      </c>
      <c r="N346" s="8" t="s">
        <v>174</v>
      </c>
      <c r="O346" s="8" t="s">
        <v>45</v>
      </c>
      <c r="P346" s="32">
        <v>43112.0</v>
      </c>
      <c r="Q346" s="7">
        <f>VLOOKUP(G346,'CBs RAW'!$E$2:$P$427,12)</f>
        <v>0</v>
      </c>
      <c r="R346" s="32">
        <v>44938.0</v>
      </c>
      <c r="S346" s="8" t="s">
        <v>76</v>
      </c>
      <c r="T346" s="8" t="s">
        <v>54</v>
      </c>
      <c r="U346" s="8" t="s">
        <v>49</v>
      </c>
      <c r="V346" s="8" t="s">
        <v>53</v>
      </c>
      <c r="W346" s="8" t="s">
        <v>3154</v>
      </c>
      <c r="X346" s="33" t="str">
        <f>VLOOKUP(G346,'CBs RAW'!$E$2:$W$427,19)</f>
        <v>#N/A N/A</v>
      </c>
      <c r="Y346" s="4" t="str">
        <f t="shared" si="1"/>
        <v>#N/A N/A</v>
      </c>
      <c r="Z346" s="4" t="str">
        <f t="shared" si="2"/>
        <v>Saria SE &amp; Co KGAT MATURITYFLOATINGEURSr Unsecured</v>
      </c>
    </row>
    <row r="347">
      <c r="A347" s="8">
        <v>346.0</v>
      </c>
      <c r="B347" s="8" t="s">
        <v>1604</v>
      </c>
      <c r="C347" s="8" t="s">
        <v>1607</v>
      </c>
      <c r="D347" s="8" t="s">
        <v>71</v>
      </c>
      <c r="E347" s="8" t="str">
        <f>VLOOKUP(G347,'CBs RAW'!$E$2:$H$427,4)</f>
        <v>#N/A N/A</v>
      </c>
      <c r="F347" s="8" t="s">
        <v>45</v>
      </c>
      <c r="G347" s="8" t="s">
        <v>3155</v>
      </c>
      <c r="H347" s="8" t="s">
        <v>174</v>
      </c>
      <c r="I347" s="8" t="s">
        <v>3156</v>
      </c>
      <c r="J347" s="8" t="s">
        <v>55</v>
      </c>
      <c r="K347" s="8" t="s">
        <v>70</v>
      </c>
      <c r="L347" s="7">
        <v>3.08828115E8</v>
      </c>
      <c r="M347" s="8" t="s">
        <v>52</v>
      </c>
      <c r="N347" s="8" t="s">
        <v>174</v>
      </c>
      <c r="O347" s="8" t="s">
        <v>45</v>
      </c>
      <c r="P347" s="32">
        <v>43112.0</v>
      </c>
      <c r="Q347" s="7">
        <f>VLOOKUP(G347,'CBs RAW'!$E$2:$P$427,12)</f>
        <v>0</v>
      </c>
      <c r="R347" s="32">
        <v>45669.0</v>
      </c>
      <c r="S347" s="8" t="s">
        <v>69</v>
      </c>
      <c r="T347" s="8" t="s">
        <v>54</v>
      </c>
      <c r="U347" s="8" t="s">
        <v>49</v>
      </c>
      <c r="V347" s="8" t="s">
        <v>53</v>
      </c>
      <c r="W347" s="8" t="s">
        <v>3157</v>
      </c>
      <c r="X347" s="33" t="str">
        <f>VLOOKUP(G347,'CBs RAW'!$E$2:$W$427,19)</f>
        <v>#N/A N/A</v>
      </c>
      <c r="Y347" s="4" t="str">
        <f t="shared" si="1"/>
        <v>#N/A N/A</v>
      </c>
      <c r="Z347" s="4" t="str">
        <f t="shared" si="2"/>
        <v>Saria SE &amp; Co KGAT MATURITYFLOATINGEURSr Unsecured</v>
      </c>
    </row>
    <row r="348">
      <c r="A348" s="8">
        <v>347.0</v>
      </c>
      <c r="B348" s="8" t="s">
        <v>1604</v>
      </c>
      <c r="C348" s="8" t="s">
        <v>1607</v>
      </c>
      <c r="D348" s="8" t="s">
        <v>71</v>
      </c>
      <c r="E348" s="8" t="str">
        <f>VLOOKUP(G348,'CBs RAW'!$E$2:$H$427,4)</f>
        <v>#N/A N/A</v>
      </c>
      <c r="F348" s="8" t="s">
        <v>45</v>
      </c>
      <c r="G348" s="8" t="s">
        <v>3158</v>
      </c>
      <c r="H348" s="8" t="s">
        <v>174</v>
      </c>
      <c r="I348" s="8" t="s">
        <v>3159</v>
      </c>
      <c r="J348" s="8" t="s">
        <v>55</v>
      </c>
      <c r="K348" s="8" t="s">
        <v>70</v>
      </c>
      <c r="L348" s="7">
        <v>3.08828115E8</v>
      </c>
      <c r="M348" s="8" t="s">
        <v>52</v>
      </c>
      <c r="N348" s="8" t="s">
        <v>174</v>
      </c>
      <c r="O348" s="8" t="s">
        <v>45</v>
      </c>
      <c r="P348" s="32">
        <v>43112.0</v>
      </c>
      <c r="Q348" s="7">
        <f>VLOOKUP(G348,'CBs RAW'!$E$2:$P$427,12)</f>
        <v>0</v>
      </c>
      <c r="R348" s="32">
        <v>46764.0</v>
      </c>
      <c r="S348" s="8" t="s">
        <v>51</v>
      </c>
      <c r="T348" s="8" t="s">
        <v>54</v>
      </c>
      <c r="U348" s="8" t="s">
        <v>49</v>
      </c>
      <c r="V348" s="8" t="s">
        <v>53</v>
      </c>
      <c r="W348" s="8" t="s">
        <v>3160</v>
      </c>
      <c r="X348" s="33" t="str">
        <f>VLOOKUP(G348,'CBs RAW'!$E$2:$W$427,19)</f>
        <v>#N/A N/A</v>
      </c>
      <c r="Y348" s="4" t="str">
        <f t="shared" si="1"/>
        <v>#N/A N/A</v>
      </c>
      <c r="Z348" s="4" t="str">
        <f t="shared" si="2"/>
        <v>Saria SE &amp; Co KGAT MATURITYFLOATINGEURSr Unsecured</v>
      </c>
    </row>
    <row r="349">
      <c r="A349" s="8">
        <v>348.0</v>
      </c>
      <c r="B349" s="8" t="s">
        <v>181</v>
      </c>
      <c r="C349" s="8" t="s">
        <v>184</v>
      </c>
      <c r="D349" s="8" t="s">
        <v>57</v>
      </c>
      <c r="E349" s="8" t="str">
        <f>VLOOKUP(G349,'CBs RAW'!$E$2:$H$427,4)</f>
        <v>#N/A N/A</v>
      </c>
      <c r="F349" s="8" t="s">
        <v>186</v>
      </c>
      <c r="G349" s="8" t="s">
        <v>3161</v>
      </c>
      <c r="H349" s="8" t="s">
        <v>3162</v>
      </c>
      <c r="I349" s="8" t="s">
        <v>3163</v>
      </c>
      <c r="J349" s="8" t="s">
        <v>133</v>
      </c>
      <c r="K349" s="8" t="s">
        <v>56</v>
      </c>
      <c r="L349" s="7">
        <v>8.82225E8</v>
      </c>
      <c r="M349" s="8" t="s">
        <v>52</v>
      </c>
      <c r="N349" s="8" t="s">
        <v>1771</v>
      </c>
      <c r="O349" s="8" t="s">
        <v>185</v>
      </c>
      <c r="P349" s="32">
        <v>43082.0</v>
      </c>
      <c r="Q349" s="7">
        <f>VLOOKUP(G349,'CBs RAW'!$E$2:$P$427,12)</f>
        <v>0.875</v>
      </c>
      <c r="R349" s="32">
        <v>46369.0</v>
      </c>
      <c r="S349" s="8" t="s">
        <v>226</v>
      </c>
      <c r="T349" s="8" t="s">
        <v>190</v>
      </c>
      <c r="U349" s="8" t="s">
        <v>115</v>
      </c>
      <c r="V349" s="8" t="s">
        <v>53</v>
      </c>
      <c r="W349" s="8" t="s">
        <v>3164</v>
      </c>
      <c r="X349" s="33">
        <f>VLOOKUP(G349,'CBs RAW'!$E$2:$W$427,19)</f>
        <v>0.932</v>
      </c>
      <c r="Y349" s="34">
        <f t="shared" si="1"/>
        <v>0.932</v>
      </c>
      <c r="Z349" s="4" t="str">
        <f t="shared" si="2"/>
        <v>Schneider Electric SECALLABLEFIXEDEURSr Unsecured</v>
      </c>
    </row>
    <row r="350">
      <c r="A350" s="8">
        <v>349.0</v>
      </c>
      <c r="B350" s="8" t="s">
        <v>181</v>
      </c>
      <c r="C350" s="8" t="s">
        <v>184</v>
      </c>
      <c r="D350" s="8" t="s">
        <v>57</v>
      </c>
      <c r="E350" s="8" t="str">
        <f>VLOOKUP(G350,'CBs RAW'!$E$2:$H$427,4)</f>
        <v>#N/A N/A</v>
      </c>
      <c r="F350" s="8" t="s">
        <v>186</v>
      </c>
      <c r="G350" s="8" t="s">
        <v>3165</v>
      </c>
      <c r="H350" s="8" t="s">
        <v>3166</v>
      </c>
      <c r="I350" s="8" t="s">
        <v>3167</v>
      </c>
      <c r="J350" s="8" t="s">
        <v>133</v>
      </c>
      <c r="K350" s="8" t="s">
        <v>56</v>
      </c>
      <c r="L350" s="7">
        <v>8.705475E8</v>
      </c>
      <c r="M350" s="8" t="s">
        <v>52</v>
      </c>
      <c r="N350" s="8" t="s">
        <v>1771</v>
      </c>
      <c r="O350" s="8" t="s">
        <v>185</v>
      </c>
      <c r="P350" s="32">
        <v>43272.0</v>
      </c>
      <c r="Q350" s="7">
        <f>VLOOKUP(G350,'CBs RAW'!$E$2:$P$427,12)</f>
        <v>1.375</v>
      </c>
      <c r="R350" s="32">
        <v>46559.0</v>
      </c>
      <c r="S350" s="8" t="s">
        <v>226</v>
      </c>
      <c r="T350" s="8" t="s">
        <v>190</v>
      </c>
      <c r="U350" s="8" t="s">
        <v>115</v>
      </c>
      <c r="V350" s="8" t="s">
        <v>53</v>
      </c>
      <c r="W350" s="8" t="s">
        <v>3168</v>
      </c>
      <c r="X350" s="33">
        <f>VLOOKUP(G350,'CBs RAW'!$E$2:$W$427,19)</f>
        <v>1.247</v>
      </c>
      <c r="Y350" s="34">
        <f t="shared" si="1"/>
        <v>1.247</v>
      </c>
      <c r="Z350" s="4" t="str">
        <f t="shared" si="2"/>
        <v>Schneider Electric SECALLABLEFIXEDEURSr Unsecured</v>
      </c>
    </row>
    <row r="351">
      <c r="A351" s="8">
        <v>350.0</v>
      </c>
      <c r="B351" s="8" t="s">
        <v>181</v>
      </c>
      <c r="C351" s="8" t="s">
        <v>184</v>
      </c>
      <c r="D351" s="8" t="s">
        <v>57</v>
      </c>
      <c r="E351" s="8" t="str">
        <f>VLOOKUP(G351,'CBs RAW'!$E$2:$H$427,4)</f>
        <v>#N/A N/A</v>
      </c>
      <c r="F351" s="8" t="s">
        <v>186</v>
      </c>
      <c r="G351" s="8" t="s">
        <v>3169</v>
      </c>
      <c r="H351" s="8" t="s">
        <v>3170</v>
      </c>
      <c r="I351" s="8" t="s">
        <v>3171</v>
      </c>
      <c r="J351" s="8" t="s">
        <v>133</v>
      </c>
      <c r="K351" s="8" t="s">
        <v>56</v>
      </c>
      <c r="L351" s="7">
        <v>8.54235E8</v>
      </c>
      <c r="M351" s="8" t="s">
        <v>52</v>
      </c>
      <c r="N351" s="8" t="s">
        <v>1771</v>
      </c>
      <c r="O351" s="8" t="s">
        <v>185</v>
      </c>
      <c r="P351" s="32">
        <v>43480.0</v>
      </c>
      <c r="Q351" s="7">
        <f>VLOOKUP(G351,'CBs RAW'!$E$2:$P$427,12)</f>
        <v>1.5</v>
      </c>
      <c r="R351" s="32">
        <v>46767.0</v>
      </c>
      <c r="S351" s="8" t="s">
        <v>226</v>
      </c>
      <c r="T351" s="8" t="s">
        <v>190</v>
      </c>
      <c r="U351" s="8" t="s">
        <v>115</v>
      </c>
      <c r="V351" s="8" t="s">
        <v>53</v>
      </c>
      <c r="W351" s="8" t="s">
        <v>3172</v>
      </c>
      <c r="X351" s="33">
        <f>VLOOKUP(G351,'CBs RAW'!$E$2:$W$427,19)</f>
        <v>1.401</v>
      </c>
      <c r="Y351" s="34">
        <f t="shared" si="1"/>
        <v>1.401</v>
      </c>
      <c r="Z351" s="4" t="str">
        <f t="shared" si="2"/>
        <v>Schneider Electric SECALLABLEFIXEDEURSr Unsecured</v>
      </c>
    </row>
    <row r="352">
      <c r="A352" s="8">
        <v>351.0</v>
      </c>
      <c r="B352" s="8" t="s">
        <v>181</v>
      </c>
      <c r="C352" s="8" t="s">
        <v>184</v>
      </c>
      <c r="D352" s="8" t="s">
        <v>57</v>
      </c>
      <c r="E352" s="8" t="str">
        <f>VLOOKUP(G352,'CBs RAW'!$E$2:$H$427,4)</f>
        <v>#N/A N/A</v>
      </c>
      <c r="F352" s="8" t="s">
        <v>186</v>
      </c>
      <c r="G352" s="8" t="s">
        <v>3173</v>
      </c>
      <c r="H352" s="8" t="s">
        <v>3174</v>
      </c>
      <c r="I352" s="8" t="s">
        <v>3175</v>
      </c>
      <c r="J352" s="8" t="s">
        <v>133</v>
      </c>
      <c r="K352" s="8" t="s">
        <v>56</v>
      </c>
      <c r="L352" s="7">
        <v>9.028E8</v>
      </c>
      <c r="M352" s="8" t="s">
        <v>52</v>
      </c>
      <c r="N352" s="8" t="s">
        <v>1771</v>
      </c>
      <c r="O352" s="8" t="s">
        <v>185</v>
      </c>
      <c r="P352" s="32">
        <v>43901.0</v>
      </c>
      <c r="Q352" s="7">
        <f>VLOOKUP(G352,'CBs RAW'!$E$2:$P$427,12)</f>
        <v>0.25</v>
      </c>
      <c r="R352" s="32">
        <v>47188.0</v>
      </c>
      <c r="S352" s="8" t="s">
        <v>226</v>
      </c>
      <c r="T352" s="8" t="s">
        <v>190</v>
      </c>
      <c r="U352" s="8" t="s">
        <v>115</v>
      </c>
      <c r="V352" s="8" t="s">
        <v>53</v>
      </c>
      <c r="W352" s="8" t="s">
        <v>3176</v>
      </c>
      <c r="X352" s="33">
        <f>VLOOKUP(G352,'CBs RAW'!$E$2:$W$427,19)</f>
        <v>0.441</v>
      </c>
      <c r="Y352" s="34">
        <f t="shared" si="1"/>
        <v>0.441</v>
      </c>
      <c r="Z352" s="4" t="str">
        <f t="shared" si="2"/>
        <v>Schneider Electric SECALLABLEFIXEDEURSr Unsecured</v>
      </c>
    </row>
    <row r="353">
      <c r="A353" s="8">
        <v>352.0</v>
      </c>
      <c r="B353" s="8" t="s">
        <v>181</v>
      </c>
      <c r="C353" s="8" t="s">
        <v>184</v>
      </c>
      <c r="D353" s="8" t="s">
        <v>57</v>
      </c>
      <c r="E353" s="8" t="str">
        <f>VLOOKUP(G353,'CBs RAW'!$E$2:$H$427,4)</f>
        <v>#N/A N/A</v>
      </c>
      <c r="F353" s="8" t="s">
        <v>186</v>
      </c>
      <c r="G353" s="8" t="s">
        <v>3177</v>
      </c>
      <c r="H353" s="8" t="s">
        <v>3178</v>
      </c>
      <c r="I353" s="8" t="s">
        <v>3179</v>
      </c>
      <c r="J353" s="8" t="s">
        <v>133</v>
      </c>
      <c r="K353" s="8" t="s">
        <v>56</v>
      </c>
      <c r="L353" s="7">
        <v>5.468E8</v>
      </c>
      <c r="M353" s="8" t="s">
        <v>52</v>
      </c>
      <c r="N353" s="8" t="s">
        <v>1771</v>
      </c>
      <c r="O353" s="8" t="s">
        <v>185</v>
      </c>
      <c r="P353" s="32">
        <v>43930.0</v>
      </c>
      <c r="Q353" s="7">
        <f>VLOOKUP(G353,'CBs RAW'!$E$2:$P$427,12)</f>
        <v>1</v>
      </c>
      <c r="R353" s="32">
        <v>46486.0</v>
      </c>
      <c r="S353" s="8" t="s">
        <v>226</v>
      </c>
      <c r="T353" s="8" t="s">
        <v>190</v>
      </c>
      <c r="U353" s="8" t="s">
        <v>115</v>
      </c>
      <c r="V353" s="8" t="s">
        <v>53</v>
      </c>
      <c r="W353" s="8" t="s">
        <v>3180</v>
      </c>
      <c r="X353" s="33">
        <f>VLOOKUP(G353,'CBs RAW'!$E$2:$W$427,19)</f>
        <v>0.824</v>
      </c>
      <c r="Y353" s="34">
        <f t="shared" si="1"/>
        <v>0.824</v>
      </c>
      <c r="Z353" s="4" t="str">
        <f t="shared" si="2"/>
        <v>Schneider Electric SECALLABLEFIXEDEURSr Unsecured</v>
      </c>
    </row>
    <row r="354">
      <c r="A354" s="8">
        <v>353.0</v>
      </c>
      <c r="B354" s="8" t="s">
        <v>181</v>
      </c>
      <c r="C354" s="8" t="s">
        <v>184</v>
      </c>
      <c r="D354" s="8" t="s">
        <v>57</v>
      </c>
      <c r="E354" s="8">
        <f>VLOOKUP(G354,'CBs RAW'!$E$2:$H$427,4)</f>
        <v>0.08</v>
      </c>
      <c r="F354" s="8" t="s">
        <v>186</v>
      </c>
      <c r="G354" s="8" t="s">
        <v>3181</v>
      </c>
      <c r="H354" s="8" t="s">
        <v>3182</v>
      </c>
      <c r="I354" s="8" t="s">
        <v>3183</v>
      </c>
      <c r="J354" s="8" t="s">
        <v>133</v>
      </c>
      <c r="K354" s="8" t="s">
        <v>56</v>
      </c>
      <c r="L354" s="7">
        <v>5.6181E8</v>
      </c>
      <c r="M354" s="8" t="s">
        <v>52</v>
      </c>
      <c r="N354" s="8" t="s">
        <v>1771</v>
      </c>
      <c r="O354" s="8" t="s">
        <v>185</v>
      </c>
      <c r="P354" s="32">
        <v>43994.0</v>
      </c>
      <c r="Q354" s="7">
        <f>VLOOKUP(G354,'CBs RAW'!$E$2:$P$427,12)</f>
        <v>0</v>
      </c>
      <c r="R354" s="32">
        <v>45089.0</v>
      </c>
      <c r="S354" s="8" t="s">
        <v>226</v>
      </c>
      <c r="T354" s="8" t="s">
        <v>190</v>
      </c>
      <c r="U354" s="8" t="s">
        <v>115</v>
      </c>
      <c r="V354" s="8" t="s">
        <v>53</v>
      </c>
      <c r="W354" s="8" t="s">
        <v>3184</v>
      </c>
      <c r="X354" s="33">
        <f>VLOOKUP(G354,'CBs RAW'!$E$2:$W$427,19)</f>
        <v>-0.038</v>
      </c>
      <c r="Y354" s="34">
        <f t="shared" si="1"/>
        <v>-0.038</v>
      </c>
      <c r="Z354" s="4" t="str">
        <f t="shared" si="2"/>
        <v>Schneider Electric SECALLABLEFIXEDEURSr Unsecured</v>
      </c>
    </row>
    <row r="355">
      <c r="A355" s="8">
        <v>354.0</v>
      </c>
      <c r="B355" s="8" t="s">
        <v>181</v>
      </c>
      <c r="C355" s="8" t="s">
        <v>184</v>
      </c>
      <c r="D355" s="8" t="s">
        <v>57</v>
      </c>
      <c r="E355" s="8" t="str">
        <f>VLOOKUP(G355,'CBs RAW'!$E$2:$H$427,4)</f>
        <v>#N/A N/A</v>
      </c>
      <c r="F355" s="8" t="s">
        <v>186</v>
      </c>
      <c r="G355" s="8" t="s">
        <v>3185</v>
      </c>
      <c r="H355" s="8" t="s">
        <v>3186</v>
      </c>
      <c r="I355" s="8" t="s">
        <v>3187</v>
      </c>
      <c r="J355" s="8" t="s">
        <v>133</v>
      </c>
      <c r="K355" s="8" t="s">
        <v>56</v>
      </c>
      <c r="L355" s="7">
        <v>7.898775E8</v>
      </c>
      <c r="M355" s="8" t="s">
        <v>52</v>
      </c>
      <c r="N355" s="8" t="s">
        <v>1771</v>
      </c>
      <c r="O355" s="8" t="s">
        <v>185</v>
      </c>
      <c r="P355" s="32">
        <v>42074.0</v>
      </c>
      <c r="Q355" s="7">
        <f>VLOOKUP(G355,'CBs RAW'!$E$2:$P$427,12)</f>
        <v>0.875</v>
      </c>
      <c r="R355" s="32">
        <v>45727.0</v>
      </c>
      <c r="S355" s="8" t="s">
        <v>226</v>
      </c>
      <c r="T355" s="8" t="s">
        <v>447</v>
      </c>
      <c r="U355" s="8" t="s">
        <v>115</v>
      </c>
      <c r="V355" s="8" t="s">
        <v>53</v>
      </c>
      <c r="W355" s="8" t="s">
        <v>3188</v>
      </c>
      <c r="X355" s="33">
        <f>VLOOKUP(G355,'CBs RAW'!$E$2:$W$427,19)</f>
        <v>0.9</v>
      </c>
      <c r="Y355" s="34">
        <f t="shared" si="1"/>
        <v>0.9</v>
      </c>
      <c r="Z355" s="4" t="str">
        <f t="shared" si="2"/>
        <v>Schneider Electric SECALLABLEFIXEDEURSr Unsecured</v>
      </c>
    </row>
    <row r="356">
      <c r="A356" s="8">
        <v>355.0</v>
      </c>
      <c r="B356" s="8" t="s">
        <v>181</v>
      </c>
      <c r="C356" s="8" t="s">
        <v>184</v>
      </c>
      <c r="D356" s="8" t="s">
        <v>57</v>
      </c>
      <c r="E356" s="8" t="str">
        <f>VLOOKUP(G356,'CBs RAW'!$E$2:$H$427,4)</f>
        <v>#N/A N/A</v>
      </c>
      <c r="F356" s="8" t="s">
        <v>186</v>
      </c>
      <c r="G356" s="8" t="s">
        <v>3189</v>
      </c>
      <c r="H356" s="8" t="s">
        <v>3190</v>
      </c>
      <c r="I356" s="8" t="s">
        <v>3191</v>
      </c>
      <c r="J356" s="8" t="s">
        <v>133</v>
      </c>
      <c r="K356" s="8" t="s">
        <v>56</v>
      </c>
      <c r="L356" s="7">
        <v>1.12149E9</v>
      </c>
      <c r="M356" s="8" t="s">
        <v>52</v>
      </c>
      <c r="N356" s="8" t="s">
        <v>1771</v>
      </c>
      <c r="O356" s="8" t="s">
        <v>185</v>
      </c>
      <c r="P356" s="32">
        <v>42622.0</v>
      </c>
      <c r="Q356" s="7">
        <f>VLOOKUP(G356,'CBs RAW'!$E$2:$P$427,12)</f>
        <v>0.25</v>
      </c>
      <c r="R356" s="32">
        <v>45544.0</v>
      </c>
      <c r="S356" s="8" t="s">
        <v>226</v>
      </c>
      <c r="T356" s="8" t="s">
        <v>447</v>
      </c>
      <c r="U356" s="8" t="s">
        <v>115</v>
      </c>
      <c r="V356" s="8" t="s">
        <v>53</v>
      </c>
      <c r="W356" s="8" t="s">
        <v>3192</v>
      </c>
      <c r="X356" s="33">
        <f>VLOOKUP(G356,'CBs RAW'!$E$2:$W$427,19)</f>
        <v>0.408</v>
      </c>
      <c r="Y356" s="34">
        <f t="shared" si="1"/>
        <v>0.408</v>
      </c>
      <c r="Z356" s="4" t="str">
        <f t="shared" si="2"/>
        <v>Schneider Electric SECALLABLEFIXEDEURSr Unsecured</v>
      </c>
    </row>
    <row r="357">
      <c r="A357" s="8">
        <v>356.0</v>
      </c>
      <c r="B357" s="8" t="s">
        <v>181</v>
      </c>
      <c r="C357" s="8" t="s">
        <v>184</v>
      </c>
      <c r="D357" s="8" t="s">
        <v>57</v>
      </c>
      <c r="E357" s="8" t="str">
        <f>VLOOKUP(G357,'CBs RAW'!$E$2:$H$427,4)</f>
        <v>#N/A N/A</v>
      </c>
      <c r="F357" s="8" t="s">
        <v>186</v>
      </c>
      <c r="G357" s="8" t="s">
        <v>3193</v>
      </c>
      <c r="H357" s="8" t="s">
        <v>3194</v>
      </c>
      <c r="I357" s="8" t="s">
        <v>3195</v>
      </c>
      <c r="J357" s="8" t="s">
        <v>133</v>
      </c>
      <c r="K357" s="8" t="s">
        <v>56</v>
      </c>
      <c r="L357" s="7">
        <v>8.94712E8</v>
      </c>
      <c r="M357" s="8" t="s">
        <v>52</v>
      </c>
      <c r="N357" s="8" t="s">
        <v>1771</v>
      </c>
      <c r="O357" s="8" t="s">
        <v>185</v>
      </c>
      <c r="P357" s="32">
        <v>42255.0</v>
      </c>
      <c r="Q357" s="7">
        <f>VLOOKUP(G357,'CBs RAW'!$E$2:$P$427,12)</f>
        <v>1.5</v>
      </c>
      <c r="R357" s="32">
        <v>45177.0</v>
      </c>
      <c r="S357" s="8" t="s">
        <v>2172</v>
      </c>
      <c r="T357" s="8" t="s">
        <v>447</v>
      </c>
      <c r="U357" s="8" t="s">
        <v>115</v>
      </c>
      <c r="V357" s="8" t="s">
        <v>53</v>
      </c>
      <c r="W357" s="8" t="s">
        <v>3196</v>
      </c>
      <c r="X357" s="33">
        <f>VLOOKUP(G357,'CBs RAW'!$E$2:$W$427,19)</f>
        <v>1.446</v>
      </c>
      <c r="Y357" s="34">
        <f t="shared" si="1"/>
        <v>1.446</v>
      </c>
      <c r="Z357" s="4" t="str">
        <f t="shared" si="2"/>
        <v>Schneider Electric SECALLABLEFIXEDEURSr Unsecured</v>
      </c>
    </row>
    <row r="358">
      <c r="A358" s="8">
        <v>357.0</v>
      </c>
      <c r="B358" s="8" t="s">
        <v>1011</v>
      </c>
      <c r="C358" s="8" t="s">
        <v>1014</v>
      </c>
      <c r="D358" s="8" t="s">
        <v>71</v>
      </c>
      <c r="E358" s="8" t="str">
        <f>VLOOKUP(G358,'CBs RAW'!$E$2:$H$427,4)</f>
        <v>#N/A N/A</v>
      </c>
      <c r="F358" s="8" t="s">
        <v>185</v>
      </c>
      <c r="G358" s="8" t="s">
        <v>3197</v>
      </c>
      <c r="H358" s="8" t="s">
        <v>3198</v>
      </c>
      <c r="I358" s="8" t="s">
        <v>3199</v>
      </c>
      <c r="J358" s="8" t="s">
        <v>55</v>
      </c>
      <c r="K358" s="8" t="s">
        <v>56</v>
      </c>
      <c r="L358" s="7">
        <v>1.4915584E8</v>
      </c>
      <c r="M358" s="8" t="s">
        <v>52</v>
      </c>
      <c r="N358" s="8" t="s">
        <v>174</v>
      </c>
      <c r="O358" s="8" t="s">
        <v>185</v>
      </c>
      <c r="P358" s="32">
        <v>43299.0</v>
      </c>
      <c r="Q358" s="7">
        <f>VLOOKUP(G358,'CBs RAW'!$E$2:$P$427,12)</f>
        <v>3.25</v>
      </c>
      <c r="R358" s="32">
        <v>45856.0</v>
      </c>
      <c r="S358" s="8" t="s">
        <v>174</v>
      </c>
      <c r="T358" s="8" t="s">
        <v>54</v>
      </c>
      <c r="U358" s="8" t="s">
        <v>115</v>
      </c>
      <c r="V358" s="8" t="s">
        <v>53</v>
      </c>
      <c r="W358" s="8" t="s">
        <v>3200</v>
      </c>
      <c r="X358" s="33" t="str">
        <f>VLOOKUP(G358,'CBs RAW'!$E$2:$W$427,19)</f>
        <v>#N/A N/A</v>
      </c>
      <c r="Y358" s="4" t="str">
        <f t="shared" si="1"/>
        <v>#N/A N/A</v>
      </c>
      <c r="Z358" s="4" t="str">
        <f t="shared" si="2"/>
        <v>Seche Environnement SACALLABLEFIXEDEURSr Unsecured</v>
      </c>
    </row>
    <row r="359">
      <c r="A359" s="8">
        <v>358.0</v>
      </c>
      <c r="B359" s="8" t="s">
        <v>1011</v>
      </c>
      <c r="C359" s="8" t="s">
        <v>1014</v>
      </c>
      <c r="D359" s="8" t="s">
        <v>71</v>
      </c>
      <c r="E359" s="8" t="str">
        <f>VLOOKUP(G359,'CBs RAW'!$E$2:$H$427,4)</f>
        <v>#N/A N/A</v>
      </c>
      <c r="F359" s="8" t="s">
        <v>185</v>
      </c>
      <c r="G359" s="8" t="s">
        <v>3201</v>
      </c>
      <c r="H359" s="8" t="s">
        <v>3202</v>
      </c>
      <c r="I359" s="8" t="s">
        <v>3203</v>
      </c>
      <c r="J359" s="8" t="s">
        <v>55</v>
      </c>
      <c r="K359" s="8" t="s">
        <v>56</v>
      </c>
      <c r="L359" s="7">
        <v>2330560.0</v>
      </c>
      <c r="M359" s="8" t="s">
        <v>52</v>
      </c>
      <c r="N359" s="8" t="s">
        <v>174</v>
      </c>
      <c r="O359" s="8" t="s">
        <v>185</v>
      </c>
      <c r="P359" s="32">
        <v>43299.0</v>
      </c>
      <c r="Q359" s="7">
        <f>VLOOKUP(G359,'CBs RAW'!$E$2:$P$427,12)</f>
        <v>3</v>
      </c>
      <c r="R359" s="32">
        <v>45491.0</v>
      </c>
      <c r="S359" s="8" t="s">
        <v>174</v>
      </c>
      <c r="T359" s="8" t="s">
        <v>54</v>
      </c>
      <c r="U359" s="8" t="s">
        <v>115</v>
      </c>
      <c r="V359" s="8" t="s">
        <v>53</v>
      </c>
      <c r="W359" s="8" t="s">
        <v>3204</v>
      </c>
      <c r="X359" s="33" t="str">
        <f>VLOOKUP(G359,'CBs RAW'!$E$2:$W$427,19)</f>
        <v>#N/A N/A</v>
      </c>
      <c r="Y359" s="4" t="str">
        <f t="shared" si="1"/>
        <v>#N/A N/A</v>
      </c>
      <c r="Z359" s="4" t="str">
        <f t="shared" si="2"/>
        <v>Seche Environnement SACALLABLEFIXEDEURSr Unsecured</v>
      </c>
    </row>
    <row r="360">
      <c r="A360" s="8">
        <v>359.0</v>
      </c>
      <c r="B360" s="8" t="s">
        <v>1011</v>
      </c>
      <c r="C360" s="8" t="s">
        <v>1014</v>
      </c>
      <c r="D360" s="8" t="s">
        <v>71</v>
      </c>
      <c r="E360" s="8" t="str">
        <f>VLOOKUP(G360,'CBs RAW'!$E$2:$H$427,4)</f>
        <v>#N/A N/A</v>
      </c>
      <c r="F360" s="8" t="s">
        <v>185</v>
      </c>
      <c r="G360" s="8" t="s">
        <v>3205</v>
      </c>
      <c r="H360" s="8" t="s">
        <v>3206</v>
      </c>
      <c r="I360" s="8" t="s">
        <v>3207</v>
      </c>
      <c r="J360" s="8" t="s">
        <v>55</v>
      </c>
      <c r="K360" s="8" t="s">
        <v>56</v>
      </c>
      <c r="L360" s="7">
        <v>6.6942E7</v>
      </c>
      <c r="M360" s="8" t="s">
        <v>52</v>
      </c>
      <c r="N360" s="8" t="s">
        <v>174</v>
      </c>
      <c r="O360" s="8" t="s">
        <v>185</v>
      </c>
      <c r="P360" s="32">
        <v>43607.0</v>
      </c>
      <c r="Q360" s="7">
        <f>VLOOKUP(G360,'CBs RAW'!$E$2:$P$427,12)</f>
        <v>2.9</v>
      </c>
      <c r="R360" s="32">
        <v>46164.0</v>
      </c>
      <c r="S360" s="8" t="s">
        <v>174</v>
      </c>
      <c r="T360" s="8" t="s">
        <v>54</v>
      </c>
      <c r="U360" s="8" t="s">
        <v>49</v>
      </c>
      <c r="V360" s="8" t="s">
        <v>53</v>
      </c>
      <c r="W360" s="8" t="s">
        <v>3208</v>
      </c>
      <c r="X360" s="33">
        <f>VLOOKUP(G360,'CBs RAW'!$E$2:$W$427,19)</f>
        <v>2.817</v>
      </c>
      <c r="Y360" s="34">
        <f t="shared" si="1"/>
        <v>2.817</v>
      </c>
      <c r="Z360" s="4" t="str">
        <f t="shared" si="2"/>
        <v>Seche Environnement SAAT MATURITYFIXEDEURSr Unsecured</v>
      </c>
    </row>
    <row r="361">
      <c r="A361" s="8">
        <v>360.0</v>
      </c>
      <c r="B361" s="8" t="s">
        <v>1360</v>
      </c>
      <c r="C361" s="8" t="s">
        <v>1363</v>
      </c>
      <c r="D361" s="8" t="s">
        <v>57</v>
      </c>
      <c r="E361" s="8">
        <f>VLOOKUP(G361,'CBs RAW'!$E$2:$H$427,4)</f>
        <v>1.318</v>
      </c>
      <c r="F361" s="8" t="s">
        <v>200</v>
      </c>
      <c r="G361" s="8" t="s">
        <v>3209</v>
      </c>
      <c r="H361" s="8" t="s">
        <v>3210</v>
      </c>
      <c r="I361" s="8" t="s">
        <v>3211</v>
      </c>
      <c r="J361" s="8" t="s">
        <v>117</v>
      </c>
      <c r="K361" s="8" t="s">
        <v>56</v>
      </c>
      <c r="L361" s="7">
        <v>5.36885E8</v>
      </c>
      <c r="M361" s="8" t="s">
        <v>52</v>
      </c>
      <c r="N361" s="8" t="s">
        <v>1771</v>
      </c>
      <c r="O361" s="8" t="s">
        <v>200</v>
      </c>
      <c r="P361" s="32">
        <v>42760.0</v>
      </c>
      <c r="Q361" s="7">
        <f>VLOOKUP(G361,'CBs RAW'!$E$2:$P$427,12)</f>
        <v>1.25</v>
      </c>
      <c r="R361" s="32">
        <v>45682.0</v>
      </c>
      <c r="S361" s="8" t="s">
        <v>226</v>
      </c>
      <c r="T361" s="8" t="s">
        <v>175</v>
      </c>
      <c r="U361" s="8" t="s">
        <v>49</v>
      </c>
      <c r="V361" s="8" t="s">
        <v>53</v>
      </c>
      <c r="W361" s="8" t="s">
        <v>3212</v>
      </c>
      <c r="X361" s="33">
        <f>VLOOKUP(G361,'CBs RAW'!$E$2:$W$427,19)</f>
        <v>1.342</v>
      </c>
      <c r="Y361" s="34">
        <f t="shared" si="1"/>
        <v>1.342</v>
      </c>
      <c r="Z361" s="4" t="str">
        <f t="shared" si="2"/>
        <v>Snam SpAAT MATURITYFIXEDEURSr Unsecured</v>
      </c>
    </row>
    <row r="362">
      <c r="A362" s="8">
        <v>361.0</v>
      </c>
      <c r="B362" s="8" t="s">
        <v>1360</v>
      </c>
      <c r="C362" s="8" t="s">
        <v>1363</v>
      </c>
      <c r="D362" s="8" t="s">
        <v>392</v>
      </c>
      <c r="E362" s="8" t="str">
        <f>VLOOKUP(G362,'CBs RAW'!$E$2:$H$427,4)</f>
        <v>#N/A N/A</v>
      </c>
      <c r="F362" s="8" t="s">
        <v>200</v>
      </c>
      <c r="G362" s="8" t="s">
        <v>3213</v>
      </c>
      <c r="H362" s="8" t="s">
        <v>3214</v>
      </c>
      <c r="I362" s="8" t="s">
        <v>3215</v>
      </c>
      <c r="J362" s="8" t="s">
        <v>117</v>
      </c>
      <c r="K362" s="8" t="s">
        <v>70</v>
      </c>
      <c r="L362" s="7">
        <v>4.153765E8</v>
      </c>
      <c r="M362" s="8" t="s">
        <v>52</v>
      </c>
      <c r="N362" s="8" t="s">
        <v>1771</v>
      </c>
      <c r="O362" s="8" t="s">
        <v>200</v>
      </c>
      <c r="P362" s="32">
        <v>42949.0</v>
      </c>
      <c r="Q362" s="7">
        <f>VLOOKUP(G362,'CBs RAW'!$E$2:$P$427,12)</f>
        <v>0</v>
      </c>
      <c r="R362" s="32">
        <v>45506.0</v>
      </c>
      <c r="S362" s="8" t="s">
        <v>226</v>
      </c>
      <c r="T362" s="8" t="s">
        <v>175</v>
      </c>
      <c r="U362" s="8" t="s">
        <v>49</v>
      </c>
      <c r="V362" s="8" t="s">
        <v>53</v>
      </c>
      <c r="W362" s="8" t="s">
        <v>3216</v>
      </c>
      <c r="X362" s="33">
        <f>VLOOKUP(G362,'CBs RAW'!$E$2:$W$427,19)</f>
        <v>0.081</v>
      </c>
      <c r="Y362" s="34">
        <f t="shared" si="1"/>
        <v>0.081</v>
      </c>
      <c r="Z362" s="4" t="str">
        <f t="shared" si="2"/>
        <v>Snam SpAAT MATURITYFLOATINGEURSr Unsecured</v>
      </c>
    </row>
    <row r="363">
      <c r="A363" s="8">
        <v>362.0</v>
      </c>
      <c r="B363" s="8" t="s">
        <v>1360</v>
      </c>
      <c r="C363" s="8" t="s">
        <v>1363</v>
      </c>
      <c r="D363" s="8" t="s">
        <v>57</v>
      </c>
      <c r="E363" s="8" t="str">
        <f>VLOOKUP(G363,'CBs RAW'!$E$2:$H$427,4)</f>
        <v>#N/A N/A</v>
      </c>
      <c r="F363" s="8" t="s">
        <v>200</v>
      </c>
      <c r="G363" s="8" t="s">
        <v>3217</v>
      </c>
      <c r="H363" s="8" t="s">
        <v>3218</v>
      </c>
      <c r="I363" s="8" t="s">
        <v>3219</v>
      </c>
      <c r="J363" s="8" t="s">
        <v>117</v>
      </c>
      <c r="K363" s="8" t="s">
        <v>56</v>
      </c>
      <c r="L363" s="7">
        <v>7.678515E8</v>
      </c>
      <c r="M363" s="8" t="s">
        <v>52</v>
      </c>
      <c r="N363" s="8" t="s">
        <v>1776</v>
      </c>
      <c r="O363" s="8" t="s">
        <v>200</v>
      </c>
      <c r="P363" s="32">
        <v>43033.0</v>
      </c>
      <c r="Q363" s="7">
        <f>VLOOKUP(G363,'CBs RAW'!$E$2:$P$427,12)</f>
        <v>1.375</v>
      </c>
      <c r="R363" s="32">
        <v>46685.0</v>
      </c>
      <c r="S363" s="8" t="s">
        <v>226</v>
      </c>
      <c r="T363" s="8" t="s">
        <v>175</v>
      </c>
      <c r="U363" s="8" t="s">
        <v>115</v>
      </c>
      <c r="V363" s="8" t="s">
        <v>53</v>
      </c>
      <c r="W363" s="8" t="s">
        <v>3220</v>
      </c>
      <c r="X363" s="33">
        <f>VLOOKUP(G363,'CBs RAW'!$E$2:$W$427,19)</f>
        <v>1.449</v>
      </c>
      <c r="Y363" s="34">
        <f t="shared" si="1"/>
        <v>1.449</v>
      </c>
      <c r="Z363" s="4" t="str">
        <f t="shared" si="2"/>
        <v>Snam SpACALLABLEFIXEDEURSr Unsecured</v>
      </c>
    </row>
    <row r="364">
      <c r="A364" s="8">
        <v>363.0</v>
      </c>
      <c r="B364" s="8" t="s">
        <v>1360</v>
      </c>
      <c r="C364" s="8" t="s">
        <v>1363</v>
      </c>
      <c r="D364" s="8" t="s">
        <v>57</v>
      </c>
      <c r="E364" s="8" t="str">
        <f>VLOOKUP(G364,'CBs RAW'!$E$2:$H$427,4)</f>
        <v>#N/A N/A</v>
      </c>
      <c r="F364" s="8" t="s">
        <v>200</v>
      </c>
      <c r="G364" s="8" t="s">
        <v>3221</v>
      </c>
      <c r="H364" s="8" t="s">
        <v>3222</v>
      </c>
      <c r="I364" s="8" t="s">
        <v>3223</v>
      </c>
      <c r="J364" s="8" t="s">
        <v>117</v>
      </c>
      <c r="K364" s="8" t="s">
        <v>56</v>
      </c>
      <c r="L364" s="7">
        <v>1.049355E9</v>
      </c>
      <c r="M364" s="8" t="s">
        <v>52</v>
      </c>
      <c r="N364" s="8" t="s">
        <v>1771</v>
      </c>
      <c r="O364" s="8" t="s">
        <v>200</v>
      </c>
      <c r="P364" s="32">
        <v>43361.0</v>
      </c>
      <c r="Q364" s="7">
        <f>VLOOKUP(G364,'CBs RAW'!$E$2:$P$427,12)</f>
        <v>1</v>
      </c>
      <c r="R364" s="32">
        <v>45187.0</v>
      </c>
      <c r="S364" s="8" t="s">
        <v>226</v>
      </c>
      <c r="T364" s="8" t="s">
        <v>175</v>
      </c>
      <c r="U364" s="8" t="s">
        <v>115</v>
      </c>
      <c r="V364" s="8" t="s">
        <v>53</v>
      </c>
      <c r="W364" s="8" t="s">
        <v>3224</v>
      </c>
      <c r="X364" s="33">
        <f>VLOOKUP(G364,'CBs RAW'!$E$2:$W$427,19)</f>
        <v>1.139</v>
      </c>
      <c r="Y364" s="34">
        <f t="shared" si="1"/>
        <v>1.139</v>
      </c>
      <c r="Z364" s="4" t="str">
        <f t="shared" si="2"/>
        <v>Snam SpACALLABLEFIXEDEURSr Unsecured</v>
      </c>
    </row>
    <row r="365">
      <c r="A365" s="8">
        <v>364.0</v>
      </c>
      <c r="B365" s="8" t="s">
        <v>1360</v>
      </c>
      <c r="C365" s="8" t="s">
        <v>1363</v>
      </c>
      <c r="D365" s="8" t="s">
        <v>57</v>
      </c>
      <c r="E365" s="8" t="str">
        <f>VLOOKUP(G365,'CBs RAW'!$E$2:$H$427,4)</f>
        <v>#N/A N/A</v>
      </c>
      <c r="F365" s="8" t="s">
        <v>200</v>
      </c>
      <c r="G365" s="8" t="s">
        <v>3225</v>
      </c>
      <c r="H365" s="8" t="s">
        <v>3226</v>
      </c>
      <c r="I365" s="8" t="s">
        <v>3227</v>
      </c>
      <c r="J365" s="8" t="s">
        <v>117</v>
      </c>
      <c r="K365" s="8" t="s">
        <v>56</v>
      </c>
      <c r="L365" s="7">
        <v>5.691E8</v>
      </c>
      <c r="M365" s="8" t="s">
        <v>52</v>
      </c>
      <c r="N365" s="8" t="s">
        <v>174</v>
      </c>
      <c r="O365" s="8" t="s">
        <v>200</v>
      </c>
      <c r="P365" s="32">
        <v>43524.0</v>
      </c>
      <c r="Q365" s="7">
        <f>VLOOKUP(G365,'CBs RAW'!$E$2:$P$427,12)</f>
        <v>1.25</v>
      </c>
      <c r="R365" s="32">
        <v>45897.0</v>
      </c>
      <c r="S365" s="8" t="s">
        <v>226</v>
      </c>
      <c r="T365" s="8" t="s">
        <v>175</v>
      </c>
      <c r="U365" s="8" t="s">
        <v>115</v>
      </c>
      <c r="V365" s="8" t="s">
        <v>53</v>
      </c>
      <c r="W365" s="8" t="s">
        <v>3228</v>
      </c>
      <c r="X365" s="33">
        <f>VLOOKUP(G365,'CBs RAW'!$E$2:$W$427,19)</f>
        <v>1.3</v>
      </c>
      <c r="Y365" s="34">
        <f t="shared" si="1"/>
        <v>1.3</v>
      </c>
      <c r="Z365" s="4" t="str">
        <f t="shared" si="2"/>
        <v>Snam SpACALLABLEFIXEDEURSr Unsecured</v>
      </c>
    </row>
    <row r="366">
      <c r="A366" s="8">
        <v>365.0</v>
      </c>
      <c r="B366" s="8" t="s">
        <v>1360</v>
      </c>
      <c r="C366" s="8" t="s">
        <v>1363</v>
      </c>
      <c r="D366" s="8" t="s">
        <v>57</v>
      </c>
      <c r="E366" s="8">
        <f>VLOOKUP(G366,'CBs RAW'!$E$2:$H$427,4)</f>
        <v>0.765</v>
      </c>
      <c r="F366" s="8" t="s">
        <v>200</v>
      </c>
      <c r="G366" s="8" t="s">
        <v>3229</v>
      </c>
      <c r="H366" s="8" t="s">
        <v>3230</v>
      </c>
      <c r="I366" s="8" t="s">
        <v>3231</v>
      </c>
      <c r="J366" s="8" t="s">
        <v>117</v>
      </c>
      <c r="K366" s="8" t="s">
        <v>56</v>
      </c>
      <c r="L366" s="7">
        <v>8.423325E8</v>
      </c>
      <c r="M366" s="8" t="s">
        <v>52</v>
      </c>
      <c r="N366" s="8" t="s">
        <v>3232</v>
      </c>
      <c r="O366" s="8" t="s">
        <v>200</v>
      </c>
      <c r="P366" s="32">
        <v>43999.0</v>
      </c>
      <c r="Q366" s="7">
        <f>VLOOKUP(G366,'CBs RAW'!$E$2:$P$427,12)</f>
        <v>0.75</v>
      </c>
      <c r="R366" s="32">
        <v>47651.0</v>
      </c>
      <c r="S366" s="8" t="s">
        <v>226</v>
      </c>
      <c r="T366" s="8" t="s">
        <v>175</v>
      </c>
      <c r="U366" s="8" t="s">
        <v>115</v>
      </c>
      <c r="V366" s="8" t="s">
        <v>53</v>
      </c>
      <c r="W366" s="8" t="s">
        <v>3233</v>
      </c>
      <c r="X366" s="33">
        <f>VLOOKUP(G366,'CBs RAW'!$E$2:$W$427,19)</f>
        <v>0.66</v>
      </c>
      <c r="Y366" s="34">
        <f t="shared" si="1"/>
        <v>0.66</v>
      </c>
      <c r="Z366" s="4" t="str">
        <f t="shared" si="2"/>
        <v>Snam SpACALLABLEFIXEDEURSr Unsecured</v>
      </c>
    </row>
    <row r="367">
      <c r="A367" s="8">
        <v>366.0</v>
      </c>
      <c r="B367" s="8" t="s">
        <v>1360</v>
      </c>
      <c r="C367" s="8" t="s">
        <v>1363</v>
      </c>
      <c r="D367" s="8" t="s">
        <v>57</v>
      </c>
      <c r="E367" s="8" t="str">
        <f>VLOOKUP(G367,'CBs RAW'!$E$2:$H$427,4)</f>
        <v>#N/A N/A</v>
      </c>
      <c r="F367" s="8" t="s">
        <v>200</v>
      </c>
      <c r="G367" s="8" t="s">
        <v>3234</v>
      </c>
      <c r="H367" s="8" t="s">
        <v>3235</v>
      </c>
      <c r="I367" s="8" t="s">
        <v>3236</v>
      </c>
      <c r="J367" s="8" t="s">
        <v>117</v>
      </c>
      <c r="K367" s="8" t="s">
        <v>56</v>
      </c>
      <c r="L367" s="7">
        <v>7.27986E8</v>
      </c>
      <c r="M367" s="8" t="s">
        <v>52</v>
      </c>
      <c r="N367" s="8" t="s">
        <v>1776</v>
      </c>
      <c r="O367" s="8" t="s">
        <v>200</v>
      </c>
      <c r="P367" s="32">
        <v>44172.0</v>
      </c>
      <c r="Q367" s="7">
        <f>VLOOKUP(G367,'CBs RAW'!$E$2:$P$427,12)</f>
        <v>0</v>
      </c>
      <c r="R367" s="32">
        <v>47094.0</v>
      </c>
      <c r="S367" s="8" t="s">
        <v>226</v>
      </c>
      <c r="T367" s="8" t="s">
        <v>175</v>
      </c>
      <c r="U367" s="8" t="s">
        <v>115</v>
      </c>
      <c r="V367" s="8" t="s">
        <v>53</v>
      </c>
      <c r="W367" s="8" t="s">
        <v>3237</v>
      </c>
      <c r="X367" s="33">
        <f>VLOOKUP(G367,'CBs RAW'!$E$2:$W$427,19)</f>
        <v>0.029</v>
      </c>
      <c r="Y367" s="34">
        <f t="shared" si="1"/>
        <v>0.029</v>
      </c>
      <c r="Z367" s="4" t="str">
        <f t="shared" si="2"/>
        <v>Snam SpACALLABLEFIXEDEURSr Unsecured</v>
      </c>
    </row>
    <row r="368">
      <c r="A368" s="8">
        <v>367.0</v>
      </c>
      <c r="B368" s="8" t="s">
        <v>1360</v>
      </c>
      <c r="C368" s="8" t="s">
        <v>1363</v>
      </c>
      <c r="D368" s="8" t="s">
        <v>57</v>
      </c>
      <c r="E368" s="8" t="str">
        <f>VLOOKUP(G368,'CBs RAW'!$E$2:$H$427,4)</f>
        <v>#N/A N/A</v>
      </c>
      <c r="F368" s="8" t="s">
        <v>200</v>
      </c>
      <c r="G368" s="8" t="s">
        <v>3238</v>
      </c>
      <c r="H368" s="8" t="s">
        <v>3239</v>
      </c>
      <c r="I368" s="8" t="s">
        <v>3240</v>
      </c>
      <c r="J368" s="8" t="s">
        <v>117</v>
      </c>
      <c r="K368" s="8" t="s">
        <v>56</v>
      </c>
      <c r="L368" s="7">
        <v>6.06545E8</v>
      </c>
      <c r="M368" s="8" t="s">
        <v>52</v>
      </c>
      <c r="N368" s="8" t="s">
        <v>1840</v>
      </c>
      <c r="O368" s="8" t="s">
        <v>200</v>
      </c>
      <c r="P368" s="32">
        <v>44242.0</v>
      </c>
      <c r="Q368" s="7">
        <f>VLOOKUP(G368,'CBs RAW'!$E$2:$P$427,12)</f>
        <v>0</v>
      </c>
      <c r="R368" s="32">
        <v>45884.0</v>
      </c>
      <c r="S368" s="8" t="s">
        <v>226</v>
      </c>
      <c r="T368" s="8" t="s">
        <v>175</v>
      </c>
      <c r="U368" s="8" t="s">
        <v>115</v>
      </c>
      <c r="V368" s="8" t="s">
        <v>53</v>
      </c>
      <c r="W368" s="8" t="s">
        <v>3241</v>
      </c>
      <c r="X368" s="33">
        <f>VLOOKUP(G368,'CBs RAW'!$E$2:$W$427,19)</f>
        <v>-0.053</v>
      </c>
      <c r="Y368" s="34">
        <f t="shared" si="1"/>
        <v>-0.053</v>
      </c>
      <c r="Z368" s="4" t="str">
        <f t="shared" si="2"/>
        <v>Snam SpACALLABLEFIXEDEURSr Unsecured</v>
      </c>
    </row>
    <row r="369">
      <c r="A369" s="8">
        <v>368.0</v>
      </c>
      <c r="B369" s="8" t="s">
        <v>1360</v>
      </c>
      <c r="C369" s="8" t="s">
        <v>1363</v>
      </c>
      <c r="D369" s="8" t="s">
        <v>57</v>
      </c>
      <c r="E369" s="8" t="str">
        <f>VLOOKUP(G369,'CBs RAW'!$E$2:$H$427,4)</f>
        <v>#N/A N/A</v>
      </c>
      <c r="F369" s="8" t="s">
        <v>200</v>
      </c>
      <c r="G369" s="8" t="s">
        <v>3242</v>
      </c>
      <c r="H369" s="8" t="s">
        <v>3243</v>
      </c>
      <c r="I369" s="8" t="s">
        <v>3244</v>
      </c>
      <c r="J369" s="8" t="s">
        <v>117</v>
      </c>
      <c r="K369" s="8" t="s">
        <v>56</v>
      </c>
      <c r="L369" s="7">
        <v>5.92425E8</v>
      </c>
      <c r="M369" s="8" t="s">
        <v>52</v>
      </c>
      <c r="N369" s="8" t="s">
        <v>1840</v>
      </c>
      <c r="O369" s="8" t="s">
        <v>200</v>
      </c>
      <c r="P369" s="32">
        <v>44377.0</v>
      </c>
      <c r="Q369" s="7">
        <f>VLOOKUP(G369,'CBs RAW'!$E$2:$P$427,12)</f>
        <v>0.625</v>
      </c>
      <c r="R369" s="32">
        <v>48029.0</v>
      </c>
      <c r="S369" s="8" t="s">
        <v>226</v>
      </c>
      <c r="T369" s="8" t="s">
        <v>175</v>
      </c>
      <c r="U369" s="8" t="s">
        <v>115</v>
      </c>
      <c r="V369" s="8" t="s">
        <v>53</v>
      </c>
      <c r="W369" s="8" t="s">
        <v>3245</v>
      </c>
      <c r="X369" s="33">
        <f>VLOOKUP(G369,'CBs RAW'!$E$2:$W$427,19)</f>
        <v>0.699</v>
      </c>
      <c r="Y369" s="34">
        <f t="shared" si="1"/>
        <v>0.699</v>
      </c>
      <c r="Z369" s="4" t="str">
        <f t="shared" si="2"/>
        <v>Snam SpACALLABLEFIXEDEURSr Unsecured</v>
      </c>
    </row>
    <row r="370">
      <c r="A370" s="8">
        <v>369.0</v>
      </c>
      <c r="B370" s="8" t="s">
        <v>1360</v>
      </c>
      <c r="C370" s="8" t="s">
        <v>1363</v>
      </c>
      <c r="D370" s="8" t="s">
        <v>57</v>
      </c>
      <c r="E370" s="8">
        <f>VLOOKUP(G370,'CBs RAW'!$E$2:$H$427,4)</f>
        <v>3.367</v>
      </c>
      <c r="F370" s="8" t="s">
        <v>200</v>
      </c>
      <c r="G370" s="8" t="s">
        <v>3246</v>
      </c>
      <c r="H370" s="8" t="s">
        <v>3247</v>
      </c>
      <c r="I370" s="8" t="s">
        <v>3248</v>
      </c>
      <c r="J370" s="8" t="s">
        <v>117</v>
      </c>
      <c r="K370" s="8" t="s">
        <v>56</v>
      </c>
      <c r="L370" s="7">
        <v>8.1306E8</v>
      </c>
      <c r="M370" s="8" t="s">
        <v>52</v>
      </c>
      <c r="N370" s="8" t="s">
        <v>1771</v>
      </c>
      <c r="O370" s="8" t="s">
        <v>200</v>
      </c>
      <c r="P370" s="32">
        <v>41661.0</v>
      </c>
      <c r="Q370" s="7">
        <f>VLOOKUP(G370,'CBs RAW'!$E$2:$P$427,12)</f>
        <v>3.25</v>
      </c>
      <c r="R370" s="32">
        <v>45313.0</v>
      </c>
      <c r="S370" s="8" t="s">
        <v>226</v>
      </c>
      <c r="T370" s="8" t="s">
        <v>175</v>
      </c>
      <c r="U370" s="8" t="s">
        <v>49</v>
      </c>
      <c r="V370" s="8" t="s">
        <v>53</v>
      </c>
      <c r="W370" s="8" t="s">
        <v>3249</v>
      </c>
      <c r="X370" s="33">
        <f>VLOOKUP(G370,'CBs RAW'!$E$2:$W$427,19)</f>
        <v>3.122</v>
      </c>
      <c r="Y370" s="34">
        <f t="shared" si="1"/>
        <v>3.122</v>
      </c>
      <c r="Z370" s="4" t="str">
        <f t="shared" si="2"/>
        <v>Snam SpAAT MATURITYFIXEDEURSr Unsecured</v>
      </c>
    </row>
    <row r="371">
      <c r="A371" s="8">
        <v>370.0</v>
      </c>
      <c r="B371" s="8" t="s">
        <v>1360</v>
      </c>
      <c r="C371" s="8" t="s">
        <v>1363</v>
      </c>
      <c r="D371" s="8" t="s">
        <v>57</v>
      </c>
      <c r="E371" s="8">
        <f>VLOOKUP(G371,'CBs RAW'!$E$2:$H$427,4)</f>
        <v>1.591</v>
      </c>
      <c r="F371" s="8" t="s">
        <v>200</v>
      </c>
      <c r="G371" s="8" t="s">
        <v>3250</v>
      </c>
      <c r="H371" s="8" t="s">
        <v>3251</v>
      </c>
      <c r="I371" s="8" t="s">
        <v>3252</v>
      </c>
      <c r="J371" s="8" t="s">
        <v>117</v>
      </c>
      <c r="K371" s="8" t="s">
        <v>56</v>
      </c>
      <c r="L371" s="7">
        <v>9.497925E8</v>
      </c>
      <c r="M371" s="8" t="s">
        <v>52</v>
      </c>
      <c r="N371" s="8" t="s">
        <v>1771</v>
      </c>
      <c r="O371" s="8" t="s">
        <v>200</v>
      </c>
      <c r="P371" s="32">
        <v>41934.0</v>
      </c>
      <c r="Q371" s="7">
        <f>VLOOKUP(G371,'CBs RAW'!$E$2:$P$427,12)</f>
        <v>1.5</v>
      </c>
      <c r="R371" s="32">
        <v>45037.0</v>
      </c>
      <c r="S371" s="8" t="s">
        <v>226</v>
      </c>
      <c r="T371" s="8" t="s">
        <v>175</v>
      </c>
      <c r="U371" s="8" t="s">
        <v>49</v>
      </c>
      <c r="V371" s="8" t="s">
        <v>53</v>
      </c>
      <c r="W371" s="8" t="s">
        <v>3253</v>
      </c>
      <c r="X371" s="33">
        <f>VLOOKUP(G371,'CBs RAW'!$E$2:$W$427,19)</f>
        <v>1.572</v>
      </c>
      <c r="Y371" s="34">
        <f t="shared" si="1"/>
        <v>1.572</v>
      </c>
      <c r="Z371" s="4" t="str">
        <f t="shared" si="2"/>
        <v>Snam SpAAT MATURITYFIXEDEURSr Unsecured</v>
      </c>
    </row>
    <row r="372">
      <c r="A372" s="8">
        <v>371.0</v>
      </c>
      <c r="B372" s="8" t="s">
        <v>1360</v>
      </c>
      <c r="C372" s="8" t="s">
        <v>1363</v>
      </c>
      <c r="D372" s="8" t="s">
        <v>57</v>
      </c>
      <c r="E372" s="8" t="str">
        <f>VLOOKUP(G372,'CBs RAW'!$E$2:$H$427,4)</f>
        <v>#N/A N/A</v>
      </c>
      <c r="F372" s="8" t="s">
        <v>200</v>
      </c>
      <c r="G372" s="8" t="s">
        <v>3254</v>
      </c>
      <c r="H372" s="8" t="s">
        <v>3255</v>
      </c>
      <c r="I372" s="8" t="s">
        <v>3256</v>
      </c>
      <c r="J372" s="8" t="s">
        <v>117</v>
      </c>
      <c r="K372" s="8" t="s">
        <v>56</v>
      </c>
      <c r="L372" s="7">
        <v>8.044275E8</v>
      </c>
      <c r="M372" s="8" t="s">
        <v>52</v>
      </c>
      <c r="N372" s="8" t="s">
        <v>1771</v>
      </c>
      <c r="O372" s="8" t="s">
        <v>200</v>
      </c>
      <c r="P372" s="32">
        <v>42327.0</v>
      </c>
      <c r="Q372" s="7">
        <f>VLOOKUP(G372,'CBs RAW'!$E$2:$P$427,12)</f>
        <v>1.375</v>
      </c>
      <c r="R372" s="32">
        <v>45249.0</v>
      </c>
      <c r="S372" s="8" t="s">
        <v>226</v>
      </c>
      <c r="T372" s="8" t="s">
        <v>175</v>
      </c>
      <c r="U372" s="8" t="s">
        <v>49</v>
      </c>
      <c r="V372" s="8" t="s">
        <v>53</v>
      </c>
      <c r="W372" s="8" t="s">
        <v>3257</v>
      </c>
      <c r="X372" s="33">
        <f>VLOOKUP(G372,'CBs RAW'!$E$2:$W$427,19)</f>
        <v>1.255</v>
      </c>
      <c r="Y372" s="34">
        <f t="shared" si="1"/>
        <v>1.255</v>
      </c>
      <c r="Z372" s="4" t="str">
        <f t="shared" si="2"/>
        <v>Snam SpAAT MATURITYFIXEDEURSr Unsecured</v>
      </c>
    </row>
    <row r="373">
      <c r="A373" s="8">
        <v>372.0</v>
      </c>
      <c r="B373" s="8" t="s">
        <v>1360</v>
      </c>
      <c r="C373" s="8" t="s">
        <v>1363</v>
      </c>
      <c r="D373" s="8" t="s">
        <v>57</v>
      </c>
      <c r="E373" s="8" t="str">
        <f>VLOOKUP(G373,'CBs RAW'!$E$2:$H$427,4)</f>
        <v>#N/A N/A</v>
      </c>
      <c r="F373" s="8" t="s">
        <v>200</v>
      </c>
      <c r="G373" s="8" t="s">
        <v>3258</v>
      </c>
      <c r="H373" s="8" t="s">
        <v>3259</v>
      </c>
      <c r="I373" s="8" t="s">
        <v>3260</v>
      </c>
      <c r="J373" s="8" t="s">
        <v>117</v>
      </c>
      <c r="K373" s="8" t="s">
        <v>56</v>
      </c>
      <c r="L373" s="7">
        <v>1.3613625E9</v>
      </c>
      <c r="M373" s="8" t="s">
        <v>52</v>
      </c>
      <c r="N373" s="8" t="s">
        <v>1771</v>
      </c>
      <c r="O373" s="8" t="s">
        <v>200</v>
      </c>
      <c r="P373" s="32">
        <v>42668.0</v>
      </c>
      <c r="Q373" s="7">
        <f>VLOOKUP(G373,'CBs RAW'!$E$2:$P$427,12)</f>
        <v>0.875</v>
      </c>
      <c r="R373" s="32">
        <v>46320.0</v>
      </c>
      <c r="S373" s="8" t="s">
        <v>226</v>
      </c>
      <c r="T373" s="8" t="s">
        <v>175</v>
      </c>
      <c r="U373" s="8" t="s">
        <v>49</v>
      </c>
      <c r="V373" s="8" t="s">
        <v>53</v>
      </c>
      <c r="W373" s="8" t="s">
        <v>3261</v>
      </c>
      <c r="X373" s="33">
        <f>VLOOKUP(G373,'CBs RAW'!$E$2:$W$427,19)</f>
        <v>0.867</v>
      </c>
      <c r="Y373" s="34">
        <f t="shared" si="1"/>
        <v>0.867</v>
      </c>
      <c r="Z373" s="4" t="str">
        <f t="shared" si="2"/>
        <v>Snam SpAAT MATURITYFIXEDEURSr Unsecured</v>
      </c>
    </row>
    <row r="374">
      <c r="A374" s="8">
        <v>373.0</v>
      </c>
      <c r="B374" s="8" t="s">
        <v>1360</v>
      </c>
      <c r="C374" s="8" t="s">
        <v>1363</v>
      </c>
      <c r="D374" s="8" t="s">
        <v>57</v>
      </c>
      <c r="E374" s="8" t="str">
        <f>VLOOKUP(G374,'CBs RAW'!$E$2:$H$427,4)</f>
        <v>#N/A N/A</v>
      </c>
      <c r="F374" s="8" t="s">
        <v>200</v>
      </c>
      <c r="G374" s="8" t="s">
        <v>3262</v>
      </c>
      <c r="H374" s="8" t="s">
        <v>3263</v>
      </c>
      <c r="I374" s="8" t="s">
        <v>3264</v>
      </c>
      <c r="J374" s="8" t="s">
        <v>117</v>
      </c>
      <c r="K374" s="8" t="s">
        <v>56</v>
      </c>
      <c r="L374" s="7">
        <v>7.74753E8</v>
      </c>
      <c r="M374" s="8" t="s">
        <v>52</v>
      </c>
      <c r="N374" s="8" t="s">
        <v>1771</v>
      </c>
      <c r="O374" s="8" t="s">
        <v>200</v>
      </c>
      <c r="P374" s="32">
        <v>43720.0</v>
      </c>
      <c r="Q374" s="7">
        <f>VLOOKUP(G374,'CBs RAW'!$E$2:$P$427,12)</f>
        <v>0</v>
      </c>
      <c r="R374" s="32">
        <v>45424.0</v>
      </c>
      <c r="S374" s="8" t="s">
        <v>174</v>
      </c>
      <c r="T374" s="8" t="s">
        <v>175</v>
      </c>
      <c r="U374" s="8" t="s">
        <v>115</v>
      </c>
      <c r="V374" s="8" t="s">
        <v>53</v>
      </c>
      <c r="W374" s="8" t="s">
        <v>3265</v>
      </c>
      <c r="X374" s="33">
        <f>VLOOKUP(G374,'CBs RAW'!$E$2:$W$427,19)</f>
        <v>0.141</v>
      </c>
      <c r="Y374" s="34">
        <f t="shared" si="1"/>
        <v>0.141</v>
      </c>
      <c r="Z374" s="4" t="str">
        <f t="shared" si="2"/>
        <v>Snam SpACALLABLEFIXEDEURSr Unsecured</v>
      </c>
    </row>
    <row r="375">
      <c r="A375" s="8">
        <v>374.0</v>
      </c>
      <c r="B375" s="8" t="s">
        <v>1360</v>
      </c>
      <c r="C375" s="8" t="s">
        <v>1363</v>
      </c>
      <c r="D375" s="8" t="s">
        <v>57</v>
      </c>
      <c r="E375" s="8" t="str">
        <f>VLOOKUP(G375,'CBs RAW'!$E$2:$H$427,4)</f>
        <v>#N/A N/A</v>
      </c>
      <c r="F375" s="8" t="s">
        <v>200</v>
      </c>
      <c r="G375" s="8" t="s">
        <v>3266</v>
      </c>
      <c r="H375" s="8" t="s">
        <v>3267</v>
      </c>
      <c r="I375" s="8" t="s">
        <v>3268</v>
      </c>
      <c r="J375" s="8" t="s">
        <v>117</v>
      </c>
      <c r="K375" s="8" t="s">
        <v>56</v>
      </c>
      <c r="L375" s="7">
        <v>6.64074E8</v>
      </c>
      <c r="M375" s="8" t="s">
        <v>52</v>
      </c>
      <c r="N375" s="8" t="s">
        <v>1771</v>
      </c>
      <c r="O375" s="8" t="s">
        <v>200</v>
      </c>
      <c r="P375" s="32">
        <v>43720.0</v>
      </c>
      <c r="Q375" s="7">
        <f>VLOOKUP(G375,'CBs RAW'!$E$2:$P$427,12)</f>
        <v>1</v>
      </c>
      <c r="R375" s="32">
        <v>49199.0</v>
      </c>
      <c r="S375" s="8" t="s">
        <v>226</v>
      </c>
      <c r="T375" s="8" t="s">
        <v>175</v>
      </c>
      <c r="U375" s="8" t="s">
        <v>115</v>
      </c>
      <c r="V375" s="8" t="s">
        <v>53</v>
      </c>
      <c r="W375" s="8" t="s">
        <v>3269</v>
      </c>
      <c r="X375" s="33">
        <f>VLOOKUP(G375,'CBs RAW'!$E$2:$W$427,19)</f>
        <v>1.112</v>
      </c>
      <c r="Y375" s="34">
        <f t="shared" si="1"/>
        <v>1.112</v>
      </c>
      <c r="Z375" s="4" t="str">
        <f t="shared" si="2"/>
        <v>Snam SpACALLABLEFIXEDEURSr Unsecured</v>
      </c>
    </row>
    <row r="376">
      <c r="A376" s="8">
        <v>375.0</v>
      </c>
      <c r="B376" s="8" t="s">
        <v>1360</v>
      </c>
      <c r="C376" s="8" t="s">
        <v>1363</v>
      </c>
      <c r="D376" s="8" t="s">
        <v>57</v>
      </c>
      <c r="E376" s="8" t="str">
        <f>VLOOKUP(G376,'CBs RAW'!$E$2:$H$427,4)</f>
        <v>#N/A N/A</v>
      </c>
      <c r="F376" s="8" t="s">
        <v>200</v>
      </c>
      <c r="G376" s="8" t="s">
        <v>3270</v>
      </c>
      <c r="H376" s="8" t="s">
        <v>3271</v>
      </c>
      <c r="I376" s="8" t="s">
        <v>3272</v>
      </c>
      <c r="J376" s="8" t="s">
        <v>117</v>
      </c>
      <c r="K376" s="8" t="s">
        <v>56</v>
      </c>
      <c r="L376" s="7">
        <v>2.835E8</v>
      </c>
      <c r="M376" s="8" t="s">
        <v>52</v>
      </c>
      <c r="N376" s="8" t="s">
        <v>1771</v>
      </c>
      <c r="O376" s="8" t="s">
        <v>200</v>
      </c>
      <c r="P376" s="32">
        <v>43623.0</v>
      </c>
      <c r="Q376" s="7">
        <f>VLOOKUP(G376,'CBs RAW'!$E$2:$P$427,12)</f>
        <v>1.625</v>
      </c>
      <c r="R376" s="32">
        <v>47490.0</v>
      </c>
      <c r="S376" s="8" t="s">
        <v>226</v>
      </c>
      <c r="T376" s="8" t="s">
        <v>175</v>
      </c>
      <c r="U376" s="8" t="s">
        <v>115</v>
      </c>
      <c r="V376" s="8" t="s">
        <v>53</v>
      </c>
      <c r="W376" s="8" t="s">
        <v>3273</v>
      </c>
      <c r="X376" s="33">
        <f>VLOOKUP(G376,'CBs RAW'!$E$2:$W$427,19)</f>
        <v>1.483</v>
      </c>
      <c r="Y376" s="34">
        <f t="shared" si="1"/>
        <v>1.483</v>
      </c>
      <c r="Z376" s="4" t="str">
        <f t="shared" si="2"/>
        <v>Snam SpACALLABLEFIXEDEURSr Unsecured</v>
      </c>
    </row>
    <row r="377">
      <c r="A377" s="8">
        <v>376.0</v>
      </c>
      <c r="B377" s="8" t="s">
        <v>680</v>
      </c>
      <c r="C377" s="8" t="s">
        <v>683</v>
      </c>
      <c r="D377" s="8" t="s">
        <v>57</v>
      </c>
      <c r="E377" s="8" t="str">
        <f>VLOOKUP(G377,'CBs RAW'!$E$2:$H$427,4)</f>
        <v>#N/A N/A</v>
      </c>
      <c r="F377" s="8" t="s">
        <v>368</v>
      </c>
      <c r="G377" s="8" t="s">
        <v>3274</v>
      </c>
      <c r="H377" s="8" t="s">
        <v>3275</v>
      </c>
      <c r="I377" s="8" t="s">
        <v>3276</v>
      </c>
      <c r="J377" s="8" t="s">
        <v>55</v>
      </c>
      <c r="K377" s="8" t="s">
        <v>56</v>
      </c>
      <c r="L377" s="7">
        <v>1.74369E8</v>
      </c>
      <c r="M377" s="8" t="s">
        <v>52</v>
      </c>
      <c r="N377" s="8" t="s">
        <v>1771</v>
      </c>
      <c r="O377" s="8" t="s">
        <v>368</v>
      </c>
      <c r="P377" s="32">
        <v>43349.0</v>
      </c>
      <c r="Q377" s="7">
        <f>VLOOKUP(G377,'CBs RAW'!$E$2:$P$427,12)</f>
        <v>2.875</v>
      </c>
      <c r="R377" s="32">
        <v>45175.0</v>
      </c>
      <c r="S377" s="8" t="s">
        <v>226</v>
      </c>
      <c r="T377" s="8" t="s">
        <v>54</v>
      </c>
      <c r="U377" s="8" t="s">
        <v>49</v>
      </c>
      <c r="V377" s="8" t="s">
        <v>53</v>
      </c>
      <c r="W377" s="8" t="s">
        <v>3277</v>
      </c>
      <c r="X377" s="33">
        <f>VLOOKUP(G377,'CBs RAW'!$E$2:$W$427,19)</f>
        <v>2.796</v>
      </c>
      <c r="Y377" s="34">
        <f t="shared" si="1"/>
        <v>2.796</v>
      </c>
      <c r="Z377" s="4" t="str">
        <f t="shared" si="2"/>
        <v>SSAB ABAT MATURITYFIXEDEURSr Unsecured</v>
      </c>
    </row>
    <row r="378">
      <c r="A378" s="8">
        <v>377.0</v>
      </c>
      <c r="B378" s="8" t="s">
        <v>680</v>
      </c>
      <c r="C378" s="8" t="s">
        <v>683</v>
      </c>
      <c r="D378" s="8" t="s">
        <v>57</v>
      </c>
      <c r="E378" s="8" t="str">
        <f>VLOOKUP(G378,'CBs RAW'!$E$2:$H$427,4)</f>
        <v>#N/A N/A</v>
      </c>
      <c r="F378" s="8" t="s">
        <v>368</v>
      </c>
      <c r="G378" s="8" t="s">
        <v>3278</v>
      </c>
      <c r="H378" s="8" t="s">
        <v>3279</v>
      </c>
      <c r="I378" s="8" t="s">
        <v>3280</v>
      </c>
      <c r="J378" s="8" t="s">
        <v>55</v>
      </c>
      <c r="K378" s="8" t="s">
        <v>56</v>
      </c>
      <c r="L378" s="7">
        <v>6.4815E7</v>
      </c>
      <c r="M378" s="8" t="s">
        <v>52</v>
      </c>
      <c r="N378" s="8" t="s">
        <v>174</v>
      </c>
      <c r="O378" s="8" t="s">
        <v>368</v>
      </c>
      <c r="P378" s="32">
        <v>43642.0</v>
      </c>
      <c r="Q378" s="7">
        <f>VLOOKUP(G378,'CBs RAW'!$E$2:$P$427,12)</f>
        <v>2.75</v>
      </c>
      <c r="R378" s="32">
        <v>45469.0</v>
      </c>
      <c r="S378" s="8" t="s">
        <v>226</v>
      </c>
      <c r="T378" s="8" t="s">
        <v>54</v>
      </c>
      <c r="U378" s="8" t="s">
        <v>49</v>
      </c>
      <c r="V378" s="8" t="s">
        <v>687</v>
      </c>
      <c r="W378" s="8" t="s">
        <v>3281</v>
      </c>
      <c r="X378" s="33">
        <f>VLOOKUP(G378,'CBs RAW'!$E$2:$W$427,19)</f>
        <v>2.673</v>
      </c>
      <c r="Y378" s="34">
        <f t="shared" si="1"/>
        <v>2.673</v>
      </c>
      <c r="Z378" s="4" t="str">
        <f t="shared" si="2"/>
        <v>SSAB ABAT MATURITYFIXEDSEKSr Unsecured</v>
      </c>
    </row>
    <row r="379">
      <c r="A379" s="8">
        <v>378.0</v>
      </c>
      <c r="B379" s="8" t="s">
        <v>680</v>
      </c>
      <c r="C379" s="8" t="s">
        <v>683</v>
      </c>
      <c r="D379" s="8" t="s">
        <v>392</v>
      </c>
      <c r="E379" s="8" t="str">
        <f>VLOOKUP(G379,'CBs RAW'!$E$2:$H$427,4)</f>
        <v>#N/A N/A</v>
      </c>
      <c r="F379" s="8" t="s">
        <v>368</v>
      </c>
      <c r="G379" s="8" t="s">
        <v>3282</v>
      </c>
      <c r="H379" s="8" t="s">
        <v>3283</v>
      </c>
      <c r="I379" s="8" t="s">
        <v>3284</v>
      </c>
      <c r="J379" s="8" t="s">
        <v>55</v>
      </c>
      <c r="K379" s="8" t="s">
        <v>70</v>
      </c>
      <c r="L379" s="7">
        <v>1.51235E8</v>
      </c>
      <c r="M379" s="8" t="s">
        <v>52</v>
      </c>
      <c r="N379" s="8" t="s">
        <v>174</v>
      </c>
      <c r="O379" s="8" t="s">
        <v>368</v>
      </c>
      <c r="P379" s="32">
        <v>43642.0</v>
      </c>
      <c r="Q379" s="7">
        <f>VLOOKUP(G379,'CBs RAW'!$E$2:$P$427,12)</f>
        <v>2.763</v>
      </c>
      <c r="R379" s="32">
        <v>45469.0</v>
      </c>
      <c r="S379" s="8" t="s">
        <v>226</v>
      </c>
      <c r="T379" s="8" t="s">
        <v>54</v>
      </c>
      <c r="U379" s="8" t="s">
        <v>49</v>
      </c>
      <c r="V379" s="8" t="s">
        <v>687</v>
      </c>
      <c r="W379" s="8" t="s">
        <v>3285</v>
      </c>
      <c r="X379" s="33">
        <f>VLOOKUP(G379,'CBs RAW'!$E$2:$W$427,19)</f>
        <v>2.489</v>
      </c>
      <c r="Y379" s="34">
        <f t="shared" si="1"/>
        <v>2.489</v>
      </c>
      <c r="Z379" s="4" t="str">
        <f t="shared" si="2"/>
        <v>SSAB ABAT MATURITYFLOATINGSEKSr Unsecured</v>
      </c>
    </row>
    <row r="380">
      <c r="A380" s="8">
        <v>379.0</v>
      </c>
      <c r="B380" s="8" t="s">
        <v>680</v>
      </c>
      <c r="C380" s="8" t="s">
        <v>683</v>
      </c>
      <c r="D380" s="8" t="s">
        <v>392</v>
      </c>
      <c r="E380" s="8" t="str">
        <f>VLOOKUP(G380,'CBs RAW'!$E$2:$H$427,4)</f>
        <v>#N/A N/A</v>
      </c>
      <c r="F380" s="8" t="s">
        <v>368</v>
      </c>
      <c r="G380" s="8" t="s">
        <v>3286</v>
      </c>
      <c r="H380" s="8" t="s">
        <v>3287</v>
      </c>
      <c r="I380" s="8" t="s">
        <v>3288</v>
      </c>
      <c r="J380" s="8" t="s">
        <v>55</v>
      </c>
      <c r="K380" s="8" t="s">
        <v>343</v>
      </c>
      <c r="L380" s="7">
        <v>5.0E7</v>
      </c>
      <c r="M380" s="8" t="s">
        <v>459</v>
      </c>
      <c r="N380" s="8" t="s">
        <v>1771</v>
      </c>
      <c r="O380" s="8" t="s">
        <v>368</v>
      </c>
      <c r="P380" s="32">
        <v>41724.0</v>
      </c>
      <c r="Q380" s="7" t="str">
        <f>VLOOKUP(G380,'CBs RAW'!$E$2:$P$427,12)</f>
        <v>#N/A N/A</v>
      </c>
      <c r="R380" s="32">
        <v>49035.0</v>
      </c>
      <c r="S380" s="8" t="s">
        <v>174</v>
      </c>
      <c r="T380" s="8" t="s">
        <v>190</v>
      </c>
      <c r="U380" s="8" t="s">
        <v>49</v>
      </c>
      <c r="V380" s="8" t="s">
        <v>263</v>
      </c>
      <c r="W380" s="8" t="s">
        <v>3289</v>
      </c>
      <c r="X380" s="33" t="str">
        <f>VLOOKUP(G380,'CBs RAW'!$E$2:$W$427,19)</f>
        <v>#N/A N/A</v>
      </c>
      <c r="Y380" s="4" t="str">
        <f t="shared" si="1"/>
        <v>#N/A N/A</v>
      </c>
      <c r="Z380" s="4" t="str">
        <f t="shared" si="2"/>
        <v>SSAB ABAT MATURITYVARIABLEUSDSecured</v>
      </c>
    </row>
    <row r="381">
      <c r="A381" s="8">
        <v>380.0</v>
      </c>
      <c r="B381" s="8" t="s">
        <v>680</v>
      </c>
      <c r="C381" s="8" t="s">
        <v>683</v>
      </c>
      <c r="D381" s="8" t="s">
        <v>392</v>
      </c>
      <c r="E381" s="8" t="str">
        <f>VLOOKUP(G381,'CBs RAW'!$E$2:$H$427,4)</f>
        <v>#N/A N/A</v>
      </c>
      <c r="F381" s="8" t="s">
        <v>368</v>
      </c>
      <c r="G381" s="8" t="s">
        <v>3290</v>
      </c>
      <c r="H381" s="8" t="s">
        <v>3291</v>
      </c>
      <c r="I381" s="8" t="s">
        <v>3292</v>
      </c>
      <c r="J381" s="8" t="s">
        <v>55</v>
      </c>
      <c r="K381" s="8" t="s">
        <v>343</v>
      </c>
      <c r="L381" s="7">
        <v>5.0E7</v>
      </c>
      <c r="M381" s="8" t="s">
        <v>459</v>
      </c>
      <c r="N381" s="8" t="s">
        <v>1771</v>
      </c>
      <c r="O381" s="8" t="s">
        <v>368</v>
      </c>
      <c r="P381" s="32">
        <v>42235.0</v>
      </c>
      <c r="Q381" s="7" t="str">
        <f>VLOOKUP(G381,'CBs RAW'!$E$2:$P$427,12)</f>
        <v>#N/A N/A</v>
      </c>
      <c r="R381" s="32">
        <v>49522.0</v>
      </c>
      <c r="S381" s="8" t="s">
        <v>351</v>
      </c>
      <c r="T381" s="8" t="s">
        <v>190</v>
      </c>
      <c r="U381" s="8" t="s">
        <v>3293</v>
      </c>
      <c r="V381" s="8" t="s">
        <v>263</v>
      </c>
      <c r="W381" s="8" t="s">
        <v>3294</v>
      </c>
      <c r="X381" s="33" t="str">
        <f>VLOOKUP(G381,'CBs RAW'!$E$2:$W$427,19)</f>
        <v>#N/A N/A</v>
      </c>
      <c r="Y381" s="4" t="str">
        <f t="shared" si="1"/>
        <v>#N/A N/A</v>
      </c>
      <c r="Z381" s="4" t="str">
        <f t="shared" si="2"/>
        <v>SSAB ABCALL/PUTVARIABLEUSDSecured</v>
      </c>
    </row>
    <row r="382">
      <c r="A382" s="8">
        <v>381.0</v>
      </c>
      <c r="B382" s="8" t="s">
        <v>755</v>
      </c>
      <c r="C382" s="8" t="s">
        <v>758</v>
      </c>
      <c r="D382" s="8" t="s">
        <v>71</v>
      </c>
      <c r="E382" s="8">
        <f>VLOOKUP(G382,'CBs RAW'!$E$2:$H$427,4)</f>
        <v>7.375</v>
      </c>
      <c r="F382" s="8" t="s">
        <v>259</v>
      </c>
      <c r="G382" s="8" t="s">
        <v>3295</v>
      </c>
      <c r="H382" s="8" t="s">
        <v>3296</v>
      </c>
      <c r="I382" s="8" t="s">
        <v>3297</v>
      </c>
      <c r="J382" s="8" t="s">
        <v>55</v>
      </c>
      <c r="K382" s="8" t="s">
        <v>56</v>
      </c>
      <c r="L382" s="7">
        <v>1.25E9</v>
      </c>
      <c r="M382" s="8" t="s">
        <v>52</v>
      </c>
      <c r="N382" s="8" t="s">
        <v>1776</v>
      </c>
      <c r="O382" s="8" t="s">
        <v>258</v>
      </c>
      <c r="P382" s="32">
        <v>42810.0</v>
      </c>
      <c r="Q382" s="7">
        <f>VLOOKUP(G382,'CBs RAW'!$E$2:$P$427,12)</f>
        <v>7</v>
      </c>
      <c r="R382" s="32">
        <v>53767.0</v>
      </c>
      <c r="S382" s="8" t="s">
        <v>262</v>
      </c>
      <c r="T382" s="8" t="s">
        <v>497</v>
      </c>
      <c r="U382" s="8" t="s">
        <v>115</v>
      </c>
      <c r="V382" s="8" t="s">
        <v>263</v>
      </c>
      <c r="W382" s="8" t="s">
        <v>3298</v>
      </c>
      <c r="X382" s="33">
        <f>VLOOKUP(G382,'CBs RAW'!$E$2:$W$427,19)</f>
        <v>7.177</v>
      </c>
      <c r="Y382" s="34">
        <f t="shared" si="1"/>
        <v>7.177</v>
      </c>
      <c r="Z382" s="4" t="str">
        <f t="shared" si="2"/>
        <v>Suzano Austria GmbHCALLABLEFIXEDUSDSr Unsecured</v>
      </c>
    </row>
    <row r="383">
      <c r="A383" s="8">
        <v>382.0</v>
      </c>
      <c r="B383" s="8" t="s">
        <v>755</v>
      </c>
      <c r="C383" s="8" t="s">
        <v>758</v>
      </c>
      <c r="D383" s="8" t="s">
        <v>71</v>
      </c>
      <c r="E383" s="8">
        <f>VLOOKUP(G383,'CBs RAW'!$E$2:$H$427,4)</f>
        <v>7.375</v>
      </c>
      <c r="F383" s="8" t="s">
        <v>259</v>
      </c>
      <c r="G383" s="8" t="s">
        <v>3299</v>
      </c>
      <c r="H383" s="8" t="s">
        <v>3300</v>
      </c>
      <c r="I383" s="8" t="s">
        <v>3301</v>
      </c>
      <c r="J383" s="8" t="s">
        <v>55</v>
      </c>
      <c r="K383" s="8" t="s">
        <v>56</v>
      </c>
      <c r="L383" s="7">
        <v>1.25E9</v>
      </c>
      <c r="M383" s="8" t="s">
        <v>52</v>
      </c>
      <c r="N383" s="8" t="s">
        <v>1776</v>
      </c>
      <c r="O383" s="8" t="s">
        <v>258</v>
      </c>
      <c r="P383" s="32">
        <v>42810.0</v>
      </c>
      <c r="Q383" s="7">
        <f>VLOOKUP(G383,'CBs RAW'!$E$2:$P$427,12)</f>
        <v>7</v>
      </c>
      <c r="R383" s="32">
        <v>53767.0</v>
      </c>
      <c r="S383" s="8" t="s">
        <v>271</v>
      </c>
      <c r="T383" s="8" t="s">
        <v>497</v>
      </c>
      <c r="U383" s="8" t="s">
        <v>115</v>
      </c>
      <c r="V383" s="8" t="s">
        <v>263</v>
      </c>
      <c r="W383" s="8" t="s">
        <v>3302</v>
      </c>
      <c r="X383" s="33">
        <f>VLOOKUP(G383,'CBs RAW'!$E$2:$W$427,19)</f>
        <v>7.186</v>
      </c>
      <c r="Y383" s="34">
        <f t="shared" si="1"/>
        <v>7.186</v>
      </c>
      <c r="Z383" s="4" t="str">
        <f t="shared" si="2"/>
        <v>Suzano Austria GmbHCALLABLEFIXEDUSDSr Unsecured</v>
      </c>
    </row>
    <row r="384">
      <c r="A384" s="8">
        <v>383.0</v>
      </c>
      <c r="B384" s="8" t="s">
        <v>755</v>
      </c>
      <c r="C384" s="8" t="s">
        <v>758</v>
      </c>
      <c r="D384" s="8" t="s">
        <v>71</v>
      </c>
      <c r="E384" s="8">
        <f>VLOOKUP(G384,'CBs RAW'!$E$2:$H$427,4)</f>
        <v>6.125</v>
      </c>
      <c r="F384" s="8" t="s">
        <v>259</v>
      </c>
      <c r="G384" s="8" t="s">
        <v>3303</v>
      </c>
      <c r="H384" s="8" t="s">
        <v>3304</v>
      </c>
      <c r="I384" s="8" t="s">
        <v>3305</v>
      </c>
      <c r="J384" s="8" t="s">
        <v>55</v>
      </c>
      <c r="K384" s="8" t="s">
        <v>56</v>
      </c>
      <c r="L384" s="7">
        <v>1.75E9</v>
      </c>
      <c r="M384" s="8" t="s">
        <v>52</v>
      </c>
      <c r="N384" s="8" t="s">
        <v>1776</v>
      </c>
      <c r="O384" s="8" t="s">
        <v>258</v>
      </c>
      <c r="P384" s="32">
        <v>43363.0</v>
      </c>
      <c r="Q384" s="7">
        <f>VLOOKUP(G384,'CBs RAW'!$E$2:$P$427,12)</f>
        <v>6</v>
      </c>
      <c r="R384" s="32">
        <v>47133.0</v>
      </c>
      <c r="S384" s="8" t="s">
        <v>262</v>
      </c>
      <c r="T384" s="8" t="s">
        <v>497</v>
      </c>
      <c r="U384" s="8" t="s">
        <v>115</v>
      </c>
      <c r="V384" s="8" t="s">
        <v>263</v>
      </c>
      <c r="W384" s="8" t="s">
        <v>3306</v>
      </c>
      <c r="X384" s="33" t="str">
        <f>VLOOKUP(G384,'CBs RAW'!$E$2:$W$427,19)</f>
        <v>#N/A N/A</v>
      </c>
      <c r="Y384" s="4">
        <f t="shared" si="1"/>
        <v>6.125</v>
      </c>
      <c r="Z384" s="4" t="str">
        <f t="shared" si="2"/>
        <v>Suzano Austria GmbHCALLABLEFIXEDUSDSr Unsecured</v>
      </c>
    </row>
    <row r="385">
      <c r="A385" s="8">
        <v>384.0</v>
      </c>
      <c r="B385" s="8" t="s">
        <v>755</v>
      </c>
      <c r="C385" s="8" t="s">
        <v>758</v>
      </c>
      <c r="D385" s="8" t="s">
        <v>71</v>
      </c>
      <c r="E385" s="8">
        <f>VLOOKUP(G385,'CBs RAW'!$E$2:$H$427,4)</f>
        <v>6.125</v>
      </c>
      <c r="F385" s="8" t="s">
        <v>259</v>
      </c>
      <c r="G385" s="8" t="s">
        <v>3307</v>
      </c>
      <c r="H385" s="8" t="s">
        <v>3308</v>
      </c>
      <c r="I385" s="8" t="s">
        <v>3309</v>
      </c>
      <c r="J385" s="8" t="s">
        <v>55</v>
      </c>
      <c r="K385" s="8" t="s">
        <v>56</v>
      </c>
      <c r="L385" s="7">
        <v>1.75E9</v>
      </c>
      <c r="M385" s="8" t="s">
        <v>52</v>
      </c>
      <c r="N385" s="8" t="s">
        <v>1776</v>
      </c>
      <c r="O385" s="8" t="s">
        <v>258</v>
      </c>
      <c r="P385" s="32">
        <v>43363.0</v>
      </c>
      <c r="Q385" s="7">
        <f>VLOOKUP(G385,'CBs RAW'!$E$2:$P$427,12)</f>
        <v>6</v>
      </c>
      <c r="R385" s="32">
        <v>47133.0</v>
      </c>
      <c r="S385" s="8" t="s">
        <v>271</v>
      </c>
      <c r="T385" s="8" t="s">
        <v>497</v>
      </c>
      <c r="U385" s="8" t="s">
        <v>115</v>
      </c>
      <c r="V385" s="8" t="s">
        <v>263</v>
      </c>
      <c r="W385" s="8" t="s">
        <v>3310</v>
      </c>
      <c r="X385" s="33" t="str">
        <f>VLOOKUP(G385,'CBs RAW'!$E$2:$W$427,19)</f>
        <v>#N/A N/A</v>
      </c>
      <c r="Y385" s="4">
        <f t="shared" si="1"/>
        <v>6.125</v>
      </c>
      <c r="Z385" s="4" t="str">
        <f t="shared" si="2"/>
        <v>Suzano Austria GmbHCALLABLEFIXEDUSDSr Unsecured</v>
      </c>
    </row>
    <row r="386">
      <c r="A386" s="8">
        <v>385.0</v>
      </c>
      <c r="B386" s="8" t="s">
        <v>755</v>
      </c>
      <c r="C386" s="8" t="s">
        <v>758</v>
      </c>
      <c r="D386" s="8" t="s">
        <v>71</v>
      </c>
      <c r="E386" s="8" t="str">
        <f>VLOOKUP(G386,'CBs RAW'!$E$2:$H$427,4)</f>
        <v>#N/A N/A</v>
      </c>
      <c r="F386" s="8" t="s">
        <v>259</v>
      </c>
      <c r="G386" s="8" t="s">
        <v>3311</v>
      </c>
      <c r="H386" s="8" t="s">
        <v>3312</v>
      </c>
      <c r="I386" s="8" t="s">
        <v>3313</v>
      </c>
      <c r="J386" s="8" t="s">
        <v>55</v>
      </c>
      <c r="K386" s="8" t="s">
        <v>56</v>
      </c>
      <c r="L386" s="7">
        <v>1.74816E9</v>
      </c>
      <c r="M386" s="8" t="s">
        <v>52</v>
      </c>
      <c r="N386" s="8" t="s">
        <v>1776</v>
      </c>
      <c r="O386" s="8" t="s">
        <v>258</v>
      </c>
      <c r="P386" s="32">
        <v>43691.0</v>
      </c>
      <c r="Q386" s="7">
        <f>VLOOKUP(G386,'CBs RAW'!$E$2:$P$427,12)</f>
        <v>6</v>
      </c>
      <c r="R386" s="32">
        <v>47133.0</v>
      </c>
      <c r="S386" s="8" t="s">
        <v>174</v>
      </c>
      <c r="T386" s="8" t="s">
        <v>497</v>
      </c>
      <c r="U386" s="8" t="s">
        <v>115</v>
      </c>
      <c r="V386" s="8" t="s">
        <v>263</v>
      </c>
      <c r="W386" s="8" t="s">
        <v>3314</v>
      </c>
      <c r="X386" s="33" t="str">
        <f>VLOOKUP(G386,'CBs RAW'!$E$2:$W$427,19)</f>
        <v>#N/A N/A</v>
      </c>
      <c r="Y386" s="4" t="str">
        <f t="shared" si="1"/>
        <v>#N/A N/A</v>
      </c>
      <c r="Z386" s="4" t="str">
        <f t="shared" si="2"/>
        <v>Suzano Austria GmbHCALLABLEFIXEDUSDSr Unsecured</v>
      </c>
    </row>
    <row r="387">
      <c r="A387" s="8">
        <v>386.0</v>
      </c>
      <c r="B387" s="8" t="s">
        <v>755</v>
      </c>
      <c r="C387" s="8" t="s">
        <v>758</v>
      </c>
      <c r="D387" s="8" t="s">
        <v>71</v>
      </c>
      <c r="E387" s="8" t="str">
        <f>VLOOKUP(G387,'CBs RAW'!$E$2:$H$427,4)</f>
        <v>#N/A N/A</v>
      </c>
      <c r="F387" s="8" t="s">
        <v>259</v>
      </c>
      <c r="G387" s="8" t="s">
        <v>3315</v>
      </c>
      <c r="H387" s="8" t="s">
        <v>3316</v>
      </c>
      <c r="I387" s="8" t="s">
        <v>3317</v>
      </c>
      <c r="J387" s="8" t="s">
        <v>55</v>
      </c>
      <c r="K387" s="8" t="s">
        <v>56</v>
      </c>
      <c r="L387" s="7">
        <v>9.99904E8</v>
      </c>
      <c r="M387" s="8" t="s">
        <v>52</v>
      </c>
      <c r="N387" s="8" t="s">
        <v>174</v>
      </c>
      <c r="O387" s="8" t="s">
        <v>258</v>
      </c>
      <c r="P387" s="32">
        <v>43691.0</v>
      </c>
      <c r="Q387" s="7">
        <f>VLOOKUP(G387,'CBs RAW'!$E$2:$P$427,12)</f>
        <v>5</v>
      </c>
      <c r="R387" s="32">
        <v>47498.0</v>
      </c>
      <c r="S387" s="8" t="s">
        <v>174</v>
      </c>
      <c r="T387" s="8" t="s">
        <v>497</v>
      </c>
      <c r="U387" s="8" t="s">
        <v>115</v>
      </c>
      <c r="V387" s="8" t="s">
        <v>263</v>
      </c>
      <c r="W387" s="8" t="s">
        <v>3318</v>
      </c>
      <c r="X387" s="33" t="str">
        <f>VLOOKUP(G387,'CBs RAW'!$E$2:$W$427,19)</f>
        <v>#N/A N/A</v>
      </c>
      <c r="Y387" s="4" t="str">
        <f t="shared" si="1"/>
        <v>#N/A N/A</v>
      </c>
      <c r="Z387" s="4" t="str">
        <f t="shared" si="2"/>
        <v>Suzano Austria GmbHCALLABLEFIXEDUSDSr Unsecured</v>
      </c>
    </row>
    <row r="388">
      <c r="A388" s="8">
        <v>387.0</v>
      </c>
      <c r="B388" s="8" t="s">
        <v>755</v>
      </c>
      <c r="C388" s="8" t="s">
        <v>758</v>
      </c>
      <c r="D388" s="8" t="s">
        <v>71</v>
      </c>
      <c r="E388" s="8">
        <f>VLOOKUP(G388,'CBs RAW'!$E$2:$H$427,4)</f>
        <v>5.18</v>
      </c>
      <c r="F388" s="8" t="s">
        <v>259</v>
      </c>
      <c r="G388" s="8" t="s">
        <v>3319</v>
      </c>
      <c r="H388" s="8" t="s">
        <v>3320</v>
      </c>
      <c r="I388" s="8" t="s">
        <v>3321</v>
      </c>
      <c r="J388" s="8" t="s">
        <v>55</v>
      </c>
      <c r="K388" s="8" t="s">
        <v>56</v>
      </c>
      <c r="L388" s="7">
        <v>1.0E9</v>
      </c>
      <c r="M388" s="8" t="s">
        <v>52</v>
      </c>
      <c r="N388" s="8" t="s">
        <v>1776</v>
      </c>
      <c r="O388" s="8" t="s">
        <v>258</v>
      </c>
      <c r="P388" s="32">
        <v>43614.0</v>
      </c>
      <c r="Q388" s="7">
        <f>VLOOKUP(G388,'CBs RAW'!$E$2:$P$427,12)</f>
        <v>5</v>
      </c>
      <c r="R388" s="32">
        <v>47498.0</v>
      </c>
      <c r="S388" s="8" t="s">
        <v>262</v>
      </c>
      <c r="T388" s="8" t="s">
        <v>497</v>
      </c>
      <c r="U388" s="8" t="s">
        <v>115</v>
      </c>
      <c r="V388" s="8" t="s">
        <v>263</v>
      </c>
      <c r="W388" s="8" t="s">
        <v>3322</v>
      </c>
      <c r="X388" s="33">
        <f>VLOOKUP(G388,'CBs RAW'!$E$2:$W$427,19)</f>
        <v>5.268</v>
      </c>
      <c r="Y388" s="34">
        <f t="shared" si="1"/>
        <v>5.268</v>
      </c>
      <c r="Z388" s="4" t="str">
        <f t="shared" si="2"/>
        <v>Suzano Austria GmbHCALLABLEFIXEDUSDSr Unsecured</v>
      </c>
    </row>
    <row r="389">
      <c r="A389" s="8">
        <v>388.0</v>
      </c>
      <c r="B389" s="8" t="s">
        <v>755</v>
      </c>
      <c r="C389" s="8" t="s">
        <v>758</v>
      </c>
      <c r="D389" s="8" t="s">
        <v>71</v>
      </c>
      <c r="E389" s="8">
        <f>VLOOKUP(G389,'CBs RAW'!$E$2:$H$427,4)</f>
        <v>5.18</v>
      </c>
      <c r="F389" s="8" t="s">
        <v>259</v>
      </c>
      <c r="G389" s="8" t="s">
        <v>3323</v>
      </c>
      <c r="H389" s="8" t="s">
        <v>3324</v>
      </c>
      <c r="I389" s="8" t="s">
        <v>3325</v>
      </c>
      <c r="J389" s="8" t="s">
        <v>55</v>
      </c>
      <c r="K389" s="8" t="s">
        <v>56</v>
      </c>
      <c r="L389" s="7">
        <v>1.0E9</v>
      </c>
      <c r="M389" s="8" t="s">
        <v>52</v>
      </c>
      <c r="N389" s="8" t="s">
        <v>1776</v>
      </c>
      <c r="O389" s="8" t="s">
        <v>258</v>
      </c>
      <c r="P389" s="32">
        <v>43614.0</v>
      </c>
      <c r="Q389" s="7">
        <f>VLOOKUP(G389,'CBs RAW'!$E$2:$P$427,12)</f>
        <v>5</v>
      </c>
      <c r="R389" s="32">
        <v>47498.0</v>
      </c>
      <c r="S389" s="8" t="s">
        <v>271</v>
      </c>
      <c r="T389" s="8" t="s">
        <v>497</v>
      </c>
      <c r="U389" s="8" t="s">
        <v>115</v>
      </c>
      <c r="V389" s="8" t="s">
        <v>263</v>
      </c>
      <c r="W389" s="8" t="s">
        <v>3326</v>
      </c>
      <c r="X389" s="33">
        <f>VLOOKUP(G389,'CBs RAW'!$E$2:$W$427,19)</f>
        <v>5.271</v>
      </c>
      <c r="Y389" s="34">
        <f t="shared" si="1"/>
        <v>5.271</v>
      </c>
      <c r="Z389" s="4" t="str">
        <f t="shared" si="2"/>
        <v>Suzano Austria GmbHCALLABLEFIXEDUSDSr Unsecured</v>
      </c>
    </row>
    <row r="390">
      <c r="A390" s="8">
        <v>389.0</v>
      </c>
      <c r="B390" s="8" t="s">
        <v>108</v>
      </c>
      <c r="C390" s="8" t="s">
        <v>111</v>
      </c>
      <c r="D390" s="8" t="s">
        <v>57</v>
      </c>
      <c r="E390" s="8" t="str">
        <f>VLOOKUP(G390,'CBs RAW'!$E$2:$H$427,4)</f>
        <v>#N/A N/A</v>
      </c>
      <c r="F390" s="8" t="s">
        <v>112</v>
      </c>
      <c r="G390" s="8" t="s">
        <v>3327</v>
      </c>
      <c r="H390" s="8" t="s">
        <v>3328</v>
      </c>
      <c r="I390" s="8" t="s">
        <v>3329</v>
      </c>
      <c r="J390" s="8" t="s">
        <v>55</v>
      </c>
      <c r="K390" s="8" t="s">
        <v>56</v>
      </c>
      <c r="L390" s="7">
        <v>5.6692E8</v>
      </c>
      <c r="M390" s="8" t="s">
        <v>52</v>
      </c>
      <c r="N390" s="8" t="s">
        <v>1776</v>
      </c>
      <c r="O390" s="8" t="s">
        <v>112</v>
      </c>
      <c r="P390" s="32">
        <v>42921.0</v>
      </c>
      <c r="Q390" s="7">
        <f>VLOOKUP(G390,'CBs RAW'!$E$2:$P$427,12)</f>
        <v>2.375</v>
      </c>
      <c r="R390" s="32">
        <v>46573.0</v>
      </c>
      <c r="S390" s="8" t="s">
        <v>174</v>
      </c>
      <c r="T390" s="8" t="s">
        <v>190</v>
      </c>
      <c r="U390" s="8" t="s">
        <v>49</v>
      </c>
      <c r="V390" s="8" t="s">
        <v>53</v>
      </c>
      <c r="W390" s="8" t="s">
        <v>3330</v>
      </c>
      <c r="X390" s="33">
        <f>VLOOKUP(G390,'CBs RAW'!$E$2:$W$427,19)</f>
        <v>2.322</v>
      </c>
      <c r="Y390" s="34">
        <f t="shared" si="1"/>
        <v>2.322</v>
      </c>
      <c r="Z390" s="4" t="str">
        <f t="shared" si="2"/>
        <v>Tauron Polska Energia SAAT MATURITYFIXEDEURSr Unsecured</v>
      </c>
    </row>
    <row r="391">
      <c r="A391" s="8">
        <v>390.0</v>
      </c>
      <c r="B391" s="8" t="s">
        <v>1043</v>
      </c>
      <c r="C391" s="8" t="s">
        <v>1046</v>
      </c>
      <c r="D391" s="8" t="s">
        <v>71</v>
      </c>
      <c r="E391" s="8">
        <f>VLOOKUP(G391,'CBs RAW'!$E$2:$H$427,4)</f>
        <v>4.5</v>
      </c>
      <c r="F391" s="8" t="s">
        <v>1047</v>
      </c>
      <c r="G391" s="8" t="s">
        <v>3331</v>
      </c>
      <c r="H391" s="8" t="s">
        <v>3332</v>
      </c>
      <c r="I391" s="8" t="s">
        <v>3333</v>
      </c>
      <c r="J391" s="8" t="s">
        <v>55</v>
      </c>
      <c r="K391" s="8" t="s">
        <v>56</v>
      </c>
      <c r="L391" s="7">
        <v>1.113759E9</v>
      </c>
      <c r="M391" s="8" t="s">
        <v>52</v>
      </c>
      <c r="N391" s="8" t="s">
        <v>1776</v>
      </c>
      <c r="O391" s="8" t="s">
        <v>367</v>
      </c>
      <c r="P391" s="32">
        <v>43173.0</v>
      </c>
      <c r="Q391" s="7">
        <f>VLOOKUP(G391,'CBs RAW'!$E$2:$P$427,12)</f>
        <v>4.5</v>
      </c>
      <c r="R391" s="32">
        <v>45717.0</v>
      </c>
      <c r="S391" s="8" t="s">
        <v>262</v>
      </c>
      <c r="T391" s="8" t="s">
        <v>297</v>
      </c>
      <c r="U391" s="8" t="s">
        <v>115</v>
      </c>
      <c r="V391" s="8" t="s">
        <v>53</v>
      </c>
      <c r="W391" s="8" t="s">
        <v>3334</v>
      </c>
      <c r="X391" s="33">
        <f>VLOOKUP(G391,'CBs RAW'!$E$2:$W$427,19)</f>
        <v>4.282</v>
      </c>
      <c r="Y391" s="34">
        <f t="shared" si="1"/>
        <v>4.282</v>
      </c>
      <c r="Z391" s="4" t="str">
        <f t="shared" si="2"/>
        <v>Teva Pharmaceutical Finance Netherlands II BVCALLABLEFIXEDEURSr Unsecured</v>
      </c>
    </row>
    <row r="392">
      <c r="A392" s="8">
        <v>391.0</v>
      </c>
      <c r="B392" s="8" t="s">
        <v>1043</v>
      </c>
      <c r="C392" s="8" t="s">
        <v>1046</v>
      </c>
      <c r="D392" s="8" t="s">
        <v>71</v>
      </c>
      <c r="E392" s="8">
        <f>VLOOKUP(G392,'CBs RAW'!$E$2:$H$427,4)</f>
        <v>4.5</v>
      </c>
      <c r="F392" s="8" t="s">
        <v>1047</v>
      </c>
      <c r="G392" s="8" t="s">
        <v>3335</v>
      </c>
      <c r="H392" s="8" t="s">
        <v>3336</v>
      </c>
      <c r="I392" s="8" t="s">
        <v>3337</v>
      </c>
      <c r="J392" s="8" t="s">
        <v>55</v>
      </c>
      <c r="K392" s="8" t="s">
        <v>56</v>
      </c>
      <c r="L392" s="7">
        <v>1.113759E9</v>
      </c>
      <c r="M392" s="8" t="s">
        <v>52</v>
      </c>
      <c r="N392" s="8" t="s">
        <v>1776</v>
      </c>
      <c r="O392" s="8" t="s">
        <v>367</v>
      </c>
      <c r="P392" s="32">
        <v>43173.0</v>
      </c>
      <c r="Q392" s="7">
        <f>VLOOKUP(G392,'CBs RAW'!$E$2:$P$427,12)</f>
        <v>4.5</v>
      </c>
      <c r="R392" s="32">
        <v>45717.0</v>
      </c>
      <c r="S392" s="8" t="s">
        <v>271</v>
      </c>
      <c r="T392" s="8" t="s">
        <v>297</v>
      </c>
      <c r="U392" s="8" t="s">
        <v>115</v>
      </c>
      <c r="V392" s="8" t="s">
        <v>53</v>
      </c>
      <c r="W392" s="8" t="s">
        <v>3338</v>
      </c>
      <c r="X392" s="33">
        <f>VLOOKUP(G392,'CBs RAW'!$E$2:$W$427,19)</f>
        <v>4.282</v>
      </c>
      <c r="Y392" s="34">
        <f t="shared" si="1"/>
        <v>4.282</v>
      </c>
      <c r="Z392" s="4" t="str">
        <f t="shared" si="2"/>
        <v>Teva Pharmaceutical Finance Netherlands II BVCALLABLEFIXEDEURSr Unsecured</v>
      </c>
    </row>
    <row r="393">
      <c r="A393" s="8">
        <v>392.0</v>
      </c>
      <c r="B393" s="8" t="s">
        <v>1043</v>
      </c>
      <c r="C393" s="8" t="s">
        <v>1046</v>
      </c>
      <c r="D393" s="8" t="s">
        <v>71</v>
      </c>
      <c r="E393" s="8" t="str">
        <f>VLOOKUP(G393,'CBs RAW'!$E$2:$H$427,4)</f>
        <v>#N/A N/A</v>
      </c>
      <c r="F393" s="8" t="s">
        <v>1047</v>
      </c>
      <c r="G393" s="8" t="s">
        <v>3339</v>
      </c>
      <c r="H393" s="8" t="s">
        <v>3340</v>
      </c>
      <c r="I393" s="8" t="s">
        <v>3341</v>
      </c>
      <c r="J393" s="8" t="s">
        <v>55</v>
      </c>
      <c r="K393" s="8" t="s">
        <v>56</v>
      </c>
      <c r="L393" s="7">
        <v>1.059816988E9</v>
      </c>
      <c r="M393" s="8" t="s">
        <v>52</v>
      </c>
      <c r="N393" s="8" t="s">
        <v>1776</v>
      </c>
      <c r="O393" s="8" t="s">
        <v>367</v>
      </c>
      <c r="P393" s="32">
        <v>43237.0</v>
      </c>
      <c r="Q393" s="7">
        <f>VLOOKUP(G393,'CBs RAW'!$E$2:$P$427,12)</f>
        <v>4.5</v>
      </c>
      <c r="R393" s="32">
        <v>45717.0</v>
      </c>
      <c r="S393" s="8" t="s">
        <v>174</v>
      </c>
      <c r="T393" s="8" t="s">
        <v>297</v>
      </c>
      <c r="U393" s="8" t="s">
        <v>115</v>
      </c>
      <c r="V393" s="8" t="s">
        <v>53</v>
      </c>
      <c r="W393" s="8" t="s">
        <v>3342</v>
      </c>
      <c r="X393" s="33" t="str">
        <f>VLOOKUP(G393,'CBs RAW'!$E$2:$W$427,19)</f>
        <v>#N/A N/A</v>
      </c>
      <c r="Y393" s="4" t="str">
        <f t="shared" si="1"/>
        <v>#N/A N/A</v>
      </c>
      <c r="Z393" s="4" t="str">
        <f t="shared" si="2"/>
        <v>Teva Pharmaceutical Finance Netherlands II BVCALLABLEFIXEDEURSr Unsecured</v>
      </c>
    </row>
    <row r="394">
      <c r="A394" s="8">
        <v>393.0</v>
      </c>
      <c r="B394" s="8" t="s">
        <v>1043</v>
      </c>
      <c r="C394" s="8" t="s">
        <v>1046</v>
      </c>
      <c r="D394" s="8" t="s">
        <v>57</v>
      </c>
      <c r="E394" s="8" t="str">
        <f>VLOOKUP(G394,'CBs RAW'!$E$2:$H$427,4)</f>
        <v>#N/A N/A</v>
      </c>
      <c r="F394" s="8" t="s">
        <v>1047</v>
      </c>
      <c r="G394" s="8" t="s">
        <v>3343</v>
      </c>
      <c r="H394" s="8" t="s">
        <v>3344</v>
      </c>
      <c r="I394" s="8" t="s">
        <v>3345</v>
      </c>
      <c r="J394" s="8" t="s">
        <v>55</v>
      </c>
      <c r="K394" s="8" t="s">
        <v>56</v>
      </c>
      <c r="L394" s="7">
        <v>7.50974E8</v>
      </c>
      <c r="M394" s="8" t="s">
        <v>52</v>
      </c>
      <c r="N394" s="8" t="s">
        <v>1771</v>
      </c>
      <c r="O394" s="8" t="s">
        <v>367</v>
      </c>
      <c r="P394" s="32">
        <v>42094.0</v>
      </c>
      <c r="Q394" s="7">
        <f>VLOOKUP(G394,'CBs RAW'!$E$2:$P$427,12)</f>
        <v>1.875</v>
      </c>
      <c r="R394" s="32">
        <v>46477.0</v>
      </c>
      <c r="S394" s="8" t="s">
        <v>174</v>
      </c>
      <c r="T394" s="8" t="s">
        <v>297</v>
      </c>
      <c r="U394" s="8" t="s">
        <v>115</v>
      </c>
      <c r="V394" s="8" t="s">
        <v>53</v>
      </c>
      <c r="W394" s="8" t="s">
        <v>3346</v>
      </c>
      <c r="X394" s="33">
        <f>VLOOKUP(G394,'CBs RAW'!$E$2:$W$427,19)</f>
        <v>1.822</v>
      </c>
      <c r="Y394" s="34">
        <f t="shared" si="1"/>
        <v>1.822</v>
      </c>
      <c r="Z394" s="4" t="str">
        <f t="shared" si="2"/>
        <v>Teva Pharmaceutical Finance Netherlands II BVCALLABLEFIXEDEURSr Unsecured</v>
      </c>
    </row>
    <row r="395">
      <c r="A395" s="8">
        <v>394.0</v>
      </c>
      <c r="B395" s="8" t="s">
        <v>1043</v>
      </c>
      <c r="C395" s="8" t="s">
        <v>1046</v>
      </c>
      <c r="D395" s="8" t="s">
        <v>57</v>
      </c>
      <c r="E395" s="8" t="str">
        <f>VLOOKUP(G395,'CBs RAW'!$E$2:$H$427,4)</f>
        <v>#N/A N/A</v>
      </c>
      <c r="F395" s="8" t="s">
        <v>1047</v>
      </c>
      <c r="G395" s="8" t="s">
        <v>3347</v>
      </c>
      <c r="H395" s="8" t="s">
        <v>3348</v>
      </c>
      <c r="I395" s="8" t="s">
        <v>3349</v>
      </c>
      <c r="J395" s="8" t="s">
        <v>55</v>
      </c>
      <c r="K395" s="8" t="s">
        <v>56</v>
      </c>
      <c r="L395" s="7">
        <v>1.394666E9</v>
      </c>
      <c r="M395" s="8" t="s">
        <v>52</v>
      </c>
      <c r="N395" s="8" t="s">
        <v>1771</v>
      </c>
      <c r="O395" s="8" t="s">
        <v>367</v>
      </c>
      <c r="P395" s="32">
        <v>42094.0</v>
      </c>
      <c r="Q395" s="7">
        <f>VLOOKUP(G395,'CBs RAW'!$E$2:$P$427,12)</f>
        <v>1.25</v>
      </c>
      <c r="R395" s="32">
        <v>45016.0</v>
      </c>
      <c r="S395" s="8" t="s">
        <v>174</v>
      </c>
      <c r="T395" s="8" t="s">
        <v>297</v>
      </c>
      <c r="U395" s="8" t="s">
        <v>115</v>
      </c>
      <c r="V395" s="8" t="s">
        <v>53</v>
      </c>
      <c r="W395" s="8" t="s">
        <v>3350</v>
      </c>
      <c r="X395" s="33">
        <f>VLOOKUP(G395,'CBs RAW'!$E$2:$W$427,19)</f>
        <v>1.179</v>
      </c>
      <c r="Y395" s="34">
        <f t="shared" si="1"/>
        <v>1.179</v>
      </c>
      <c r="Z395" s="4" t="str">
        <f t="shared" si="2"/>
        <v>Teva Pharmaceutical Finance Netherlands II BVCALLABLEFIXEDEURSr Unsecured</v>
      </c>
    </row>
    <row r="396">
      <c r="A396" s="8">
        <v>395.0</v>
      </c>
      <c r="B396" s="8" t="s">
        <v>1043</v>
      </c>
      <c r="C396" s="8" t="s">
        <v>1046</v>
      </c>
      <c r="D396" s="8" t="s">
        <v>57</v>
      </c>
      <c r="E396" s="8" t="str">
        <f>VLOOKUP(G396,'CBs RAW'!$E$2:$H$427,4)</f>
        <v>#N/A N/A</v>
      </c>
      <c r="F396" s="8" t="s">
        <v>1047</v>
      </c>
      <c r="G396" s="8" t="s">
        <v>3351</v>
      </c>
      <c r="H396" s="8" t="s">
        <v>3352</v>
      </c>
      <c r="I396" s="8" t="s">
        <v>3353</v>
      </c>
      <c r="J396" s="8" t="s">
        <v>55</v>
      </c>
      <c r="K396" s="8" t="s">
        <v>56</v>
      </c>
      <c r="L396" s="7">
        <v>1.64808E9</v>
      </c>
      <c r="M396" s="8" t="s">
        <v>52</v>
      </c>
      <c r="N396" s="8" t="s">
        <v>2895</v>
      </c>
      <c r="O396" s="8" t="s">
        <v>367</v>
      </c>
      <c r="P396" s="32">
        <v>42576.0</v>
      </c>
      <c r="Q396" s="7">
        <f>VLOOKUP(G396,'CBs RAW'!$E$2:$P$427,12)</f>
        <v>1.125</v>
      </c>
      <c r="R396" s="32">
        <v>45580.0</v>
      </c>
      <c r="S396" s="8" t="s">
        <v>174</v>
      </c>
      <c r="T396" s="8" t="s">
        <v>297</v>
      </c>
      <c r="U396" s="8" t="s">
        <v>49</v>
      </c>
      <c r="V396" s="8" t="s">
        <v>53</v>
      </c>
      <c r="W396" s="8" t="s">
        <v>3354</v>
      </c>
      <c r="X396" s="33">
        <f>VLOOKUP(G396,'CBs RAW'!$E$2:$W$427,19)</f>
        <v>0.919</v>
      </c>
      <c r="Y396" s="34">
        <f t="shared" si="1"/>
        <v>0.919</v>
      </c>
      <c r="Z396" s="4" t="str">
        <f t="shared" si="2"/>
        <v>Teva Pharmaceutical Finance Netherlands II BVAT MATURITYFIXEDEURSr Unsecured</v>
      </c>
    </row>
    <row r="397">
      <c r="A397" s="8">
        <v>396.0</v>
      </c>
      <c r="B397" s="8" t="s">
        <v>1043</v>
      </c>
      <c r="C397" s="8" t="s">
        <v>1046</v>
      </c>
      <c r="D397" s="8" t="s">
        <v>57</v>
      </c>
      <c r="E397" s="8" t="str">
        <f>VLOOKUP(G397,'CBs RAW'!$E$2:$H$427,4)</f>
        <v>#N/A N/A</v>
      </c>
      <c r="F397" s="8" t="s">
        <v>1047</v>
      </c>
      <c r="G397" s="8" t="s">
        <v>3355</v>
      </c>
      <c r="H397" s="8" t="s">
        <v>3356</v>
      </c>
      <c r="I397" s="8" t="s">
        <v>3357</v>
      </c>
      <c r="J397" s="8" t="s">
        <v>55</v>
      </c>
      <c r="K397" s="8" t="s">
        <v>56</v>
      </c>
      <c r="L397" s="7">
        <v>8.2404E8</v>
      </c>
      <c r="M397" s="8" t="s">
        <v>52</v>
      </c>
      <c r="N397" s="8" t="s">
        <v>2895</v>
      </c>
      <c r="O397" s="8" t="s">
        <v>367</v>
      </c>
      <c r="P397" s="32">
        <v>42576.0</v>
      </c>
      <c r="Q397" s="7">
        <f>VLOOKUP(G397,'CBs RAW'!$E$2:$P$427,12)</f>
        <v>1.625</v>
      </c>
      <c r="R397" s="32">
        <v>47041.0</v>
      </c>
      <c r="S397" s="8" t="s">
        <v>174</v>
      </c>
      <c r="T397" s="8" t="s">
        <v>297</v>
      </c>
      <c r="U397" s="8" t="s">
        <v>49</v>
      </c>
      <c r="V397" s="8" t="s">
        <v>53</v>
      </c>
      <c r="W397" s="8" t="s">
        <v>3358</v>
      </c>
      <c r="X397" s="33">
        <f>VLOOKUP(G397,'CBs RAW'!$E$2:$W$427,19)</f>
        <v>1.466</v>
      </c>
      <c r="Y397" s="34">
        <f t="shared" si="1"/>
        <v>1.466</v>
      </c>
      <c r="Z397" s="4" t="str">
        <f t="shared" si="2"/>
        <v>Teva Pharmaceutical Finance Netherlands II BVAT MATURITYFIXEDEURSr Unsecured</v>
      </c>
    </row>
    <row r="398">
      <c r="A398" s="8">
        <v>397.0</v>
      </c>
      <c r="B398" s="8" t="s">
        <v>1043</v>
      </c>
      <c r="C398" s="8" t="s">
        <v>1046</v>
      </c>
      <c r="D398" s="8" t="s">
        <v>71</v>
      </c>
      <c r="E398" s="8" t="str">
        <f>VLOOKUP(G398,'CBs RAW'!$E$2:$H$427,4)</f>
        <v>#N/A N/A</v>
      </c>
      <c r="F398" s="8" t="s">
        <v>1047</v>
      </c>
      <c r="G398" s="8" t="s">
        <v>3359</v>
      </c>
      <c r="H398" s="8" t="s">
        <v>3360</v>
      </c>
      <c r="I398" s="8" t="s">
        <v>3361</v>
      </c>
      <c r="J398" s="8" t="s">
        <v>55</v>
      </c>
      <c r="K398" s="8" t="s">
        <v>56</v>
      </c>
      <c r="L398" s="7">
        <v>1.18669E9</v>
      </c>
      <c r="M398" s="8" t="s">
        <v>52</v>
      </c>
      <c r="N398" s="8" t="s">
        <v>1776</v>
      </c>
      <c r="O398" s="8" t="s">
        <v>367</v>
      </c>
      <c r="P398" s="32">
        <v>44088.0</v>
      </c>
      <c r="Q398" s="7">
        <f>VLOOKUP(G398,'CBs RAW'!$E$2:$P$427,12)</f>
        <v>6</v>
      </c>
      <c r="R398" s="32">
        <v>45688.0</v>
      </c>
      <c r="S398" s="8" t="s">
        <v>174</v>
      </c>
      <c r="T398" s="8" t="s">
        <v>297</v>
      </c>
      <c r="U398" s="8" t="s">
        <v>115</v>
      </c>
      <c r="V398" s="8" t="s">
        <v>53</v>
      </c>
      <c r="W398" s="8" t="s">
        <v>3362</v>
      </c>
      <c r="X398" s="33" t="str">
        <f>VLOOKUP(G398,'CBs RAW'!$E$2:$W$427,19)</f>
        <v>#N/A N/A</v>
      </c>
      <c r="Y398" s="4" t="str">
        <f t="shared" si="1"/>
        <v>#N/A N/A</v>
      </c>
      <c r="Z398" s="4" t="str">
        <f t="shared" si="2"/>
        <v>Teva Pharmaceutical Finance Netherlands II BVCALLABLEFIXEDEURSr Unsecured</v>
      </c>
    </row>
    <row r="399">
      <c r="A399" s="8">
        <v>398.0</v>
      </c>
      <c r="B399" s="8" t="s">
        <v>1059</v>
      </c>
      <c r="C399" s="8" t="s">
        <v>1046</v>
      </c>
      <c r="D399" s="8" t="s">
        <v>71</v>
      </c>
      <c r="E399" s="8">
        <f>VLOOKUP(G399,'CBs RAW'!$E$2:$H$427,4)</f>
        <v>6</v>
      </c>
      <c r="F399" s="8" t="s">
        <v>1047</v>
      </c>
      <c r="G399" s="8" t="s">
        <v>3363</v>
      </c>
      <c r="H399" s="8" t="s">
        <v>3364</v>
      </c>
      <c r="I399" s="8" t="s">
        <v>3365</v>
      </c>
      <c r="J399" s="8" t="s">
        <v>55</v>
      </c>
      <c r="K399" s="8" t="s">
        <v>56</v>
      </c>
      <c r="L399" s="7">
        <v>1.25E9</v>
      </c>
      <c r="M399" s="8" t="s">
        <v>52</v>
      </c>
      <c r="N399" s="8" t="s">
        <v>1776</v>
      </c>
      <c r="O399" s="8" t="s">
        <v>367</v>
      </c>
      <c r="P399" s="32">
        <v>43173.0</v>
      </c>
      <c r="Q399" s="7">
        <f>VLOOKUP(G399,'CBs RAW'!$E$2:$P$427,12)</f>
        <v>6</v>
      </c>
      <c r="R399" s="32">
        <v>45397.0</v>
      </c>
      <c r="S399" s="8" t="s">
        <v>262</v>
      </c>
      <c r="T399" s="8" t="s">
        <v>297</v>
      </c>
      <c r="U399" s="8" t="s">
        <v>115</v>
      </c>
      <c r="V399" s="8" t="s">
        <v>263</v>
      </c>
      <c r="W399" s="8" t="s">
        <v>3366</v>
      </c>
      <c r="X399" s="33">
        <f>VLOOKUP(G399,'CBs RAW'!$E$2:$W$427,19)</f>
        <v>6.26</v>
      </c>
      <c r="Y399" s="34">
        <f t="shared" si="1"/>
        <v>6.26</v>
      </c>
      <c r="Z399" s="4" t="str">
        <f t="shared" si="2"/>
        <v>Teva Pharmaceutical Finance Netherlands III BVCALLABLEFIXEDUSDSr Unsecured</v>
      </c>
    </row>
    <row r="400">
      <c r="A400" s="8">
        <v>399.0</v>
      </c>
      <c r="B400" s="8" t="s">
        <v>1059</v>
      </c>
      <c r="C400" s="8" t="s">
        <v>1046</v>
      </c>
      <c r="D400" s="8" t="s">
        <v>71</v>
      </c>
      <c r="E400" s="8">
        <f>VLOOKUP(G400,'CBs RAW'!$E$2:$H$427,4)</f>
        <v>6.75</v>
      </c>
      <c r="F400" s="8" t="s">
        <v>1047</v>
      </c>
      <c r="G400" s="8" t="s">
        <v>3367</v>
      </c>
      <c r="H400" s="8" t="s">
        <v>3368</v>
      </c>
      <c r="I400" s="8" t="s">
        <v>3369</v>
      </c>
      <c r="J400" s="8" t="s">
        <v>55</v>
      </c>
      <c r="K400" s="8" t="s">
        <v>56</v>
      </c>
      <c r="L400" s="7">
        <v>1.25E9</v>
      </c>
      <c r="M400" s="8" t="s">
        <v>52</v>
      </c>
      <c r="N400" s="8" t="s">
        <v>1776</v>
      </c>
      <c r="O400" s="8" t="s">
        <v>367</v>
      </c>
      <c r="P400" s="32">
        <v>43173.0</v>
      </c>
      <c r="Q400" s="7">
        <f>VLOOKUP(G400,'CBs RAW'!$E$2:$P$427,12)</f>
        <v>6.75</v>
      </c>
      <c r="R400" s="32">
        <v>46813.0</v>
      </c>
      <c r="S400" s="8" t="s">
        <v>262</v>
      </c>
      <c r="T400" s="8" t="s">
        <v>297</v>
      </c>
      <c r="U400" s="8" t="s">
        <v>115</v>
      </c>
      <c r="V400" s="8" t="s">
        <v>263</v>
      </c>
      <c r="W400" s="8" t="s">
        <v>3370</v>
      </c>
      <c r="X400" s="33">
        <f>VLOOKUP(G400,'CBs RAW'!$E$2:$W$427,19)</f>
        <v>6.704</v>
      </c>
      <c r="Y400" s="34">
        <f t="shared" si="1"/>
        <v>6.704</v>
      </c>
      <c r="Z400" s="4" t="str">
        <f t="shared" si="2"/>
        <v>Teva Pharmaceutical Finance Netherlands III BVCALLABLEFIXEDUSDSr Unsecured</v>
      </c>
    </row>
    <row r="401">
      <c r="A401" s="8">
        <v>400.0</v>
      </c>
      <c r="B401" s="8" t="s">
        <v>1059</v>
      </c>
      <c r="C401" s="8" t="s">
        <v>1046</v>
      </c>
      <c r="D401" s="8" t="s">
        <v>71</v>
      </c>
      <c r="E401" s="8">
        <f>VLOOKUP(G401,'CBs RAW'!$E$2:$H$427,4)</f>
        <v>6</v>
      </c>
      <c r="F401" s="8" t="s">
        <v>1047</v>
      </c>
      <c r="G401" s="8" t="s">
        <v>3371</v>
      </c>
      <c r="H401" s="8" t="s">
        <v>3372</v>
      </c>
      <c r="I401" s="8" t="s">
        <v>3373</v>
      </c>
      <c r="J401" s="8" t="s">
        <v>55</v>
      </c>
      <c r="K401" s="8" t="s">
        <v>56</v>
      </c>
      <c r="L401" s="7">
        <v>1.25E9</v>
      </c>
      <c r="M401" s="8" t="s">
        <v>52</v>
      </c>
      <c r="N401" s="8" t="s">
        <v>1776</v>
      </c>
      <c r="O401" s="8" t="s">
        <v>367</v>
      </c>
      <c r="P401" s="32">
        <v>43173.0</v>
      </c>
      <c r="Q401" s="7">
        <f>VLOOKUP(G401,'CBs RAW'!$E$2:$P$427,12)</f>
        <v>6</v>
      </c>
      <c r="R401" s="32">
        <v>45397.0</v>
      </c>
      <c r="S401" s="8" t="s">
        <v>271</v>
      </c>
      <c r="T401" s="8" t="s">
        <v>297</v>
      </c>
      <c r="U401" s="8" t="s">
        <v>115</v>
      </c>
      <c r="V401" s="8" t="s">
        <v>263</v>
      </c>
      <c r="W401" s="8" t="s">
        <v>3374</v>
      </c>
      <c r="X401" s="33">
        <f>VLOOKUP(G401,'CBs RAW'!$E$2:$W$427,19)</f>
        <v>6.26</v>
      </c>
      <c r="Y401" s="34">
        <f t="shared" si="1"/>
        <v>6.26</v>
      </c>
      <c r="Z401" s="4" t="str">
        <f t="shared" si="2"/>
        <v>Teva Pharmaceutical Finance Netherlands III BVCALLABLEFIXEDUSDSr Unsecured</v>
      </c>
    </row>
    <row r="402">
      <c r="A402" s="8">
        <v>401.0</v>
      </c>
      <c r="B402" s="8" t="s">
        <v>1059</v>
      </c>
      <c r="C402" s="8" t="s">
        <v>1046</v>
      </c>
      <c r="D402" s="8" t="s">
        <v>71</v>
      </c>
      <c r="E402" s="8">
        <f>VLOOKUP(G402,'CBs RAW'!$E$2:$H$427,4)</f>
        <v>6.75</v>
      </c>
      <c r="F402" s="8" t="s">
        <v>1047</v>
      </c>
      <c r="G402" s="8" t="s">
        <v>3375</v>
      </c>
      <c r="H402" s="8" t="s">
        <v>3376</v>
      </c>
      <c r="I402" s="8" t="s">
        <v>3377</v>
      </c>
      <c r="J402" s="8" t="s">
        <v>55</v>
      </c>
      <c r="K402" s="8" t="s">
        <v>56</v>
      </c>
      <c r="L402" s="7">
        <v>1.25E9</v>
      </c>
      <c r="M402" s="8" t="s">
        <v>52</v>
      </c>
      <c r="N402" s="8" t="s">
        <v>1776</v>
      </c>
      <c r="O402" s="8" t="s">
        <v>367</v>
      </c>
      <c r="P402" s="32">
        <v>43173.0</v>
      </c>
      <c r="Q402" s="7">
        <f>VLOOKUP(G402,'CBs RAW'!$E$2:$P$427,12)</f>
        <v>6.75</v>
      </c>
      <c r="R402" s="32">
        <v>46813.0</v>
      </c>
      <c r="S402" s="8" t="s">
        <v>271</v>
      </c>
      <c r="T402" s="8" t="s">
        <v>297</v>
      </c>
      <c r="U402" s="8" t="s">
        <v>115</v>
      </c>
      <c r="V402" s="8" t="s">
        <v>263</v>
      </c>
      <c r="W402" s="8" t="s">
        <v>3378</v>
      </c>
      <c r="X402" s="33">
        <f>VLOOKUP(G402,'CBs RAW'!$E$2:$W$427,19)</f>
        <v>6.704</v>
      </c>
      <c r="Y402" s="34">
        <f t="shared" si="1"/>
        <v>6.704</v>
      </c>
      <c r="Z402" s="4" t="str">
        <f t="shared" si="2"/>
        <v>Teva Pharmaceutical Finance Netherlands III BVCALLABLEFIXEDUSDSr Unsecured</v>
      </c>
    </row>
    <row r="403">
      <c r="A403" s="8">
        <v>402.0</v>
      </c>
      <c r="B403" s="8" t="s">
        <v>1059</v>
      </c>
      <c r="C403" s="8" t="s">
        <v>1046</v>
      </c>
      <c r="D403" s="8" t="s">
        <v>71</v>
      </c>
      <c r="E403" s="8" t="str">
        <f>VLOOKUP(G403,'CBs RAW'!$E$2:$H$427,4)</f>
        <v>#N/A N/A</v>
      </c>
      <c r="F403" s="8" t="s">
        <v>1047</v>
      </c>
      <c r="G403" s="8" t="s">
        <v>3379</v>
      </c>
      <c r="H403" s="8" t="s">
        <v>3380</v>
      </c>
      <c r="I403" s="8" t="s">
        <v>3381</v>
      </c>
      <c r="J403" s="8" t="s">
        <v>55</v>
      </c>
      <c r="K403" s="8" t="s">
        <v>56</v>
      </c>
      <c r="L403" s="7">
        <v>1.248206E9</v>
      </c>
      <c r="M403" s="8" t="s">
        <v>52</v>
      </c>
      <c r="N403" s="8" t="s">
        <v>1776</v>
      </c>
      <c r="O403" s="8" t="s">
        <v>367</v>
      </c>
      <c r="P403" s="32">
        <v>43237.0</v>
      </c>
      <c r="Q403" s="7">
        <f>VLOOKUP(G403,'CBs RAW'!$E$2:$P$427,12)</f>
        <v>6</v>
      </c>
      <c r="R403" s="32">
        <v>45397.0</v>
      </c>
      <c r="S403" s="8" t="s">
        <v>174</v>
      </c>
      <c r="T403" s="8" t="s">
        <v>297</v>
      </c>
      <c r="U403" s="8" t="s">
        <v>115</v>
      </c>
      <c r="V403" s="8" t="s">
        <v>263</v>
      </c>
      <c r="W403" s="8" t="s">
        <v>3382</v>
      </c>
      <c r="X403" s="33" t="str">
        <f>VLOOKUP(G403,'CBs RAW'!$E$2:$W$427,19)</f>
        <v>#N/A N/A</v>
      </c>
      <c r="Y403" s="4" t="str">
        <f t="shared" si="1"/>
        <v>#N/A N/A</v>
      </c>
      <c r="Z403" s="4" t="str">
        <f t="shared" si="2"/>
        <v>Teva Pharmaceutical Finance Netherlands III BVCALLABLEFIXEDUSDSr Unsecured</v>
      </c>
    </row>
    <row r="404">
      <c r="A404" s="8">
        <v>403.0</v>
      </c>
      <c r="B404" s="8" t="s">
        <v>1059</v>
      </c>
      <c r="C404" s="8" t="s">
        <v>1046</v>
      </c>
      <c r="D404" s="8" t="s">
        <v>71</v>
      </c>
      <c r="E404" s="8" t="str">
        <f>VLOOKUP(G404,'CBs RAW'!$E$2:$H$427,4)</f>
        <v>#N/A N/A</v>
      </c>
      <c r="F404" s="8" t="s">
        <v>1047</v>
      </c>
      <c r="G404" s="8" t="s">
        <v>3383</v>
      </c>
      <c r="H404" s="8" t="s">
        <v>3384</v>
      </c>
      <c r="I404" s="8" t="s">
        <v>3385</v>
      </c>
      <c r="J404" s="8" t="s">
        <v>55</v>
      </c>
      <c r="K404" s="8" t="s">
        <v>56</v>
      </c>
      <c r="L404" s="7">
        <v>1.249745E9</v>
      </c>
      <c r="M404" s="8" t="s">
        <v>52</v>
      </c>
      <c r="N404" s="8" t="s">
        <v>1776</v>
      </c>
      <c r="O404" s="8" t="s">
        <v>367</v>
      </c>
      <c r="P404" s="32">
        <v>43237.0</v>
      </c>
      <c r="Q404" s="7">
        <f>VLOOKUP(G404,'CBs RAW'!$E$2:$P$427,12)</f>
        <v>6.75</v>
      </c>
      <c r="R404" s="32">
        <v>46813.0</v>
      </c>
      <c r="S404" s="8" t="s">
        <v>174</v>
      </c>
      <c r="T404" s="8" t="s">
        <v>297</v>
      </c>
      <c r="U404" s="8" t="s">
        <v>115</v>
      </c>
      <c r="V404" s="8" t="s">
        <v>263</v>
      </c>
      <c r="W404" s="8" t="s">
        <v>3386</v>
      </c>
      <c r="X404" s="33" t="str">
        <f>VLOOKUP(G404,'CBs RAW'!$E$2:$W$427,19)</f>
        <v>#N/A N/A</v>
      </c>
      <c r="Y404" s="4" t="str">
        <f t="shared" si="1"/>
        <v>#N/A N/A</v>
      </c>
      <c r="Z404" s="4" t="str">
        <f t="shared" si="2"/>
        <v>Teva Pharmaceutical Finance Netherlands III BVCALLABLEFIXEDUSDSr Unsecured</v>
      </c>
    </row>
    <row r="405">
      <c r="A405" s="8">
        <v>404.0</v>
      </c>
      <c r="B405" s="8" t="s">
        <v>1059</v>
      </c>
      <c r="C405" s="8" t="s">
        <v>1046</v>
      </c>
      <c r="D405" s="8" t="s">
        <v>71</v>
      </c>
      <c r="E405" s="8">
        <f>VLOOKUP(G405,'CBs RAW'!$E$2:$H$427,4)</f>
        <v>2.853</v>
      </c>
      <c r="F405" s="8" t="s">
        <v>1047</v>
      </c>
      <c r="G405" s="8" t="s">
        <v>3387</v>
      </c>
      <c r="H405" s="8" t="s">
        <v>3388</v>
      </c>
      <c r="I405" s="8" t="s">
        <v>3389</v>
      </c>
      <c r="J405" s="8" t="s">
        <v>55</v>
      </c>
      <c r="K405" s="8" t="s">
        <v>56</v>
      </c>
      <c r="L405" s="7">
        <v>3.0E9</v>
      </c>
      <c r="M405" s="8" t="s">
        <v>52</v>
      </c>
      <c r="N405" s="8" t="s">
        <v>2895</v>
      </c>
      <c r="O405" s="8" t="s">
        <v>367</v>
      </c>
      <c r="P405" s="32">
        <v>42572.0</v>
      </c>
      <c r="Q405" s="7">
        <f>VLOOKUP(G405,'CBs RAW'!$E$2:$P$427,12)</f>
        <v>2.8</v>
      </c>
      <c r="R405" s="32">
        <v>45128.0</v>
      </c>
      <c r="S405" s="8" t="s">
        <v>174</v>
      </c>
      <c r="T405" s="8" t="s">
        <v>297</v>
      </c>
      <c r="U405" s="8" t="s">
        <v>49</v>
      </c>
      <c r="V405" s="8" t="s">
        <v>263</v>
      </c>
      <c r="W405" s="8" t="s">
        <v>3390</v>
      </c>
      <c r="X405" s="33">
        <f>VLOOKUP(G405,'CBs RAW'!$E$2:$W$427,19)</f>
        <v>2.598</v>
      </c>
      <c r="Y405" s="34">
        <f t="shared" si="1"/>
        <v>2.598</v>
      </c>
      <c r="Z405" s="4" t="str">
        <f t="shared" si="2"/>
        <v>Teva Pharmaceutical Finance Netherlands III BVAT MATURITYFIXEDUSDSr Unsecured</v>
      </c>
    </row>
    <row r="406">
      <c r="A406" s="8">
        <v>405.0</v>
      </c>
      <c r="B406" s="8" t="s">
        <v>1059</v>
      </c>
      <c r="C406" s="8" t="s">
        <v>1046</v>
      </c>
      <c r="D406" s="8" t="s">
        <v>71</v>
      </c>
      <c r="E406" s="8">
        <f>VLOOKUP(G406,'CBs RAW'!$E$2:$H$427,4)</f>
        <v>3.18</v>
      </c>
      <c r="F406" s="8" t="s">
        <v>1047</v>
      </c>
      <c r="G406" s="8" t="s">
        <v>3391</v>
      </c>
      <c r="H406" s="8" t="s">
        <v>3392</v>
      </c>
      <c r="I406" s="8" t="s">
        <v>3393</v>
      </c>
      <c r="J406" s="8" t="s">
        <v>55</v>
      </c>
      <c r="K406" s="8" t="s">
        <v>56</v>
      </c>
      <c r="L406" s="7">
        <v>3.5E9</v>
      </c>
      <c r="M406" s="8" t="s">
        <v>52</v>
      </c>
      <c r="N406" s="8" t="s">
        <v>2895</v>
      </c>
      <c r="O406" s="8" t="s">
        <v>367</v>
      </c>
      <c r="P406" s="32">
        <v>42572.0</v>
      </c>
      <c r="Q406" s="7">
        <f>VLOOKUP(G406,'CBs RAW'!$E$2:$P$427,12)</f>
        <v>3.15</v>
      </c>
      <c r="R406" s="32">
        <v>46296.0</v>
      </c>
      <c r="S406" s="8" t="s">
        <v>174</v>
      </c>
      <c r="T406" s="8" t="s">
        <v>297</v>
      </c>
      <c r="U406" s="8" t="s">
        <v>49</v>
      </c>
      <c r="V406" s="8" t="s">
        <v>263</v>
      </c>
      <c r="W406" s="8" t="s">
        <v>3394</v>
      </c>
      <c r="X406" s="33">
        <f>VLOOKUP(G406,'CBs RAW'!$E$2:$W$427,19)</f>
        <v>2.97</v>
      </c>
      <c r="Y406" s="34">
        <f t="shared" si="1"/>
        <v>2.97</v>
      </c>
      <c r="Z406" s="4" t="str">
        <f t="shared" si="2"/>
        <v>Teva Pharmaceutical Finance Netherlands III BVAT MATURITYFIXEDUSDSr Unsecured</v>
      </c>
    </row>
    <row r="407">
      <c r="A407" s="8">
        <v>406.0</v>
      </c>
      <c r="B407" s="8" t="s">
        <v>1059</v>
      </c>
      <c r="C407" s="8" t="s">
        <v>1046</v>
      </c>
      <c r="D407" s="8" t="s">
        <v>71</v>
      </c>
      <c r="E407" s="8">
        <f>VLOOKUP(G407,'CBs RAW'!$E$2:$H$427,4)</f>
        <v>4.148</v>
      </c>
      <c r="F407" s="8" t="s">
        <v>1047</v>
      </c>
      <c r="G407" s="8" t="s">
        <v>3395</v>
      </c>
      <c r="H407" s="8" t="s">
        <v>3396</v>
      </c>
      <c r="I407" s="8" t="s">
        <v>3397</v>
      </c>
      <c r="J407" s="8" t="s">
        <v>55</v>
      </c>
      <c r="K407" s="8" t="s">
        <v>56</v>
      </c>
      <c r="L407" s="7">
        <v>2.0E9</v>
      </c>
      <c r="M407" s="8" t="s">
        <v>52</v>
      </c>
      <c r="N407" s="8" t="s">
        <v>2895</v>
      </c>
      <c r="O407" s="8" t="s">
        <v>367</v>
      </c>
      <c r="P407" s="32">
        <v>42572.0</v>
      </c>
      <c r="Q407" s="7">
        <f>VLOOKUP(G407,'CBs RAW'!$E$2:$P$427,12)</f>
        <v>4.1</v>
      </c>
      <c r="R407" s="32">
        <v>53601.0</v>
      </c>
      <c r="S407" s="8" t="s">
        <v>174</v>
      </c>
      <c r="T407" s="8" t="s">
        <v>297</v>
      </c>
      <c r="U407" s="8" t="s">
        <v>49</v>
      </c>
      <c r="V407" s="8" t="s">
        <v>263</v>
      </c>
      <c r="W407" s="8" t="s">
        <v>3398</v>
      </c>
      <c r="X407" s="33">
        <f>VLOOKUP(G407,'CBs RAW'!$E$2:$W$427,19)</f>
        <v>3.982</v>
      </c>
      <c r="Y407" s="34">
        <f t="shared" si="1"/>
        <v>3.982</v>
      </c>
      <c r="Z407" s="4" t="str">
        <f t="shared" si="2"/>
        <v>Teva Pharmaceutical Finance Netherlands III BVAT MATURITYFIXEDUSDSr Unsecured</v>
      </c>
    </row>
    <row r="408">
      <c r="A408" s="8">
        <v>407.0</v>
      </c>
      <c r="B408" s="8" t="s">
        <v>1059</v>
      </c>
      <c r="C408" s="8" t="s">
        <v>1046</v>
      </c>
      <c r="D408" s="8" t="s">
        <v>71</v>
      </c>
      <c r="E408" s="8" t="str">
        <f>VLOOKUP(G408,'CBs RAW'!$E$2:$H$427,4)</f>
        <v>#N/A N/A</v>
      </c>
      <c r="F408" s="8" t="s">
        <v>1047</v>
      </c>
      <c r="G408" s="8" t="s">
        <v>3399</v>
      </c>
      <c r="H408" s="8" t="s">
        <v>3400</v>
      </c>
      <c r="I408" s="8" t="s">
        <v>3401</v>
      </c>
      <c r="J408" s="8" t="s">
        <v>55</v>
      </c>
      <c r="K408" s="8" t="s">
        <v>56</v>
      </c>
      <c r="L408" s="7">
        <v>9.9819E8</v>
      </c>
      <c r="M408" s="8" t="s">
        <v>52</v>
      </c>
      <c r="N408" s="8" t="s">
        <v>174</v>
      </c>
      <c r="O408" s="8" t="s">
        <v>367</v>
      </c>
      <c r="P408" s="32">
        <v>44088.0</v>
      </c>
      <c r="Q408" s="7">
        <f>VLOOKUP(G408,'CBs RAW'!$E$2:$P$427,12)</f>
        <v>7.125</v>
      </c>
      <c r="R408" s="32">
        <v>45688.0</v>
      </c>
      <c r="S408" s="8" t="s">
        <v>174</v>
      </c>
      <c r="T408" s="8" t="s">
        <v>297</v>
      </c>
      <c r="U408" s="8" t="s">
        <v>115</v>
      </c>
      <c r="V408" s="8" t="s">
        <v>263</v>
      </c>
      <c r="W408" s="8" t="s">
        <v>3402</v>
      </c>
      <c r="X408" s="33" t="str">
        <f>VLOOKUP(G408,'CBs RAW'!$E$2:$W$427,19)</f>
        <v>#N/A N/A</v>
      </c>
      <c r="Y408" s="4" t="str">
        <f t="shared" si="1"/>
        <v>#N/A N/A</v>
      </c>
      <c r="Z408" s="4" t="str">
        <f t="shared" si="2"/>
        <v>Teva Pharmaceutical Finance Netherlands III BVCALLABLEFIXEDUSDSr Unsecured</v>
      </c>
    </row>
    <row r="409">
      <c r="A409" s="8">
        <v>408.0</v>
      </c>
      <c r="B409" s="8" t="s">
        <v>1059</v>
      </c>
      <c r="C409" s="8" t="s">
        <v>1046</v>
      </c>
      <c r="D409" s="8" t="s">
        <v>71</v>
      </c>
      <c r="E409" s="8">
        <f>VLOOKUP(G409,'CBs RAW'!$E$2:$H$427,4)</f>
        <v>7.125</v>
      </c>
      <c r="F409" s="8" t="s">
        <v>1047</v>
      </c>
      <c r="G409" s="8" t="s">
        <v>3403</v>
      </c>
      <c r="H409" s="8" t="s">
        <v>3404</v>
      </c>
      <c r="I409" s="8" t="s">
        <v>3405</v>
      </c>
      <c r="J409" s="8" t="s">
        <v>55</v>
      </c>
      <c r="K409" s="8" t="s">
        <v>56</v>
      </c>
      <c r="L409" s="7">
        <v>1.0E9</v>
      </c>
      <c r="M409" s="8" t="s">
        <v>52</v>
      </c>
      <c r="N409" s="8" t="s">
        <v>1771</v>
      </c>
      <c r="O409" s="8" t="s">
        <v>367</v>
      </c>
      <c r="P409" s="32">
        <v>43794.0</v>
      </c>
      <c r="Q409" s="7">
        <f>VLOOKUP(G409,'CBs RAW'!$E$2:$P$427,12)</f>
        <v>7.125</v>
      </c>
      <c r="R409" s="32">
        <v>45688.0</v>
      </c>
      <c r="S409" s="8" t="s">
        <v>262</v>
      </c>
      <c r="T409" s="8" t="s">
        <v>297</v>
      </c>
      <c r="U409" s="8" t="s">
        <v>115</v>
      </c>
      <c r="V409" s="8" t="s">
        <v>263</v>
      </c>
      <c r="W409" s="8" t="s">
        <v>3406</v>
      </c>
      <c r="X409" s="33">
        <f>VLOOKUP(G409,'CBs RAW'!$E$2:$W$427,19)</f>
        <v>6.75</v>
      </c>
      <c r="Y409" s="34">
        <f t="shared" si="1"/>
        <v>6.75</v>
      </c>
      <c r="Z409" s="4" t="str">
        <f t="shared" si="2"/>
        <v>Teva Pharmaceutical Finance Netherlands III BVCALLABLEFIXEDUSDSr Unsecured</v>
      </c>
    </row>
    <row r="410">
      <c r="A410" s="8">
        <v>409.0</v>
      </c>
      <c r="B410" s="8" t="s">
        <v>1059</v>
      </c>
      <c r="C410" s="8" t="s">
        <v>1046</v>
      </c>
      <c r="D410" s="8" t="s">
        <v>71</v>
      </c>
      <c r="E410" s="8">
        <f>VLOOKUP(G410,'CBs RAW'!$E$2:$H$427,4)</f>
        <v>7.125</v>
      </c>
      <c r="F410" s="8" t="s">
        <v>1047</v>
      </c>
      <c r="G410" s="8" t="s">
        <v>3407</v>
      </c>
      <c r="H410" s="8" t="s">
        <v>3408</v>
      </c>
      <c r="I410" s="8" t="s">
        <v>3409</v>
      </c>
      <c r="J410" s="8" t="s">
        <v>55</v>
      </c>
      <c r="K410" s="8" t="s">
        <v>56</v>
      </c>
      <c r="L410" s="7">
        <v>1.0E9</v>
      </c>
      <c r="M410" s="8" t="s">
        <v>52</v>
      </c>
      <c r="N410" s="8" t="s">
        <v>1771</v>
      </c>
      <c r="O410" s="8" t="s">
        <v>367</v>
      </c>
      <c r="P410" s="32">
        <v>43794.0</v>
      </c>
      <c r="Q410" s="7">
        <f>VLOOKUP(G410,'CBs RAW'!$E$2:$P$427,12)</f>
        <v>7.125</v>
      </c>
      <c r="R410" s="32">
        <v>45688.0</v>
      </c>
      <c r="S410" s="8" t="s">
        <v>271</v>
      </c>
      <c r="T410" s="8" t="s">
        <v>297</v>
      </c>
      <c r="U410" s="8" t="s">
        <v>115</v>
      </c>
      <c r="V410" s="8" t="s">
        <v>263</v>
      </c>
      <c r="W410" s="8" t="s">
        <v>3410</v>
      </c>
      <c r="X410" s="33">
        <f>VLOOKUP(G410,'CBs RAW'!$E$2:$W$427,19)</f>
        <v>6.746</v>
      </c>
      <c r="Y410" s="34">
        <f t="shared" si="1"/>
        <v>6.746</v>
      </c>
      <c r="Z410" s="4" t="str">
        <f t="shared" si="2"/>
        <v>Teva Pharmaceutical Finance Netherlands III BVCALLABLEFIXEDUSDSr Unsecured</v>
      </c>
    </row>
    <row r="411">
      <c r="A411" s="8">
        <v>410.0</v>
      </c>
      <c r="B411" s="8" t="s">
        <v>529</v>
      </c>
      <c r="C411" s="8" t="s">
        <v>532</v>
      </c>
      <c r="D411" s="8" t="s">
        <v>57</v>
      </c>
      <c r="E411" s="8" t="str">
        <f>VLOOKUP(G411,'CBs RAW'!$E$2:$H$427,4)</f>
        <v>#N/A N/A</v>
      </c>
      <c r="F411" s="8" t="s">
        <v>258</v>
      </c>
      <c r="G411" s="8" t="s">
        <v>3411</v>
      </c>
      <c r="H411" s="8" t="s">
        <v>3412</v>
      </c>
      <c r="I411" s="8" t="s">
        <v>3413</v>
      </c>
      <c r="J411" s="8" t="s">
        <v>55</v>
      </c>
      <c r="K411" s="8" t="s">
        <v>56</v>
      </c>
      <c r="L411" s="7">
        <v>1.77684E8</v>
      </c>
      <c r="M411" s="8" t="s">
        <v>118</v>
      </c>
      <c r="N411" s="8" t="s">
        <v>174</v>
      </c>
      <c r="O411" s="8" t="s">
        <v>258</v>
      </c>
      <c r="P411" s="32">
        <v>43019.0</v>
      </c>
      <c r="Q411" s="7">
        <f>VLOOKUP(G411,'CBs RAW'!$E$2:$P$427,12)</f>
        <v>3.25</v>
      </c>
      <c r="R411" s="32">
        <v>44845.0</v>
      </c>
      <c r="S411" s="8" t="s">
        <v>174</v>
      </c>
      <c r="T411" s="8" t="s">
        <v>54</v>
      </c>
      <c r="U411" s="8" t="s">
        <v>49</v>
      </c>
      <c r="V411" s="8" t="s">
        <v>53</v>
      </c>
      <c r="W411" s="8" t="s">
        <v>3414</v>
      </c>
      <c r="X411" s="33">
        <f>VLOOKUP(G411,'CBs RAW'!$E$2:$W$427,19)</f>
        <v>2.697</v>
      </c>
      <c r="Y411" s="34">
        <f t="shared" si="1"/>
        <v>2.697</v>
      </c>
      <c r="Z411" s="4" t="str">
        <f t="shared" si="2"/>
        <v>UBM Development AGAT MATURITYFIXEDEURUnsecured</v>
      </c>
    </row>
    <row r="412">
      <c r="A412" s="8">
        <v>411.0</v>
      </c>
      <c r="B412" s="8" t="s">
        <v>529</v>
      </c>
      <c r="C412" s="8" t="s">
        <v>532</v>
      </c>
      <c r="D412" s="8" t="s">
        <v>57</v>
      </c>
      <c r="E412" s="8" t="str">
        <f>VLOOKUP(G412,'CBs RAW'!$E$2:$H$427,4)</f>
        <v>#N/A N/A</v>
      </c>
      <c r="F412" s="8" t="s">
        <v>258</v>
      </c>
      <c r="G412" s="8" t="s">
        <v>3415</v>
      </c>
      <c r="H412" s="8" t="s">
        <v>3416</v>
      </c>
      <c r="I412" s="8" t="s">
        <v>3417</v>
      </c>
      <c r="J412" s="8" t="s">
        <v>55</v>
      </c>
      <c r="K412" s="8" t="s">
        <v>56</v>
      </c>
      <c r="L412" s="7">
        <v>1.369476E8</v>
      </c>
      <c r="M412" s="8" t="s">
        <v>52</v>
      </c>
      <c r="N412" s="8" t="s">
        <v>1840</v>
      </c>
      <c r="O412" s="8" t="s">
        <v>258</v>
      </c>
      <c r="P412" s="32">
        <v>43420.0</v>
      </c>
      <c r="Q412" s="7">
        <f>VLOOKUP(G412,'CBs RAW'!$E$2:$P$427,12)</f>
        <v>3.125</v>
      </c>
      <c r="R412" s="32">
        <v>45246.0</v>
      </c>
      <c r="S412" s="8" t="s">
        <v>174</v>
      </c>
      <c r="T412" s="8" t="s">
        <v>54</v>
      </c>
      <c r="U412" s="8" t="s">
        <v>49</v>
      </c>
      <c r="V412" s="8" t="s">
        <v>53</v>
      </c>
      <c r="W412" s="8" t="s">
        <v>3418</v>
      </c>
      <c r="X412" s="33" t="str">
        <f>VLOOKUP(G412,'CBs RAW'!$E$2:$W$427,19)</f>
        <v>#N/A N/A</v>
      </c>
      <c r="Y412" s="4" t="str">
        <f t="shared" si="1"/>
        <v>#N/A N/A</v>
      </c>
      <c r="Z412" s="4" t="str">
        <f t="shared" si="2"/>
        <v>UBM Development AGAT MATURITYFIXEDEURSr Unsecured</v>
      </c>
    </row>
    <row r="413">
      <c r="A413" s="8">
        <v>412.0</v>
      </c>
      <c r="B413" s="8" t="s">
        <v>529</v>
      </c>
      <c r="C413" s="8" t="s">
        <v>532</v>
      </c>
      <c r="D413" s="8" t="s">
        <v>57</v>
      </c>
      <c r="E413" s="8" t="str">
        <f>VLOOKUP(G413,'CBs RAW'!$E$2:$H$427,4)</f>
        <v>#N/A N/A</v>
      </c>
      <c r="F413" s="8" t="s">
        <v>258</v>
      </c>
      <c r="G413" s="8" t="s">
        <v>3419</v>
      </c>
      <c r="H413" s="8" t="s">
        <v>3420</v>
      </c>
      <c r="I413" s="8" t="s">
        <v>3421</v>
      </c>
      <c r="J413" s="8" t="s">
        <v>55</v>
      </c>
      <c r="K413" s="8" t="s">
        <v>56</v>
      </c>
      <c r="L413" s="7">
        <v>2.697266E7</v>
      </c>
      <c r="M413" s="8" t="s">
        <v>52</v>
      </c>
      <c r="N413" s="8" t="s">
        <v>1771</v>
      </c>
      <c r="O413" s="8" t="s">
        <v>258</v>
      </c>
      <c r="P413" s="32">
        <v>44182.0</v>
      </c>
      <c r="Q413" s="7">
        <f>VLOOKUP(G413,'CBs RAW'!$E$2:$P$427,12)</f>
        <v>3</v>
      </c>
      <c r="R413" s="32">
        <v>46008.0</v>
      </c>
      <c r="S413" s="8" t="s">
        <v>174</v>
      </c>
      <c r="T413" s="8" t="s">
        <v>54</v>
      </c>
      <c r="U413" s="8" t="s">
        <v>49</v>
      </c>
      <c r="V413" s="8" t="s">
        <v>53</v>
      </c>
      <c r="W413" s="8" t="s">
        <v>3422</v>
      </c>
      <c r="X413" s="33" t="str">
        <f>VLOOKUP(G413,'CBs RAW'!$E$2:$W$427,19)</f>
        <v>#N/A N/A</v>
      </c>
      <c r="Y413" s="4" t="str">
        <f t="shared" si="1"/>
        <v>#N/A N/A</v>
      </c>
      <c r="Z413" s="4" t="str">
        <f t="shared" si="2"/>
        <v>UBM Development AGAT MATURITYFIXEDEURSr Unsecured</v>
      </c>
    </row>
    <row r="414">
      <c r="A414" s="8">
        <v>413.0</v>
      </c>
      <c r="B414" s="8" t="s">
        <v>529</v>
      </c>
      <c r="C414" s="8" t="s">
        <v>532</v>
      </c>
      <c r="D414" s="8" t="s">
        <v>57</v>
      </c>
      <c r="E414" s="8" t="str">
        <f>VLOOKUP(G414,'CBs RAW'!$E$2:$H$427,4)</f>
        <v>#N/A N/A</v>
      </c>
      <c r="F414" s="8" t="s">
        <v>258</v>
      </c>
      <c r="G414" s="8" t="s">
        <v>3423</v>
      </c>
      <c r="H414" s="8" t="s">
        <v>3424</v>
      </c>
      <c r="I414" s="8" t="s">
        <v>3425</v>
      </c>
      <c r="J414" s="8" t="s">
        <v>55</v>
      </c>
      <c r="K414" s="8" t="s">
        <v>56</v>
      </c>
      <c r="L414" s="7">
        <v>1.319892E8</v>
      </c>
      <c r="M414" s="8" t="s">
        <v>52</v>
      </c>
      <c r="N414" s="8" t="s">
        <v>174</v>
      </c>
      <c r="O414" s="8" t="s">
        <v>258</v>
      </c>
      <c r="P414" s="32">
        <v>43782.0</v>
      </c>
      <c r="Q414" s="7">
        <f>VLOOKUP(G414,'CBs RAW'!$E$2:$P$427,12)</f>
        <v>2.75</v>
      </c>
      <c r="R414" s="32">
        <v>45974.0</v>
      </c>
      <c r="S414" s="8" t="s">
        <v>174</v>
      </c>
      <c r="T414" s="8" t="s">
        <v>54</v>
      </c>
      <c r="U414" s="8" t="s">
        <v>49</v>
      </c>
      <c r="V414" s="8" t="s">
        <v>53</v>
      </c>
      <c r="W414" s="8" t="s">
        <v>3426</v>
      </c>
      <c r="X414" s="33">
        <f>VLOOKUP(G414,'CBs RAW'!$E$2:$W$427,19)</f>
        <v>2.131</v>
      </c>
      <c r="Y414" s="34">
        <f t="shared" si="1"/>
        <v>2.131</v>
      </c>
      <c r="Z414" s="4" t="str">
        <f t="shared" si="2"/>
        <v>UBM Development AGAT MATURITYFIXEDEURSr Unsecured</v>
      </c>
    </row>
    <row r="415">
      <c r="A415" s="8">
        <v>414.0</v>
      </c>
      <c r="B415" s="8" t="s">
        <v>814</v>
      </c>
      <c r="C415" s="8" t="s">
        <v>817</v>
      </c>
      <c r="D415" s="8" t="s">
        <v>57</v>
      </c>
      <c r="E415" s="8" t="str">
        <f>VLOOKUP(G415,'CBs RAW'!$E$2:$H$427,4)</f>
        <v>#N/A N/A</v>
      </c>
      <c r="F415" s="8" t="s">
        <v>185</v>
      </c>
      <c r="G415" s="8" t="s">
        <v>3427</v>
      </c>
      <c r="H415" s="8" t="s">
        <v>3428</v>
      </c>
      <c r="I415" s="8" t="s">
        <v>3429</v>
      </c>
      <c r="J415" s="8" t="s">
        <v>133</v>
      </c>
      <c r="K415" s="8" t="s">
        <v>56</v>
      </c>
      <c r="L415" s="7">
        <v>5.2793E8</v>
      </c>
      <c r="M415" s="8" t="s">
        <v>52</v>
      </c>
      <c r="N415" s="8" t="s">
        <v>1771</v>
      </c>
      <c r="O415" s="8" t="s">
        <v>185</v>
      </c>
      <c r="P415" s="32">
        <v>42746.0</v>
      </c>
      <c r="Q415" s="7">
        <f>VLOOKUP(G415,'CBs RAW'!$E$2:$P$427,12)</f>
        <v>0.625</v>
      </c>
      <c r="R415" s="32">
        <v>44937.0</v>
      </c>
      <c r="S415" s="8" t="s">
        <v>226</v>
      </c>
      <c r="T415" s="8" t="s">
        <v>264</v>
      </c>
      <c r="U415" s="8" t="s">
        <v>115</v>
      </c>
      <c r="V415" s="8" t="s">
        <v>53</v>
      </c>
      <c r="W415" s="8" t="s">
        <v>3430</v>
      </c>
      <c r="X415" s="33">
        <f>VLOOKUP(G415,'CBs RAW'!$E$2:$W$427,19)</f>
        <v>0.673</v>
      </c>
      <c r="Y415" s="34">
        <f t="shared" si="1"/>
        <v>0.673</v>
      </c>
      <c r="Z415" s="4" t="str">
        <f t="shared" si="2"/>
        <v>ValeoCALLABLEFIXEDEURSr Unsecured</v>
      </c>
    </row>
    <row r="416">
      <c r="A416" s="8">
        <v>415.0</v>
      </c>
      <c r="B416" s="8" t="s">
        <v>814</v>
      </c>
      <c r="C416" s="8" t="s">
        <v>817</v>
      </c>
      <c r="D416" s="8" t="s">
        <v>57</v>
      </c>
      <c r="E416" s="8" t="str">
        <f>VLOOKUP(G416,'CBs RAW'!$E$2:$H$427,4)</f>
        <v>#N/A N/A</v>
      </c>
      <c r="F416" s="8" t="s">
        <v>185</v>
      </c>
      <c r="G416" s="8" t="s">
        <v>3431</v>
      </c>
      <c r="H416" s="8" t="s">
        <v>3432</v>
      </c>
      <c r="I416" s="8" t="s">
        <v>3433</v>
      </c>
      <c r="J416" s="8" t="s">
        <v>133</v>
      </c>
      <c r="K416" s="8" t="s">
        <v>56</v>
      </c>
      <c r="L416" s="7">
        <v>7.17768E8</v>
      </c>
      <c r="M416" s="8" t="s">
        <v>52</v>
      </c>
      <c r="N416" s="8" t="s">
        <v>1771</v>
      </c>
      <c r="O416" s="8" t="s">
        <v>185</v>
      </c>
      <c r="P416" s="32">
        <v>42990.0</v>
      </c>
      <c r="Q416" s="7">
        <f>VLOOKUP(G416,'CBs RAW'!$E$2:$P$427,12)</f>
        <v>0.375</v>
      </c>
      <c r="R416" s="32">
        <v>44816.0</v>
      </c>
      <c r="S416" s="8" t="s">
        <v>226</v>
      </c>
      <c r="T416" s="8" t="s">
        <v>264</v>
      </c>
      <c r="U416" s="8" t="s">
        <v>115</v>
      </c>
      <c r="V416" s="8" t="s">
        <v>53</v>
      </c>
      <c r="W416" s="8" t="s">
        <v>3434</v>
      </c>
      <c r="X416" s="33">
        <f>VLOOKUP(G416,'CBs RAW'!$E$2:$W$427,19)</f>
        <v>0.397</v>
      </c>
      <c r="Y416" s="34">
        <f t="shared" si="1"/>
        <v>0.397</v>
      </c>
      <c r="Z416" s="4" t="str">
        <f t="shared" si="2"/>
        <v>ValeoCALLABLEFIXEDEURSr Unsecured</v>
      </c>
    </row>
    <row r="417">
      <c r="A417" s="8">
        <v>416.0</v>
      </c>
      <c r="B417" s="8" t="s">
        <v>814</v>
      </c>
      <c r="C417" s="8" t="s">
        <v>817</v>
      </c>
      <c r="D417" s="8" t="s">
        <v>57</v>
      </c>
      <c r="E417" s="8">
        <f>VLOOKUP(G417,'CBs RAW'!$E$2:$H$427,4)</f>
        <v>1.554</v>
      </c>
      <c r="F417" s="8" t="s">
        <v>185</v>
      </c>
      <c r="G417" s="8" t="s">
        <v>3435</v>
      </c>
      <c r="H417" s="8" t="s">
        <v>3436</v>
      </c>
      <c r="I417" s="8" t="s">
        <v>3437</v>
      </c>
      <c r="J417" s="8" t="s">
        <v>133</v>
      </c>
      <c r="K417" s="8" t="s">
        <v>56</v>
      </c>
      <c r="L417" s="7">
        <v>6.96276E8</v>
      </c>
      <c r="M417" s="8" t="s">
        <v>52</v>
      </c>
      <c r="N417" s="8" t="s">
        <v>1771</v>
      </c>
      <c r="O417" s="8" t="s">
        <v>185</v>
      </c>
      <c r="P417" s="32">
        <v>43269.0</v>
      </c>
      <c r="Q417" s="7">
        <f>VLOOKUP(G417,'CBs RAW'!$E$2:$P$427,12)</f>
        <v>1.5</v>
      </c>
      <c r="R417" s="32">
        <v>45826.0</v>
      </c>
      <c r="S417" s="8" t="s">
        <v>2135</v>
      </c>
      <c r="T417" s="8" t="s">
        <v>264</v>
      </c>
      <c r="U417" s="8" t="s">
        <v>115</v>
      </c>
      <c r="V417" s="8" t="s">
        <v>53</v>
      </c>
      <c r="W417" s="8" t="s">
        <v>3438</v>
      </c>
      <c r="X417" s="33">
        <f>VLOOKUP(G417,'CBs RAW'!$E$2:$W$427,19)</f>
        <v>1.306</v>
      </c>
      <c r="Y417" s="34">
        <f t="shared" si="1"/>
        <v>1.306</v>
      </c>
      <c r="Z417" s="4" t="str">
        <f t="shared" si="2"/>
        <v>ValeoCALLABLEFIXEDEURSr Unsecured</v>
      </c>
    </row>
    <row r="418">
      <c r="A418" s="8">
        <v>417.0</v>
      </c>
      <c r="B418" s="8" t="s">
        <v>814</v>
      </c>
      <c r="C418" s="8" t="s">
        <v>817</v>
      </c>
      <c r="D418" s="8" t="s">
        <v>71</v>
      </c>
      <c r="E418" s="8" t="str">
        <f>VLOOKUP(G418,'CBs RAW'!$E$2:$H$427,4)</f>
        <v>#N/A N/A</v>
      </c>
      <c r="F418" s="8" t="s">
        <v>185</v>
      </c>
      <c r="G418" s="8" t="s">
        <v>3439</v>
      </c>
      <c r="H418" s="8" t="s">
        <v>174</v>
      </c>
      <c r="I418" s="8" t="s">
        <v>3440</v>
      </c>
      <c r="J418" s="8" t="s">
        <v>133</v>
      </c>
      <c r="K418" s="8" t="s">
        <v>70</v>
      </c>
      <c r="L418" s="7">
        <v>6.1760148E8</v>
      </c>
      <c r="M418" s="8" t="s">
        <v>52</v>
      </c>
      <c r="N418" s="8" t="s">
        <v>174</v>
      </c>
      <c r="O418" s="8" t="s">
        <v>185</v>
      </c>
      <c r="P418" s="32">
        <v>43564.0</v>
      </c>
      <c r="Q418" s="7">
        <f>VLOOKUP(G418,'CBs RAW'!$E$2:$P$427,12)</f>
        <v>0.795</v>
      </c>
      <c r="R418" s="32">
        <v>45756.0</v>
      </c>
      <c r="S418" s="8" t="s">
        <v>1097</v>
      </c>
      <c r="T418" s="8" t="s">
        <v>54</v>
      </c>
      <c r="U418" s="8" t="s">
        <v>49</v>
      </c>
      <c r="V418" s="8" t="s">
        <v>53</v>
      </c>
      <c r="W418" s="8" t="s">
        <v>3441</v>
      </c>
      <c r="X418" s="33" t="str">
        <f>VLOOKUP(G418,'CBs RAW'!$E$2:$W$427,19)</f>
        <v>#N/A N/A</v>
      </c>
      <c r="Y418" s="4" t="str">
        <f t="shared" si="1"/>
        <v>#N/A N/A</v>
      </c>
      <c r="Z418" s="4" t="str">
        <f t="shared" si="2"/>
        <v>ValeoAT MATURITYFLOATINGEURSr Unsecured</v>
      </c>
    </row>
    <row r="419">
      <c r="A419" s="8">
        <v>418.0</v>
      </c>
      <c r="B419" s="8" t="s">
        <v>814</v>
      </c>
      <c r="C419" s="8" t="s">
        <v>817</v>
      </c>
      <c r="D419" s="8" t="s">
        <v>71</v>
      </c>
      <c r="E419" s="8" t="str">
        <f>VLOOKUP(G419,'CBs RAW'!$E$2:$H$427,4)</f>
        <v>#N/A N/A</v>
      </c>
      <c r="F419" s="8" t="s">
        <v>185</v>
      </c>
      <c r="G419" s="8" t="s">
        <v>3442</v>
      </c>
      <c r="H419" s="8" t="s">
        <v>174</v>
      </c>
      <c r="I419" s="8" t="s">
        <v>3443</v>
      </c>
      <c r="J419" s="8" t="s">
        <v>133</v>
      </c>
      <c r="K419" s="8" t="s">
        <v>70</v>
      </c>
      <c r="L419" s="7">
        <v>6.1760148E8</v>
      </c>
      <c r="M419" s="8" t="s">
        <v>52</v>
      </c>
      <c r="N419" s="8" t="s">
        <v>174</v>
      </c>
      <c r="O419" s="8" t="s">
        <v>185</v>
      </c>
      <c r="P419" s="32">
        <v>43564.0</v>
      </c>
      <c r="Q419" s="7">
        <f>VLOOKUP(G419,'CBs RAW'!$E$2:$P$427,12)</f>
        <v>0.595</v>
      </c>
      <c r="R419" s="32">
        <v>45025.0</v>
      </c>
      <c r="S419" s="8" t="s">
        <v>1088</v>
      </c>
      <c r="T419" s="8" t="s">
        <v>54</v>
      </c>
      <c r="U419" s="8" t="s">
        <v>49</v>
      </c>
      <c r="V419" s="8" t="s">
        <v>53</v>
      </c>
      <c r="W419" s="8" t="s">
        <v>3444</v>
      </c>
      <c r="X419" s="33" t="str">
        <f>VLOOKUP(G419,'CBs RAW'!$E$2:$W$427,19)</f>
        <v>#N/A N/A</v>
      </c>
      <c r="Y419" s="4" t="str">
        <f t="shared" si="1"/>
        <v>#N/A N/A</v>
      </c>
      <c r="Z419" s="4" t="str">
        <f t="shared" si="2"/>
        <v>ValeoAT MATURITYFLOATINGEURSr Unsecured</v>
      </c>
    </row>
    <row r="420">
      <c r="A420" s="8">
        <v>419.0</v>
      </c>
      <c r="B420" s="8" t="s">
        <v>814</v>
      </c>
      <c r="C420" s="8" t="s">
        <v>817</v>
      </c>
      <c r="D420" s="8" t="s">
        <v>57</v>
      </c>
      <c r="E420" s="8" t="str">
        <f>VLOOKUP(G420,'CBs RAW'!$E$2:$H$427,4)</f>
        <v>#N/A N/A</v>
      </c>
      <c r="F420" s="8" t="s">
        <v>185</v>
      </c>
      <c r="G420" s="8" t="s">
        <v>3445</v>
      </c>
      <c r="H420" s="8" t="s">
        <v>3446</v>
      </c>
      <c r="I420" s="8" t="s">
        <v>3447</v>
      </c>
      <c r="J420" s="8" t="s">
        <v>133</v>
      </c>
      <c r="K420" s="8" t="s">
        <v>56</v>
      </c>
      <c r="L420" s="7">
        <v>9.4857E8</v>
      </c>
      <c r="M420" s="8" t="s">
        <v>52</v>
      </c>
      <c r="N420" s="8" t="s">
        <v>1771</v>
      </c>
      <c r="O420" s="8" t="s">
        <v>185</v>
      </c>
      <c r="P420" s="32">
        <v>41661.0</v>
      </c>
      <c r="Q420" s="7">
        <f>VLOOKUP(G420,'CBs RAW'!$E$2:$P$427,12)</f>
        <v>3.25</v>
      </c>
      <c r="R420" s="32">
        <v>45313.0</v>
      </c>
      <c r="S420" s="8" t="s">
        <v>226</v>
      </c>
      <c r="T420" s="8" t="s">
        <v>264</v>
      </c>
      <c r="U420" s="8" t="s">
        <v>49</v>
      </c>
      <c r="V420" s="8" t="s">
        <v>53</v>
      </c>
      <c r="W420" s="8" t="s">
        <v>3448</v>
      </c>
      <c r="X420" s="33">
        <f>VLOOKUP(G420,'CBs RAW'!$E$2:$W$427,19)</f>
        <v>3.036</v>
      </c>
      <c r="Y420" s="34">
        <f t="shared" si="1"/>
        <v>3.036</v>
      </c>
      <c r="Z420" s="4" t="str">
        <f t="shared" si="2"/>
        <v>ValeoAT MATURITYFIXEDEURSr Unsecured</v>
      </c>
    </row>
    <row r="421">
      <c r="A421" s="8">
        <v>420.0</v>
      </c>
      <c r="B421" s="8" t="s">
        <v>814</v>
      </c>
      <c r="C421" s="8" t="s">
        <v>817</v>
      </c>
      <c r="D421" s="8" t="s">
        <v>57</v>
      </c>
      <c r="E421" s="8" t="str">
        <f>VLOOKUP(G421,'CBs RAW'!$E$2:$H$427,4)</f>
        <v>#N/A N/A</v>
      </c>
      <c r="F421" s="8" t="s">
        <v>185</v>
      </c>
      <c r="G421" s="8" t="s">
        <v>3449</v>
      </c>
      <c r="H421" s="8" t="s">
        <v>3450</v>
      </c>
      <c r="I421" s="8" t="s">
        <v>3451</v>
      </c>
      <c r="J421" s="8" t="s">
        <v>133</v>
      </c>
      <c r="K421" s="8" t="s">
        <v>56</v>
      </c>
      <c r="L421" s="7">
        <v>6.76494E8</v>
      </c>
      <c r="M421" s="8" t="s">
        <v>52</v>
      </c>
      <c r="N421" s="8" t="s">
        <v>2895</v>
      </c>
      <c r="O421" s="8" t="s">
        <v>185</v>
      </c>
      <c r="P421" s="32">
        <v>42447.0</v>
      </c>
      <c r="Q421" s="7">
        <f>VLOOKUP(G421,'CBs RAW'!$E$2:$P$427,12)</f>
        <v>1.625</v>
      </c>
      <c r="R421" s="32">
        <v>46099.0</v>
      </c>
      <c r="S421" s="8" t="s">
        <v>226</v>
      </c>
      <c r="T421" s="8" t="s">
        <v>264</v>
      </c>
      <c r="U421" s="8" t="s">
        <v>115</v>
      </c>
      <c r="V421" s="8" t="s">
        <v>53</v>
      </c>
      <c r="W421" s="8" t="s">
        <v>3452</v>
      </c>
      <c r="X421" s="33">
        <f>VLOOKUP(G421,'CBs RAW'!$E$2:$W$427,19)</f>
        <v>1.513</v>
      </c>
      <c r="Y421" s="34">
        <f t="shared" si="1"/>
        <v>1.513</v>
      </c>
      <c r="Z421" s="4" t="str">
        <f t="shared" si="2"/>
        <v>ValeoCALLABLEFIXEDEURSr Unsecured</v>
      </c>
    </row>
    <row r="422">
      <c r="A422" s="8">
        <v>421.0</v>
      </c>
      <c r="B422" s="8" t="s">
        <v>814</v>
      </c>
      <c r="C422" s="8" t="s">
        <v>817</v>
      </c>
      <c r="D422" s="8" t="s">
        <v>57</v>
      </c>
      <c r="E422" s="8" t="str">
        <f>VLOOKUP(G422,'CBs RAW'!$E$2:$H$427,4)</f>
        <v>#N/A N/A</v>
      </c>
      <c r="F422" s="8" t="s">
        <v>185</v>
      </c>
      <c r="G422" s="8" t="s">
        <v>3453</v>
      </c>
      <c r="H422" s="8" t="s">
        <v>174</v>
      </c>
      <c r="I422" s="8" t="s">
        <v>3454</v>
      </c>
      <c r="J422" s="8" t="s">
        <v>133</v>
      </c>
      <c r="K422" s="8" t="s">
        <v>56</v>
      </c>
      <c r="L422" s="7">
        <v>6.1760148E8</v>
      </c>
      <c r="M422" s="8" t="s">
        <v>52</v>
      </c>
      <c r="N422" s="8" t="s">
        <v>174</v>
      </c>
      <c r="O422" s="8" t="s">
        <v>185</v>
      </c>
      <c r="P422" s="32">
        <v>43564.0</v>
      </c>
      <c r="Q422" s="7">
        <f>VLOOKUP(G422,'CBs RAW'!$E$2:$P$427,12)</f>
        <v>1.291</v>
      </c>
      <c r="R422" s="32">
        <v>45756.0</v>
      </c>
      <c r="S422" s="8" t="s">
        <v>1312</v>
      </c>
      <c r="T422" s="8" t="s">
        <v>54</v>
      </c>
      <c r="U422" s="8" t="s">
        <v>49</v>
      </c>
      <c r="V422" s="8" t="s">
        <v>53</v>
      </c>
      <c r="W422" s="8" t="s">
        <v>3455</v>
      </c>
      <c r="X422" s="33" t="str">
        <f>VLOOKUP(G422,'CBs RAW'!$E$2:$W$427,19)</f>
        <v>#N/A N/A</v>
      </c>
      <c r="Y422" s="4" t="str">
        <f t="shared" si="1"/>
        <v>#N/A N/A</v>
      </c>
      <c r="Z422" s="4" t="str">
        <f t="shared" si="2"/>
        <v>ValeoAT MATURITYFIXEDEURSr Unsecured</v>
      </c>
    </row>
    <row r="423">
      <c r="A423" s="8">
        <v>422.0</v>
      </c>
      <c r="B423" s="8" t="s">
        <v>814</v>
      </c>
      <c r="C423" s="8" t="s">
        <v>817</v>
      </c>
      <c r="D423" s="8" t="s">
        <v>57</v>
      </c>
      <c r="E423" s="8" t="str">
        <f>VLOOKUP(G423,'CBs RAW'!$E$2:$H$427,4)</f>
        <v>#N/A N/A</v>
      </c>
      <c r="F423" s="8" t="s">
        <v>185</v>
      </c>
      <c r="G423" s="8" t="s">
        <v>3456</v>
      </c>
      <c r="H423" s="8" t="s">
        <v>174</v>
      </c>
      <c r="I423" s="8" t="s">
        <v>3457</v>
      </c>
      <c r="J423" s="8" t="s">
        <v>133</v>
      </c>
      <c r="K423" s="8" t="s">
        <v>56</v>
      </c>
      <c r="L423" s="7">
        <v>6.1760148E8</v>
      </c>
      <c r="M423" s="8" t="s">
        <v>52</v>
      </c>
      <c r="N423" s="8" t="s">
        <v>174</v>
      </c>
      <c r="O423" s="8" t="s">
        <v>185</v>
      </c>
      <c r="P423" s="32">
        <v>43564.0</v>
      </c>
      <c r="Q423" s="7">
        <f>VLOOKUP(G423,'CBs RAW'!$E$2:$P$427,12)</f>
        <v>0.95</v>
      </c>
      <c r="R423" s="32">
        <v>45025.0</v>
      </c>
      <c r="S423" s="8" t="s">
        <v>1316</v>
      </c>
      <c r="T423" s="8" t="s">
        <v>54</v>
      </c>
      <c r="U423" s="8" t="s">
        <v>49</v>
      </c>
      <c r="V423" s="8" t="s">
        <v>53</v>
      </c>
      <c r="W423" s="8" t="s">
        <v>3458</v>
      </c>
      <c r="X423" s="33" t="str">
        <f>VLOOKUP(G423,'CBs RAW'!$E$2:$W$427,19)</f>
        <v>#N/A N/A</v>
      </c>
      <c r="Y423" s="4" t="str">
        <f t="shared" si="1"/>
        <v>#N/A N/A</v>
      </c>
      <c r="Z423" s="4" t="str">
        <f t="shared" si="2"/>
        <v>ValeoAT MATURITYFIXEDEURSr Unsecured</v>
      </c>
    </row>
    <row r="424">
      <c r="A424" s="8">
        <v>423.0</v>
      </c>
      <c r="B424" s="8" t="s">
        <v>336</v>
      </c>
      <c r="C424" s="8" t="s">
        <v>339</v>
      </c>
      <c r="D424" s="8" t="s">
        <v>57</v>
      </c>
      <c r="E424" s="8" t="str">
        <f>VLOOKUP(G424,'CBs RAW'!$E$2:$H$427,4)</f>
        <v>#N/A N/A</v>
      </c>
      <c r="F424" s="8" t="s">
        <v>45</v>
      </c>
      <c r="G424" s="8" t="s">
        <v>3459</v>
      </c>
      <c r="H424" s="8" t="s">
        <v>174</v>
      </c>
      <c r="I424" s="8" t="s">
        <v>3460</v>
      </c>
      <c r="J424" s="8" t="s">
        <v>55</v>
      </c>
      <c r="K424" s="8" t="s">
        <v>56</v>
      </c>
      <c r="L424" s="7">
        <v>2.82765E7</v>
      </c>
      <c r="M424" s="8" t="s">
        <v>52</v>
      </c>
      <c r="N424" s="8" t="s">
        <v>174</v>
      </c>
      <c r="O424" s="8" t="s">
        <v>45</v>
      </c>
      <c r="P424" s="32">
        <v>44558.0</v>
      </c>
      <c r="Q424" s="7">
        <f>VLOOKUP(G424,'CBs RAW'!$E$2:$P$427,12)</f>
        <v>0.8</v>
      </c>
      <c r="R424" s="32">
        <v>47115.0</v>
      </c>
      <c r="S424" s="8" t="s">
        <v>69</v>
      </c>
      <c r="T424" s="8" t="s">
        <v>54</v>
      </c>
      <c r="U424" s="8" t="s">
        <v>49</v>
      </c>
      <c r="V424" s="8" t="s">
        <v>53</v>
      </c>
      <c r="W424" s="8" t="s">
        <v>3461</v>
      </c>
      <c r="X424" s="33" t="str">
        <f>VLOOKUP(G424,'CBs RAW'!$E$2:$W$427,19)</f>
        <v>#N/A N/A</v>
      </c>
      <c r="Y424" s="4" t="str">
        <f t="shared" si="1"/>
        <v>#N/A N/A</v>
      </c>
      <c r="Z424" s="4" t="str">
        <f t="shared" si="2"/>
        <v>Vossloh AGAT MATURITYFIXEDEURSr Unsecured</v>
      </c>
    </row>
    <row r="425">
      <c r="A425" s="8">
        <v>424.0</v>
      </c>
      <c r="B425" s="8" t="s">
        <v>1414</v>
      </c>
      <c r="C425" s="8" t="s">
        <v>1417</v>
      </c>
      <c r="D425" s="8" t="s">
        <v>57</v>
      </c>
      <c r="E425" s="8" t="str">
        <f>VLOOKUP(G425,'CBs RAW'!$E$2:$H$427,4)</f>
        <v>#N/A N/A</v>
      </c>
      <c r="F425" s="8" t="s">
        <v>200</v>
      </c>
      <c r="G425" s="8" t="s">
        <v>3462</v>
      </c>
      <c r="H425" s="8" t="s">
        <v>3463</v>
      </c>
      <c r="I425" s="8" t="s">
        <v>3464</v>
      </c>
      <c r="J425" s="8" t="s">
        <v>55</v>
      </c>
      <c r="K425" s="8" t="s">
        <v>56</v>
      </c>
      <c r="L425" s="7">
        <v>5.84115E8</v>
      </c>
      <c r="M425" s="8" t="s">
        <v>52</v>
      </c>
      <c r="N425" s="8" t="s">
        <v>1840</v>
      </c>
      <c r="O425" s="8" t="s">
        <v>200</v>
      </c>
      <c r="P425" s="32">
        <v>43034.0</v>
      </c>
      <c r="Q425" s="7">
        <f>VLOOKUP(G425,'CBs RAW'!$E$2:$P$427,12)</f>
        <v>1.75</v>
      </c>
      <c r="R425" s="32">
        <v>45591.0</v>
      </c>
      <c r="S425" s="8" t="s">
        <v>174</v>
      </c>
      <c r="T425" s="8" t="s">
        <v>190</v>
      </c>
      <c r="U425" s="8" t="s">
        <v>49</v>
      </c>
      <c r="V425" s="8" t="s">
        <v>53</v>
      </c>
      <c r="W425" s="8" t="s">
        <v>3465</v>
      </c>
      <c r="X425" s="33">
        <f>VLOOKUP(G425,'CBs RAW'!$E$2:$W$427,19)</f>
        <v>1.765</v>
      </c>
      <c r="Y425" s="34">
        <f t="shared" si="1"/>
        <v>1.765</v>
      </c>
      <c r="Z425" s="4" t="str">
        <f t="shared" si="2"/>
        <v>Webuild SpAAT MATURITYFIXEDEURSr Unsecured</v>
      </c>
    </row>
    <row r="426">
      <c r="A426" s="8">
        <v>425.0</v>
      </c>
      <c r="B426" s="8" t="s">
        <v>1414</v>
      </c>
      <c r="C426" s="8" t="s">
        <v>1417</v>
      </c>
      <c r="D426" s="8" t="s">
        <v>57</v>
      </c>
      <c r="E426" s="8" t="str">
        <f>VLOOKUP(G426,'CBs RAW'!$E$2:$H$427,4)</f>
        <v>#N/A N/A</v>
      </c>
      <c r="F426" s="8" t="s">
        <v>200</v>
      </c>
      <c r="G426" s="8" t="s">
        <v>3466</v>
      </c>
      <c r="H426" s="8" t="s">
        <v>3467</v>
      </c>
      <c r="I426" s="8" t="s">
        <v>3468</v>
      </c>
      <c r="J426" s="8" t="s">
        <v>55</v>
      </c>
      <c r="K426" s="8" t="s">
        <v>56</v>
      </c>
      <c r="L426" s="7">
        <v>9.12075E8</v>
      </c>
      <c r="M426" s="8" t="s">
        <v>52</v>
      </c>
      <c r="N426" s="8" t="s">
        <v>1776</v>
      </c>
      <c r="O426" s="8" t="s">
        <v>200</v>
      </c>
      <c r="P426" s="32">
        <v>44180.0</v>
      </c>
      <c r="Q426" s="7">
        <f>VLOOKUP(G426,'CBs RAW'!$E$2:$P$427,12)</f>
        <v>5.875</v>
      </c>
      <c r="R426" s="32">
        <v>46006.0</v>
      </c>
      <c r="S426" s="8" t="s">
        <v>174</v>
      </c>
      <c r="T426" s="8" t="s">
        <v>297</v>
      </c>
      <c r="U426" s="8" t="s">
        <v>115</v>
      </c>
      <c r="V426" s="8" t="s">
        <v>53</v>
      </c>
      <c r="W426" s="8" t="s">
        <v>3469</v>
      </c>
      <c r="X426" s="33">
        <f>VLOOKUP(G426,'CBs RAW'!$E$2:$W$427,19)</f>
        <v>5.427</v>
      </c>
      <c r="Y426" s="34">
        <f t="shared" si="1"/>
        <v>5.427</v>
      </c>
      <c r="Z426" s="4" t="str">
        <f t="shared" si="2"/>
        <v>Webuild SpACALLABLEFIXEDEURSr Unsecured</v>
      </c>
    </row>
    <row r="427">
      <c r="A427" s="8">
        <v>426.0</v>
      </c>
      <c r="B427" s="8" t="s">
        <v>1414</v>
      </c>
      <c r="C427" s="8" t="s">
        <v>1417</v>
      </c>
      <c r="D427" s="8" t="s">
        <v>57</v>
      </c>
      <c r="E427" s="8" t="str">
        <f>VLOOKUP(G427,'CBs RAW'!$E$2:$H$427,4)</f>
        <v>#N/A N/A</v>
      </c>
      <c r="F427" s="8" t="s">
        <v>200</v>
      </c>
      <c r="G427" s="8" t="s">
        <v>3470</v>
      </c>
      <c r="H427" s="8" t="s">
        <v>3471</v>
      </c>
      <c r="I427" s="8" t="s">
        <v>3472</v>
      </c>
      <c r="J427" s="8" t="s">
        <v>55</v>
      </c>
      <c r="K427" s="8" t="s">
        <v>56</v>
      </c>
      <c r="L427" s="7">
        <v>2.752225E8</v>
      </c>
      <c r="M427" s="8" t="s">
        <v>52</v>
      </c>
      <c r="N427" s="8" t="s">
        <v>1776</v>
      </c>
      <c r="O427" s="8" t="s">
        <v>200</v>
      </c>
      <c r="P427" s="32">
        <v>43858.0</v>
      </c>
      <c r="Q427" s="7">
        <f>VLOOKUP(G427,'CBs RAW'!$E$2:$P$427,12)</f>
        <v>3.625</v>
      </c>
      <c r="R427" s="32">
        <v>46415.0</v>
      </c>
      <c r="S427" s="8" t="s">
        <v>174</v>
      </c>
      <c r="T427" s="8" t="s">
        <v>190</v>
      </c>
      <c r="U427" s="8" t="s">
        <v>49</v>
      </c>
      <c r="V427" s="8" t="s">
        <v>53</v>
      </c>
      <c r="W427" s="8" t="s">
        <v>3473</v>
      </c>
      <c r="X427" s="33">
        <f>VLOOKUP(G427,'CBs RAW'!$E$2:$W$427,19)</f>
        <v>3.978</v>
      </c>
      <c r="Y427" s="34">
        <f t="shared" si="1"/>
        <v>3.978</v>
      </c>
      <c r="Z427" s="4" t="str">
        <f t="shared" si="2"/>
        <v>Webuild SpAAT MATURITYFIXEDEURSr Unsecured</v>
      </c>
    </row>
  </sheetData>
  <autoFilter ref="$A$1:$Z$42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5" t="s">
        <v>3474</v>
      </c>
      <c r="B1" s="36" t="s">
        <v>3475</v>
      </c>
      <c r="C1" s="36" t="s">
        <v>3476</v>
      </c>
      <c r="E1" s="3" t="s">
        <v>3477</v>
      </c>
      <c r="F1" s="3" t="s">
        <v>3478</v>
      </c>
      <c r="H1" s="31" t="s">
        <v>3479</v>
      </c>
      <c r="I1" s="31" t="s">
        <v>3480</v>
      </c>
      <c r="J1" s="3" t="s">
        <v>3481</v>
      </c>
      <c r="K1" s="3" t="s">
        <v>3482</v>
      </c>
      <c r="L1" s="3" t="s">
        <v>3483</v>
      </c>
      <c r="M1" s="3" t="s">
        <v>3484</v>
      </c>
      <c r="O1" s="3" t="s">
        <v>3485</v>
      </c>
      <c r="P1" s="3" t="s">
        <v>3486</v>
      </c>
    </row>
    <row r="2">
      <c r="A2" s="36">
        <v>0.0</v>
      </c>
      <c r="B2" s="37">
        <v>2.0</v>
      </c>
      <c r="C2" s="37">
        <v>2.0</v>
      </c>
      <c r="E2" s="4">
        <f>IFERROR(__xludf.DUMMYFUNCTION("unique(B2:B155)"),2.0)</f>
        <v>2</v>
      </c>
      <c r="F2" s="4">
        <f>IFERROR(__xludf.DUMMYFUNCTION("unique(C2:C155)"),2.0)</f>
        <v>2</v>
      </c>
      <c r="H2" s="4">
        <f>VLOOKUP(E2, SLBs!$A$2:$AK$293, 36, FALSE)</f>
        <v>1.622</v>
      </c>
      <c r="I2" s="4">
        <f>VLOOKUP($E2, SLBs!$A$2:$AK$293, 37, FALSE)</f>
        <v>1.707</v>
      </c>
      <c r="J2" s="4" t="str">
        <f>VLOOKUP($E2, SLBs!$A$2:$AL$293, 38, FALSE)</f>
        <v>#N/A</v>
      </c>
      <c r="K2" s="4">
        <f t="shared" ref="K2:K57" si="1">IF(H2="#N/A N/A",IF(I2="#N/A N/A",J2,I2),H2)</f>
        <v>1.622</v>
      </c>
      <c r="L2" s="4">
        <f t="shared" ref="L2:L57" si="2">H2-I2</f>
        <v>-0.085</v>
      </c>
      <c r="M2" s="4">
        <f>AVERAGE(IFERROR(L2:L57,""))</f>
        <v>0.04162068966</v>
      </c>
      <c r="O2" s="4" t="str">
        <f>VLOOKUP(F2,CBs!$A$2:$Z$427,5)</f>
        <v>#N/A N/A</v>
      </c>
      <c r="P2" s="34">
        <f>VLOOKUP(F2,CBs!$A$2:$Z$427,24)</f>
        <v>1.68</v>
      </c>
    </row>
    <row r="3">
      <c r="A3" s="36">
        <v>1.0</v>
      </c>
      <c r="B3" s="37">
        <v>1.0</v>
      </c>
      <c r="C3" s="37">
        <v>3.0</v>
      </c>
      <c r="E3" s="4">
        <f>IFERROR(__xludf.DUMMYFUNCTION("""COMPUTED_VALUE"""),1.0)</f>
        <v>1</v>
      </c>
      <c r="F3" s="4">
        <f>IFERROR(__xludf.DUMMYFUNCTION("""COMPUTED_VALUE"""),3.0)</f>
        <v>3</v>
      </c>
      <c r="H3" s="4" t="str">
        <f>VLOOKUP(E3, SLBs!$A$2:$AK$293, 36, FALSE)</f>
        <v>#N/A N/A</v>
      </c>
      <c r="I3" s="4">
        <f>VLOOKUP($E3, SLBs!$A$2:$AK$293, 37, FALSE)</f>
        <v>0.553</v>
      </c>
      <c r="J3" s="4">
        <f>VLOOKUP($E3, SLBs!$A$2:$AL$293, 38, FALSE)</f>
        <v>4.231</v>
      </c>
      <c r="K3" s="4">
        <f t="shared" si="1"/>
        <v>0.553</v>
      </c>
      <c r="L3" s="4" t="str">
        <f t="shared" si="2"/>
        <v>#VALUE!</v>
      </c>
      <c r="O3" s="4" t="str">
        <f>VLOOKUP(F3,CBs!$A$2:$Z$427,5)</f>
        <v>#N/A N/A</v>
      </c>
      <c r="P3" s="34">
        <f>VLOOKUP(F3,CBs!$A$2:$Z$427,24)</f>
        <v>0.609</v>
      </c>
    </row>
    <row r="4">
      <c r="A4" s="36">
        <v>2.0</v>
      </c>
      <c r="B4" s="37">
        <v>2.0</v>
      </c>
      <c r="C4" s="37">
        <v>3.0</v>
      </c>
      <c r="E4" s="4">
        <f>IFERROR(__xludf.DUMMYFUNCTION("""COMPUTED_VALUE"""),6.0)</f>
        <v>6</v>
      </c>
      <c r="F4" s="4">
        <f>IFERROR(__xludf.DUMMYFUNCTION("""COMPUTED_VALUE"""),7.0)</f>
        <v>7</v>
      </c>
      <c r="H4" s="4">
        <f>VLOOKUP(E4, SLBs!$A$2:$AK$293, 36, FALSE)</f>
        <v>2.5</v>
      </c>
      <c r="I4" s="4">
        <f>VLOOKUP($E4, SLBs!$A$2:$AK$293, 37, FALSE)</f>
        <v>2.408</v>
      </c>
      <c r="J4" s="4" t="str">
        <f>VLOOKUP($E4, SLBs!$A$2:$AL$293, 38, FALSE)</f>
        <v>#N/A</v>
      </c>
      <c r="K4" s="4">
        <f t="shared" si="1"/>
        <v>2.5</v>
      </c>
      <c r="L4" s="4">
        <f t="shared" si="2"/>
        <v>0.092</v>
      </c>
      <c r="O4" s="4" t="str">
        <f>VLOOKUP(F4,CBs!$A$2:$Z$427,5)</f>
        <v>#N/A N/A</v>
      </c>
      <c r="P4" s="34">
        <f>VLOOKUP(F4,CBs!$A$2:$Z$427,24)</f>
        <v>2.36</v>
      </c>
    </row>
    <row r="5">
      <c r="A5" s="36">
        <v>3.0</v>
      </c>
      <c r="B5" s="37">
        <v>6.0</v>
      </c>
      <c r="C5" s="37">
        <v>7.0</v>
      </c>
      <c r="E5" s="4">
        <f>IFERROR(__xludf.DUMMYFUNCTION("""COMPUTED_VALUE"""),17.0)</f>
        <v>17</v>
      </c>
      <c r="F5" s="4">
        <f>IFERROR(__xludf.DUMMYFUNCTION("""COMPUTED_VALUE"""),18.0)</f>
        <v>18</v>
      </c>
      <c r="H5" s="4">
        <f>VLOOKUP(E5, SLBs!$A$2:$AK$293, 36, FALSE)</f>
        <v>1.109</v>
      </c>
      <c r="I5" s="4">
        <f>VLOOKUP($E5, SLBs!$A$2:$AK$293, 37, FALSE)</f>
        <v>1.01</v>
      </c>
      <c r="J5" s="4" t="str">
        <f>VLOOKUP($E5, SLBs!$A$2:$AL$293, 38, FALSE)</f>
        <v>#N/A</v>
      </c>
      <c r="K5" s="4">
        <f t="shared" si="1"/>
        <v>1.109</v>
      </c>
      <c r="L5" s="4">
        <f t="shared" si="2"/>
        <v>0.099</v>
      </c>
      <c r="O5" s="4" t="str">
        <f>VLOOKUP(F5,CBs!$A$2:$Z$427,5)</f>
        <v>#N/A N/A</v>
      </c>
      <c r="P5" s="34">
        <f>VLOOKUP(F5,CBs!$A$2:$Z$427,24)</f>
        <v>2.456</v>
      </c>
    </row>
    <row r="6">
      <c r="A6" s="36">
        <v>4.0</v>
      </c>
      <c r="B6" s="37">
        <v>17.0</v>
      </c>
      <c r="C6" s="37">
        <v>18.0</v>
      </c>
      <c r="E6" s="4">
        <f>IFERROR(__xludf.DUMMYFUNCTION("""COMPUTED_VALUE"""),32.0)</f>
        <v>32</v>
      </c>
      <c r="F6" s="4">
        <f>IFERROR(__xludf.DUMMYFUNCTION("""COMPUTED_VALUE"""),117.0)</f>
        <v>117</v>
      </c>
      <c r="H6" s="4" t="str">
        <f>VLOOKUP(E6, SLBs!$A$2:$AK$293, 36, FALSE)</f>
        <v>#N/A N/A</v>
      </c>
      <c r="I6" s="4" t="str">
        <f>VLOOKUP($E6, SLBs!$A$2:$AK$293, 37, FALSE)</f>
        <v>#N/A N/A</v>
      </c>
      <c r="J6" s="4" t="str">
        <f>VLOOKUP($E6, SLBs!$A$2:$AL$293, 38, FALSE)</f>
        <v>#N/A</v>
      </c>
      <c r="K6" s="4" t="str">
        <f t="shared" si="1"/>
        <v>#N/A</v>
      </c>
      <c r="L6" s="4" t="str">
        <f t="shared" si="2"/>
        <v>#VALUE!</v>
      </c>
      <c r="O6" s="4" t="str">
        <f>VLOOKUP(F6,CBs!$A$2:$Z$427,5)</f>
        <v>#N/A N/A</v>
      </c>
      <c r="P6" s="34" t="str">
        <f>VLOOKUP(F6,CBs!$A$2:$Z$427,24)</f>
        <v>#N/A N/A</v>
      </c>
    </row>
    <row r="7">
      <c r="A7" s="36">
        <v>5.0</v>
      </c>
      <c r="B7" s="37">
        <v>32.0</v>
      </c>
      <c r="C7" s="37">
        <v>117.0</v>
      </c>
      <c r="E7" s="4">
        <f>IFERROR(__xludf.DUMMYFUNCTION("""COMPUTED_VALUE"""),37.0)</f>
        <v>37</v>
      </c>
      <c r="F7" s="4">
        <f>IFERROR(__xludf.DUMMYFUNCTION("""COMPUTED_VALUE"""),118.0)</f>
        <v>118</v>
      </c>
      <c r="H7" s="4">
        <f>VLOOKUP(E7, SLBs!$A$2:$AK$293, 36, FALSE)</f>
        <v>4.5</v>
      </c>
      <c r="I7" s="4">
        <f>VLOOKUP($E7, SLBs!$A$2:$AK$293, 37, FALSE)</f>
        <v>4.5</v>
      </c>
      <c r="J7" s="4" t="str">
        <f>VLOOKUP($E7, SLBs!$A$2:$AL$293, 38, FALSE)</f>
        <v>#N/A</v>
      </c>
      <c r="K7" s="4">
        <f t="shared" si="1"/>
        <v>4.5</v>
      </c>
      <c r="L7" s="4">
        <f t="shared" si="2"/>
        <v>0</v>
      </c>
      <c r="O7" s="4" t="str">
        <f>VLOOKUP(F7,CBs!$A$2:$Z$427,5)</f>
        <v>#N/A N/A</v>
      </c>
      <c r="P7" s="34" t="str">
        <f>VLOOKUP(F7,CBs!$A$2:$Z$427,24)</f>
        <v>#N/A N/A</v>
      </c>
    </row>
    <row r="8">
      <c r="A8" s="36">
        <v>6.0</v>
      </c>
      <c r="B8" s="37">
        <v>32.0</v>
      </c>
      <c r="C8" s="37">
        <v>118.0</v>
      </c>
      <c r="E8" s="4">
        <f>IFERROR(__xludf.DUMMYFUNCTION("""COMPUTED_VALUE"""),38.0)</f>
        <v>38</v>
      </c>
      <c r="F8" s="4">
        <f>IFERROR(__xludf.DUMMYFUNCTION("""COMPUTED_VALUE"""),119.0)</f>
        <v>119</v>
      </c>
      <c r="H8" s="4" t="str">
        <f>VLOOKUP(E8, SLBs!$A$2:$AK$293, 36, FALSE)</f>
        <v>#N/A N/A</v>
      </c>
      <c r="I8" s="4">
        <f>VLOOKUP($E8, SLBs!$A$2:$AK$293, 37, FALSE)</f>
        <v>1.844</v>
      </c>
      <c r="J8" s="4" t="str">
        <f>VLOOKUP($E8, SLBs!$A$2:$AL$293, 38, FALSE)</f>
        <v>#N/A</v>
      </c>
      <c r="K8" s="4">
        <f t="shared" si="1"/>
        <v>1.844</v>
      </c>
      <c r="L8" s="4" t="str">
        <f t="shared" si="2"/>
        <v>#VALUE!</v>
      </c>
      <c r="O8" s="4" t="str">
        <f>VLOOKUP(F8,CBs!$A$2:$Z$427,5)</f>
        <v>#N/A N/A</v>
      </c>
      <c r="P8" s="34" t="str">
        <f>VLOOKUP(F8,CBs!$A$2:$Z$427,24)</f>
        <v>#N/A N/A</v>
      </c>
    </row>
    <row r="9">
      <c r="A9" s="36">
        <v>7.0</v>
      </c>
      <c r="B9" s="37">
        <v>37.0</v>
      </c>
      <c r="C9" s="37">
        <v>119.0</v>
      </c>
      <c r="E9" s="4">
        <f>IFERROR(__xludf.DUMMYFUNCTION("""COMPUTED_VALUE"""),39.0)</f>
        <v>39</v>
      </c>
      <c r="F9" s="4">
        <f>IFERROR(__xludf.DUMMYFUNCTION("""COMPUTED_VALUE"""),123.0)</f>
        <v>123</v>
      </c>
      <c r="H9" s="4">
        <f>VLOOKUP(E9, SLBs!$A$2:$AK$293, 36, FALSE)</f>
        <v>2.471</v>
      </c>
      <c r="I9" s="4">
        <f>VLOOKUP($E9, SLBs!$A$2:$AK$293, 37, FALSE)</f>
        <v>2.227</v>
      </c>
      <c r="J9" s="4" t="str">
        <f>VLOOKUP($E9, SLBs!$A$2:$AL$293, 38, FALSE)</f>
        <v>#N/A</v>
      </c>
      <c r="K9" s="4">
        <f t="shared" si="1"/>
        <v>2.471</v>
      </c>
      <c r="L9" s="4">
        <f t="shared" si="2"/>
        <v>0.244</v>
      </c>
      <c r="O9" s="4" t="str">
        <f>VLOOKUP(F9,CBs!$A$2:$Z$427,5)</f>
        <v>#N/A N/A</v>
      </c>
      <c r="P9" s="34">
        <f>VLOOKUP(F9,CBs!$A$2:$Z$427,24)</f>
        <v>1.74</v>
      </c>
    </row>
    <row r="10">
      <c r="A10" s="36">
        <v>8.0</v>
      </c>
      <c r="B10" s="37">
        <v>38.0</v>
      </c>
      <c r="C10" s="37">
        <v>123.0</v>
      </c>
      <c r="E10" s="4">
        <f>IFERROR(__xludf.DUMMYFUNCTION("""COMPUTED_VALUE"""),46.0)</f>
        <v>46</v>
      </c>
      <c r="F10" s="4">
        <f>IFERROR(__xludf.DUMMYFUNCTION("""COMPUTED_VALUE"""),124.0)</f>
        <v>124</v>
      </c>
      <c r="H10" s="4">
        <f>VLOOKUP(E10, SLBs!$A$2:$AK$293, 36, FALSE)</f>
        <v>3.75</v>
      </c>
      <c r="I10" s="4">
        <f>VLOOKUP($E10, SLBs!$A$2:$AK$293, 37, FALSE)</f>
        <v>3.686</v>
      </c>
      <c r="J10" s="4">
        <f>VLOOKUP($E10, SLBs!$A$2:$AL$293, 38, FALSE)</f>
        <v>1.328</v>
      </c>
      <c r="K10" s="4">
        <f t="shared" si="1"/>
        <v>3.75</v>
      </c>
      <c r="L10" s="4">
        <f t="shared" si="2"/>
        <v>0.064</v>
      </c>
      <c r="O10" s="4" t="str">
        <f>VLOOKUP(F10,CBs!$A$2:$Z$427,5)</f>
        <v>#N/A N/A</v>
      </c>
      <c r="P10" s="34">
        <f>VLOOKUP(F10,CBs!$A$2:$Z$427,24)</f>
        <v>2.139</v>
      </c>
    </row>
    <row r="11">
      <c r="A11" s="36">
        <v>9.0</v>
      </c>
      <c r="B11" s="37">
        <v>38.0</v>
      </c>
      <c r="C11" s="37">
        <v>124.0</v>
      </c>
      <c r="E11" s="4">
        <f>IFERROR(__xludf.DUMMYFUNCTION("""COMPUTED_VALUE"""),47.0)</f>
        <v>47</v>
      </c>
      <c r="F11" s="4">
        <f>IFERROR(__xludf.DUMMYFUNCTION("""COMPUTED_VALUE"""),128.0)</f>
        <v>128</v>
      </c>
      <c r="H11" s="4">
        <f>VLOOKUP(E11, SLBs!$A$2:$AK$293, 36, FALSE)</f>
        <v>3.75</v>
      </c>
      <c r="I11" s="4">
        <f>VLOOKUP($E11, SLBs!$A$2:$AK$293, 37, FALSE)</f>
        <v>3.716</v>
      </c>
      <c r="J11" s="4">
        <f>VLOOKUP($E11, SLBs!$A$2:$AL$293, 38, FALSE)</f>
        <v>2.5252</v>
      </c>
      <c r="K11" s="4">
        <f t="shared" si="1"/>
        <v>3.75</v>
      </c>
      <c r="L11" s="4">
        <f t="shared" si="2"/>
        <v>0.034</v>
      </c>
      <c r="O11" s="4" t="str">
        <f>VLOOKUP(F11,CBs!$A$2:$Z$427,5)</f>
        <v>#N/A N/A</v>
      </c>
      <c r="P11" s="34">
        <f>VLOOKUP(F11,CBs!$A$2:$Z$427,24)</f>
        <v>1.032</v>
      </c>
    </row>
    <row r="12">
      <c r="A12" s="36">
        <v>10.0</v>
      </c>
      <c r="B12" s="37">
        <v>39.0</v>
      </c>
      <c r="C12" s="37">
        <v>124.0</v>
      </c>
      <c r="E12" s="4">
        <f>IFERROR(__xludf.DUMMYFUNCTION("""COMPUTED_VALUE"""),35.0)</f>
        <v>35</v>
      </c>
      <c r="F12" s="4">
        <f>IFERROR(__xludf.DUMMYFUNCTION("""COMPUTED_VALUE"""),135.0)</f>
        <v>135</v>
      </c>
      <c r="H12" s="4">
        <f>VLOOKUP(E12, SLBs!$A$2:$AK$293, 36, FALSE)</f>
        <v>2.017</v>
      </c>
      <c r="I12" s="4">
        <f>VLOOKUP($E12, SLBs!$A$2:$AK$293, 37, FALSE)</f>
        <v>2.021</v>
      </c>
      <c r="J12" s="4" t="str">
        <f>VLOOKUP($E12, SLBs!$A$2:$AL$293, 38, FALSE)</f>
        <v>#N/A</v>
      </c>
      <c r="K12" s="4">
        <f t="shared" si="1"/>
        <v>2.017</v>
      </c>
      <c r="L12" s="4">
        <f t="shared" si="2"/>
        <v>-0.004</v>
      </c>
      <c r="O12" s="4">
        <f>VLOOKUP(F12,CBs!$A$2:$Z$427,5)</f>
        <v>5.625</v>
      </c>
      <c r="P12" s="34">
        <f>VLOOKUP(F12,CBs!$A$2:$Z$427,24)</f>
        <v>5.702</v>
      </c>
    </row>
    <row r="13">
      <c r="A13" s="36">
        <v>11.0</v>
      </c>
      <c r="B13" s="37">
        <v>38.0</v>
      </c>
      <c r="C13" s="37">
        <v>128.0</v>
      </c>
      <c r="E13" s="4">
        <f>IFERROR(__xludf.DUMMYFUNCTION("""COMPUTED_VALUE"""),73.0)</f>
        <v>73</v>
      </c>
      <c r="F13" s="4">
        <f>IFERROR(__xludf.DUMMYFUNCTION("""COMPUTED_VALUE"""),136.0)</f>
        <v>136</v>
      </c>
      <c r="H13" s="4" t="str">
        <f>VLOOKUP(E13, SLBs!$A$2:$AK$293, 36, FALSE)</f>
        <v>#N/A N/A</v>
      </c>
      <c r="I13" s="4">
        <f>VLOOKUP($E13, SLBs!$A$2:$AK$293, 37, FALSE)</f>
        <v>0.694</v>
      </c>
      <c r="J13" s="4" t="str">
        <f>VLOOKUP($E13, SLBs!$A$2:$AL$293, 38, FALSE)</f>
        <v>#N/A</v>
      </c>
      <c r="K13" s="4">
        <f t="shared" si="1"/>
        <v>0.694</v>
      </c>
      <c r="L13" s="4" t="str">
        <f t="shared" si="2"/>
        <v>#VALUE!</v>
      </c>
      <c r="O13" s="4">
        <f>VLOOKUP(F13,CBs!$A$2:$Z$427,5)</f>
        <v>5.625</v>
      </c>
      <c r="P13" s="34">
        <f>VLOOKUP(F13,CBs!$A$2:$Z$427,24)</f>
        <v>5.652</v>
      </c>
    </row>
    <row r="14">
      <c r="A14" s="36">
        <v>12.0</v>
      </c>
      <c r="B14" s="37">
        <v>39.0</v>
      </c>
      <c r="C14" s="37">
        <v>128.0</v>
      </c>
      <c r="E14" s="4">
        <f>IFERROR(__xludf.DUMMYFUNCTION("""COMPUTED_VALUE"""),91.0)</f>
        <v>91</v>
      </c>
      <c r="F14" s="4">
        <f>IFERROR(__xludf.DUMMYFUNCTION("""COMPUTED_VALUE"""),141.0)</f>
        <v>141</v>
      </c>
      <c r="H14" s="4">
        <f>VLOOKUP(E14, SLBs!$A$2:$AK$293, 36, FALSE)</f>
        <v>2.676</v>
      </c>
      <c r="I14" s="4">
        <f>VLOOKUP($E14, SLBs!$A$2:$AK$293, 37, FALSE)</f>
        <v>2.677</v>
      </c>
      <c r="J14" s="4" t="str">
        <f>VLOOKUP($E14, SLBs!$A$2:$AL$293, 38, FALSE)</f>
        <v>#N/A</v>
      </c>
      <c r="K14" s="4">
        <f t="shared" si="1"/>
        <v>2.676</v>
      </c>
      <c r="L14" s="4">
        <f t="shared" si="2"/>
        <v>-0.001</v>
      </c>
      <c r="O14" s="4" t="str">
        <f>VLOOKUP(F14,CBs!$A$2:$Z$427,5)</f>
        <v>#N/A N/A</v>
      </c>
      <c r="P14" s="34">
        <f>VLOOKUP(F14,CBs!$A$2:$Z$427,24)</f>
        <v>1.572</v>
      </c>
    </row>
    <row r="15">
      <c r="A15" s="36">
        <v>13.0</v>
      </c>
      <c r="B15" s="37">
        <v>46.0</v>
      </c>
      <c r="C15" s="37">
        <v>135.0</v>
      </c>
      <c r="E15" s="4">
        <f>IFERROR(__xludf.DUMMYFUNCTION("""COMPUTED_VALUE"""),92.0)</f>
        <v>92</v>
      </c>
      <c r="F15" s="4">
        <f>IFERROR(__xludf.DUMMYFUNCTION("""COMPUTED_VALUE"""),156.0)</f>
        <v>156</v>
      </c>
      <c r="H15" s="4">
        <f>VLOOKUP(E15, SLBs!$A$2:$AK$293, 36, FALSE)</f>
        <v>2.676</v>
      </c>
      <c r="I15" s="4">
        <f>VLOOKUP($E15, SLBs!$A$2:$AK$293, 37, FALSE)</f>
        <v>2.677</v>
      </c>
      <c r="J15" s="4" t="str">
        <f>VLOOKUP($E15, SLBs!$A$2:$AL$293, 38, FALSE)</f>
        <v>#N/A</v>
      </c>
      <c r="K15" s="4">
        <f t="shared" si="1"/>
        <v>2.676</v>
      </c>
      <c r="L15" s="4">
        <f t="shared" si="2"/>
        <v>-0.001</v>
      </c>
      <c r="O15" s="4" t="str">
        <f>VLOOKUP(F15,CBs!$A$2:$Z$427,5)</f>
        <v>#N/A N/A</v>
      </c>
      <c r="P15" s="34" t="str">
        <f>VLOOKUP(F15,CBs!$A$2:$Z$427,24)</f>
        <v>#N/A N/A</v>
      </c>
    </row>
    <row r="16">
      <c r="A16" s="36">
        <v>14.0</v>
      </c>
      <c r="B16" s="37">
        <v>47.0</v>
      </c>
      <c r="C16" s="37">
        <v>135.0</v>
      </c>
      <c r="E16" s="4">
        <f>IFERROR(__xludf.DUMMYFUNCTION("""COMPUTED_VALUE"""),99.0)</f>
        <v>99</v>
      </c>
      <c r="F16" s="4">
        <f>IFERROR(__xludf.DUMMYFUNCTION("""COMPUTED_VALUE"""),158.0)</f>
        <v>158</v>
      </c>
      <c r="H16" s="4" t="str">
        <f>VLOOKUP(E16, SLBs!$A$2:$AK$293, 36, FALSE)</f>
        <v>#N/A N/A</v>
      </c>
      <c r="I16" s="4">
        <f>VLOOKUP($E16, SLBs!$A$2:$AK$293, 37, FALSE)</f>
        <v>0.294</v>
      </c>
      <c r="J16" s="4">
        <f>VLOOKUP($E16, SLBs!$A$2:$AL$293, 38, FALSE)</f>
        <v>1.008</v>
      </c>
      <c r="K16" s="4">
        <f t="shared" si="1"/>
        <v>0.294</v>
      </c>
      <c r="L16" s="4" t="str">
        <f t="shared" si="2"/>
        <v>#VALUE!</v>
      </c>
      <c r="O16" s="4">
        <f>VLOOKUP(F16,CBs!$A$2:$Z$427,5)</f>
        <v>4.76</v>
      </c>
      <c r="P16" s="34">
        <f>VLOOKUP(F16,CBs!$A$2:$Z$427,24)</f>
        <v>4.72</v>
      </c>
    </row>
    <row r="17">
      <c r="A17" s="36">
        <v>15.0</v>
      </c>
      <c r="B17" s="37">
        <v>46.0</v>
      </c>
      <c r="C17" s="37">
        <v>136.0</v>
      </c>
      <c r="E17" s="4">
        <f>IFERROR(__xludf.DUMMYFUNCTION("""COMPUTED_VALUE"""),104.0)</f>
        <v>104</v>
      </c>
      <c r="F17" s="4">
        <f>IFERROR(__xludf.DUMMYFUNCTION("""COMPUTED_VALUE"""),159.0)</f>
        <v>159</v>
      </c>
      <c r="H17" s="4">
        <f>VLOOKUP(E17, SLBs!$A$2:$AK$293, 36, FALSE)</f>
        <v>2.75</v>
      </c>
      <c r="I17" s="4">
        <f>VLOOKUP($E17, SLBs!$A$2:$AK$293, 37, FALSE)</f>
        <v>2.398</v>
      </c>
      <c r="J17" s="4" t="str">
        <f>VLOOKUP($E17, SLBs!$A$2:$AL$293, 38, FALSE)</f>
        <v>#N/A</v>
      </c>
      <c r="K17" s="4">
        <f t="shared" si="1"/>
        <v>2.75</v>
      </c>
      <c r="L17" s="4">
        <f t="shared" si="2"/>
        <v>0.352</v>
      </c>
      <c r="O17" s="4">
        <f>VLOOKUP(F17,CBs!$A$2:$Z$427,5)</f>
        <v>4.76</v>
      </c>
      <c r="P17" s="34">
        <f>VLOOKUP(F17,CBs!$A$2:$Z$427,24)</f>
        <v>4.715</v>
      </c>
    </row>
    <row r="18">
      <c r="A18" s="36">
        <v>16.0</v>
      </c>
      <c r="B18" s="37">
        <v>47.0</v>
      </c>
      <c r="C18" s="37">
        <v>136.0</v>
      </c>
      <c r="E18" s="4">
        <f>IFERROR(__xludf.DUMMYFUNCTION("""COMPUTED_VALUE"""),110.0)</f>
        <v>110</v>
      </c>
      <c r="F18" s="4">
        <f>IFERROR(__xludf.DUMMYFUNCTION("""COMPUTED_VALUE"""),160.0)</f>
        <v>160</v>
      </c>
      <c r="H18" s="4" t="str">
        <f>VLOOKUP(E18, SLBs!$A$2:$AK$293, 36, FALSE)</f>
        <v>#N/A N/A</v>
      </c>
      <c r="I18" s="4" t="str">
        <f>VLOOKUP($E18, SLBs!$A$2:$AK$293, 37, FALSE)</f>
        <v>#N/A N/A</v>
      </c>
      <c r="J18" s="4" t="str">
        <f>VLOOKUP($E18, SLBs!$A$2:$AL$293, 38, FALSE)</f>
        <v>#N/A</v>
      </c>
      <c r="K18" s="4" t="str">
        <f t="shared" si="1"/>
        <v>#N/A</v>
      </c>
      <c r="L18" s="4" t="str">
        <f t="shared" si="2"/>
        <v>#VALUE!</v>
      </c>
      <c r="O18" s="4">
        <f>VLOOKUP(F18,CBs!$A$2:$Z$427,5)</f>
        <v>3.747</v>
      </c>
      <c r="P18" s="34">
        <f>VLOOKUP(F18,CBs!$A$2:$Z$427,24)</f>
        <v>3.742</v>
      </c>
    </row>
    <row r="19">
      <c r="A19" s="36">
        <v>17.0</v>
      </c>
      <c r="B19" s="37">
        <v>35.0</v>
      </c>
      <c r="C19" s="37">
        <v>141.0</v>
      </c>
      <c r="E19" s="4">
        <f>IFERROR(__xludf.DUMMYFUNCTION("""COMPUTED_VALUE"""),106.0)</f>
        <v>106</v>
      </c>
      <c r="F19" s="4">
        <f>IFERROR(__xludf.DUMMYFUNCTION("""COMPUTED_VALUE"""),161.0)</f>
        <v>161</v>
      </c>
      <c r="H19" s="4" t="str">
        <f>VLOOKUP(E19, SLBs!$A$2:$AK$293, 36, FALSE)</f>
        <v>#N/A N/A</v>
      </c>
      <c r="I19" s="4" t="str">
        <f>VLOOKUP($E19, SLBs!$A$2:$AK$293, 37, FALSE)</f>
        <v>#N/A N/A</v>
      </c>
      <c r="J19" s="4" t="str">
        <f>VLOOKUP($E19, SLBs!$A$2:$AL$293, 38, FALSE)</f>
        <v>#N/A</v>
      </c>
      <c r="K19" s="4" t="str">
        <f t="shared" si="1"/>
        <v>#N/A</v>
      </c>
      <c r="L19" s="4" t="str">
        <f t="shared" si="2"/>
        <v>#VALUE!</v>
      </c>
      <c r="O19" s="4">
        <f>VLOOKUP(F19,CBs!$A$2:$Z$427,5)</f>
        <v>3.747</v>
      </c>
      <c r="P19" s="34">
        <f>VLOOKUP(F19,CBs!$A$2:$Z$427,24)</f>
        <v>3.74</v>
      </c>
    </row>
    <row r="20">
      <c r="A20" s="36">
        <v>18.0</v>
      </c>
      <c r="B20" s="37">
        <v>73.0</v>
      </c>
      <c r="C20" s="37">
        <v>156.0</v>
      </c>
      <c r="E20" s="4">
        <f>IFERROR(__xludf.DUMMYFUNCTION("""COMPUTED_VALUE"""),131.0)</f>
        <v>131</v>
      </c>
      <c r="F20" s="4">
        <f>IFERROR(__xludf.DUMMYFUNCTION("""COMPUTED_VALUE"""),162.0)</f>
        <v>162</v>
      </c>
      <c r="H20" s="4" t="str">
        <f>VLOOKUP(E20, SLBs!$A$2:$AK$293, 36, FALSE)</f>
        <v>#N/A N/A</v>
      </c>
      <c r="I20" s="4">
        <f>VLOOKUP($E20, SLBs!$A$2:$AK$293, 37, FALSE)</f>
        <v>0.477</v>
      </c>
      <c r="J20" s="4">
        <f>VLOOKUP($E20, SLBs!$A$2:$AL$293, 38, FALSE)</f>
        <v>6.3234</v>
      </c>
      <c r="K20" s="4">
        <f t="shared" si="1"/>
        <v>0.477</v>
      </c>
      <c r="L20" s="4" t="str">
        <f t="shared" si="2"/>
        <v>#VALUE!</v>
      </c>
      <c r="O20" s="4">
        <f>VLOOKUP(F20,CBs!$A$2:$Z$427,5)</f>
        <v>3.643</v>
      </c>
      <c r="P20" s="34">
        <f>VLOOKUP(F20,CBs!$A$2:$Z$427,24)</f>
        <v>3.621</v>
      </c>
    </row>
    <row r="21">
      <c r="A21" s="36">
        <v>19.0</v>
      </c>
      <c r="B21" s="37">
        <v>91.0</v>
      </c>
      <c r="C21" s="37">
        <v>158.0</v>
      </c>
      <c r="E21" s="4">
        <f>IFERROR(__xludf.DUMMYFUNCTION("""COMPUTED_VALUE"""),132.0)</f>
        <v>132</v>
      </c>
      <c r="F21" s="4">
        <f>IFERROR(__xludf.DUMMYFUNCTION("""COMPUTED_VALUE"""),163.0)</f>
        <v>163</v>
      </c>
      <c r="H21" s="4" t="str">
        <f>VLOOKUP(E21, SLBs!$A$2:$AK$293, 36, FALSE)</f>
        <v>#N/A N/A</v>
      </c>
      <c r="I21" s="4">
        <f>VLOOKUP($E21, SLBs!$A$2:$AK$293, 37, FALSE)</f>
        <v>1.417</v>
      </c>
      <c r="J21" s="4" t="str">
        <f>VLOOKUP($E21, SLBs!$A$2:$AL$293, 38, FALSE)</f>
        <v>#N/A</v>
      </c>
      <c r="K21" s="4">
        <f t="shared" si="1"/>
        <v>1.417</v>
      </c>
      <c r="L21" s="4" t="str">
        <f t="shared" si="2"/>
        <v>#VALUE!</v>
      </c>
      <c r="O21" s="4">
        <f>VLOOKUP(F21,CBs!$A$2:$Z$427,5)</f>
        <v>3.643</v>
      </c>
      <c r="P21" s="34">
        <f>VLOOKUP(F21,CBs!$A$2:$Z$427,24)</f>
        <v>3.623</v>
      </c>
    </row>
    <row r="22">
      <c r="A22" s="36">
        <v>20.0</v>
      </c>
      <c r="B22" s="37">
        <v>92.0</v>
      </c>
      <c r="C22" s="37">
        <v>158.0</v>
      </c>
      <c r="E22" s="4">
        <f>IFERROR(__xludf.DUMMYFUNCTION("""COMPUTED_VALUE"""),137.0)</f>
        <v>137</v>
      </c>
      <c r="F22" s="4">
        <f>IFERROR(__xludf.DUMMYFUNCTION("""COMPUTED_VALUE"""),164.0)</f>
        <v>164</v>
      </c>
      <c r="H22" s="4" t="str">
        <f>VLOOKUP(E22, SLBs!$A$2:$AK$293, 36, FALSE)</f>
        <v>#N/A N/A</v>
      </c>
      <c r="I22" s="4" t="str">
        <f>VLOOKUP($E22, SLBs!$A$2:$AK$293, 37, FALSE)</f>
        <v>#N/A N/A</v>
      </c>
      <c r="J22" s="4" t="str">
        <f>VLOOKUP($E22, SLBs!$A$2:$AL$293, 38, FALSE)</f>
        <v>#N/A</v>
      </c>
      <c r="K22" s="4" t="str">
        <f t="shared" si="1"/>
        <v>#N/A</v>
      </c>
      <c r="L22" s="4" t="str">
        <f t="shared" si="2"/>
        <v>#VALUE!</v>
      </c>
      <c r="O22" s="4">
        <f>VLOOKUP(F22,CBs!$A$2:$Z$427,5)</f>
        <v>4.974</v>
      </c>
      <c r="P22" s="34" t="str">
        <f>VLOOKUP(F22,CBs!$A$2:$Z$427,24)</f>
        <v>#N/A N/A</v>
      </c>
    </row>
    <row r="23">
      <c r="A23" s="36">
        <v>21.0</v>
      </c>
      <c r="B23" s="37">
        <v>91.0</v>
      </c>
      <c r="C23" s="37">
        <v>159.0</v>
      </c>
      <c r="E23" s="4">
        <f>IFERROR(__xludf.DUMMYFUNCTION("""COMPUTED_VALUE"""),139.0)</f>
        <v>139</v>
      </c>
      <c r="F23" s="4">
        <f>IFERROR(__xludf.DUMMYFUNCTION("""COMPUTED_VALUE"""),165.0)</f>
        <v>165</v>
      </c>
      <c r="H23" s="4" t="str">
        <f>VLOOKUP(E23, SLBs!$A$2:$AK$293, 36, FALSE)</f>
        <v>#N/A N/A</v>
      </c>
      <c r="I23" s="4" t="str">
        <f>VLOOKUP($E23, SLBs!$A$2:$AK$293, 37, FALSE)</f>
        <v>#N/A N/A</v>
      </c>
      <c r="J23" s="4" t="str">
        <f>VLOOKUP($E23, SLBs!$A$2:$AL$293, 38, FALSE)</f>
        <v>#N/A</v>
      </c>
      <c r="K23" s="4" t="str">
        <f t="shared" si="1"/>
        <v>#N/A</v>
      </c>
      <c r="L23" s="4" t="str">
        <f t="shared" si="2"/>
        <v>#VALUE!</v>
      </c>
      <c r="O23" s="4">
        <f>VLOOKUP(F23,CBs!$A$2:$Z$427,5)</f>
        <v>4.974</v>
      </c>
      <c r="P23" s="34" t="str">
        <f>VLOOKUP(F23,CBs!$A$2:$Z$427,24)</f>
        <v>#N/A N/A</v>
      </c>
    </row>
    <row r="24">
      <c r="A24" s="36">
        <v>22.0</v>
      </c>
      <c r="B24" s="37">
        <v>92.0</v>
      </c>
      <c r="C24" s="37">
        <v>159.0</v>
      </c>
      <c r="E24" s="4">
        <f>IFERROR(__xludf.DUMMYFUNCTION("""COMPUTED_VALUE"""),138.0)</f>
        <v>138</v>
      </c>
      <c r="F24" s="4">
        <f>IFERROR(__xludf.DUMMYFUNCTION("""COMPUTED_VALUE"""),168.0)</f>
        <v>168</v>
      </c>
      <c r="H24" s="4" t="str">
        <f>VLOOKUP(E24, SLBs!$A$2:$AK$293, 36, FALSE)</f>
        <v>#N/A N/A</v>
      </c>
      <c r="I24" s="4" t="str">
        <f>VLOOKUP($E24, SLBs!$A$2:$AK$293, 37, FALSE)</f>
        <v>#N/A N/A</v>
      </c>
      <c r="J24" s="4" t="str">
        <f>VLOOKUP($E24, SLBs!$A$2:$AL$293, 38, FALSE)</f>
        <v>#N/A</v>
      </c>
      <c r="K24" s="4" t="str">
        <f t="shared" si="1"/>
        <v>#N/A</v>
      </c>
      <c r="L24" s="4" t="str">
        <f t="shared" si="2"/>
        <v>#VALUE!</v>
      </c>
      <c r="O24" s="4">
        <f>VLOOKUP(F24,CBs!$A$2:$Z$427,5)</f>
        <v>1.584</v>
      </c>
      <c r="P24" s="34">
        <f>VLOOKUP(F24,CBs!$A$2:$Z$427,24)</f>
        <v>1.554</v>
      </c>
    </row>
    <row r="25">
      <c r="A25" s="36">
        <v>23.0</v>
      </c>
      <c r="B25" s="37">
        <v>91.0</v>
      </c>
      <c r="C25" s="37">
        <v>160.0</v>
      </c>
      <c r="E25" s="4">
        <f>IFERROR(__xludf.DUMMYFUNCTION("""COMPUTED_VALUE"""),142.0)</f>
        <v>142</v>
      </c>
      <c r="F25" s="4">
        <f>IFERROR(__xludf.DUMMYFUNCTION("""COMPUTED_VALUE"""),180.0)</f>
        <v>180</v>
      </c>
      <c r="H25" s="4">
        <f>VLOOKUP(E25, SLBs!$A$2:$AK$293, 36, FALSE)</f>
        <v>4.608</v>
      </c>
      <c r="I25" s="4">
        <f>VLOOKUP($E25, SLBs!$A$2:$AK$293, 37, FALSE)</f>
        <v>4.919</v>
      </c>
      <c r="J25" s="4" t="str">
        <f>VLOOKUP($E25, SLBs!$A$2:$AL$293, 38, FALSE)</f>
        <v>#N/A</v>
      </c>
      <c r="K25" s="4">
        <f t="shared" si="1"/>
        <v>4.608</v>
      </c>
      <c r="L25" s="4">
        <f t="shared" si="2"/>
        <v>-0.311</v>
      </c>
      <c r="O25" s="4" t="str">
        <f>VLOOKUP(F25,CBs!$A$2:$Z$427,5)</f>
        <v>#N/A N/A</v>
      </c>
      <c r="P25" s="34">
        <f>VLOOKUP(F25,CBs!$A$2:$Z$427,24)</f>
        <v>1.382</v>
      </c>
    </row>
    <row r="26">
      <c r="A26" s="36">
        <v>24.0</v>
      </c>
      <c r="B26" s="37">
        <v>92.0</v>
      </c>
      <c r="C26" s="37">
        <v>160.0</v>
      </c>
      <c r="E26" s="4">
        <f>IFERROR(__xludf.DUMMYFUNCTION("""COMPUTED_VALUE"""),143.0)</f>
        <v>143</v>
      </c>
      <c r="F26" s="4">
        <f>IFERROR(__xludf.DUMMYFUNCTION("""COMPUTED_VALUE"""),181.0)</f>
        <v>181</v>
      </c>
      <c r="H26" s="4">
        <f>VLOOKUP(E26, SLBs!$A$2:$AK$293, 36, FALSE)</f>
        <v>4.608</v>
      </c>
      <c r="I26" s="4" t="str">
        <f>VLOOKUP($E26, SLBs!$A$2:$AK$293, 37, FALSE)</f>
        <v>#N/A N/A</v>
      </c>
      <c r="J26" s="4" t="str">
        <f>VLOOKUP($E26, SLBs!$A$2:$AL$293, 38, FALSE)</f>
        <v>#N/A</v>
      </c>
      <c r="K26" s="4">
        <f t="shared" si="1"/>
        <v>4.608</v>
      </c>
      <c r="L26" s="4" t="str">
        <f t="shared" si="2"/>
        <v>#VALUE!</v>
      </c>
      <c r="O26" s="4" t="str">
        <f>VLOOKUP(F26,CBs!$A$2:$Z$427,5)</f>
        <v>#N/A N/A</v>
      </c>
      <c r="P26" s="34">
        <f>VLOOKUP(F26,CBs!$A$2:$Z$427,24)</f>
        <v>1.977</v>
      </c>
    </row>
    <row r="27">
      <c r="A27" s="36">
        <v>25.0</v>
      </c>
      <c r="B27" s="37">
        <v>91.0</v>
      </c>
      <c r="C27" s="37">
        <v>161.0</v>
      </c>
      <c r="E27" s="4">
        <f>IFERROR(__xludf.DUMMYFUNCTION("""COMPUTED_VALUE"""),154.0)</f>
        <v>154</v>
      </c>
      <c r="F27" s="4">
        <f>IFERROR(__xludf.DUMMYFUNCTION("""COMPUTED_VALUE"""),189.0)</f>
        <v>189</v>
      </c>
      <c r="H27" s="4">
        <f>VLOOKUP(E27, SLBs!$A$2:$AK$293, 36, FALSE)</f>
        <v>0.931</v>
      </c>
      <c r="I27" s="4">
        <f>VLOOKUP($E27, SLBs!$A$2:$AK$293, 37, FALSE)</f>
        <v>0.818</v>
      </c>
      <c r="J27" s="4" t="str">
        <f>VLOOKUP($E27, SLBs!$A$2:$AL$293, 38, FALSE)</f>
        <v>#N/A</v>
      </c>
      <c r="K27" s="4">
        <f t="shared" si="1"/>
        <v>0.931</v>
      </c>
      <c r="L27" s="4">
        <f t="shared" si="2"/>
        <v>0.113</v>
      </c>
      <c r="O27" s="4" t="str">
        <f>VLOOKUP(F27,CBs!$A$2:$Z$427,5)</f>
        <v>#N/A N/A</v>
      </c>
      <c r="P27" s="34">
        <f>VLOOKUP(F27,CBs!$A$2:$Z$427,24)</f>
        <v>1.244</v>
      </c>
    </row>
    <row r="28">
      <c r="A28" s="36">
        <v>26.0</v>
      </c>
      <c r="B28" s="37">
        <v>92.0</v>
      </c>
      <c r="C28" s="37">
        <v>161.0</v>
      </c>
      <c r="E28" s="4">
        <f>IFERROR(__xludf.DUMMYFUNCTION("""COMPUTED_VALUE"""),155.0)</f>
        <v>155</v>
      </c>
      <c r="F28" s="4">
        <f>IFERROR(__xludf.DUMMYFUNCTION("""COMPUTED_VALUE"""),191.0)</f>
        <v>191</v>
      </c>
      <c r="H28" s="4" t="str">
        <f>VLOOKUP(E28, SLBs!$A$2:$AK$293, 36, FALSE)</f>
        <v>#N/A N/A</v>
      </c>
      <c r="I28" s="4">
        <f>VLOOKUP($E28, SLBs!$A$2:$AK$293, 37, FALSE)</f>
        <v>0.536</v>
      </c>
      <c r="J28" s="4" t="str">
        <f>VLOOKUP($E28, SLBs!$A$2:$AL$293, 38, FALSE)</f>
        <v>#N/A</v>
      </c>
      <c r="K28" s="4">
        <f t="shared" si="1"/>
        <v>0.536</v>
      </c>
      <c r="L28" s="4" t="str">
        <f t="shared" si="2"/>
        <v>#VALUE!</v>
      </c>
      <c r="O28" s="4" t="str">
        <f>VLOOKUP(F28,CBs!$A$2:$Z$427,5)</f>
        <v>#N/A N/A</v>
      </c>
      <c r="P28" s="34">
        <f>VLOOKUP(F28,CBs!$A$2:$Z$427,24)</f>
        <v>0.542</v>
      </c>
    </row>
    <row r="29">
      <c r="A29" s="36">
        <v>27.0</v>
      </c>
      <c r="B29" s="37">
        <v>91.0</v>
      </c>
      <c r="C29" s="37">
        <v>162.0</v>
      </c>
      <c r="E29" s="4">
        <f>IFERROR(__xludf.DUMMYFUNCTION("""COMPUTED_VALUE"""),157.0)</f>
        <v>157</v>
      </c>
      <c r="F29" s="4">
        <f>IFERROR(__xludf.DUMMYFUNCTION("""COMPUTED_VALUE"""),192.0)</f>
        <v>192</v>
      </c>
      <c r="H29" s="4">
        <f>VLOOKUP(E29, SLBs!$A$2:$AK$293, 36, FALSE)</f>
        <v>3.2</v>
      </c>
      <c r="I29" s="4">
        <f>VLOOKUP($E29, SLBs!$A$2:$AK$293, 37, FALSE)</f>
        <v>3.151</v>
      </c>
      <c r="J29" s="4">
        <f>VLOOKUP($E29, SLBs!$A$2:$AL$293, 38, FALSE)</f>
        <v>1.027</v>
      </c>
      <c r="K29" s="4">
        <f t="shared" si="1"/>
        <v>3.2</v>
      </c>
      <c r="L29" s="4">
        <f t="shared" si="2"/>
        <v>0.049</v>
      </c>
      <c r="O29" s="4" t="str">
        <f>VLOOKUP(F29,CBs!$A$2:$Z$427,5)</f>
        <v>#N/A N/A</v>
      </c>
      <c r="P29" s="34">
        <f>VLOOKUP(F29,CBs!$A$2:$Z$427,24)</f>
        <v>1.054</v>
      </c>
    </row>
    <row r="30">
      <c r="A30" s="36">
        <v>28.0</v>
      </c>
      <c r="B30" s="37">
        <v>92.0</v>
      </c>
      <c r="C30" s="37">
        <v>162.0</v>
      </c>
      <c r="E30" s="4">
        <f>IFERROR(__xludf.DUMMYFUNCTION("""COMPUTED_VALUE"""),158.0)</f>
        <v>158</v>
      </c>
      <c r="F30" s="4">
        <f>IFERROR(__xludf.DUMMYFUNCTION("""COMPUTED_VALUE"""),196.0)</f>
        <v>196</v>
      </c>
      <c r="H30" s="4">
        <f>VLOOKUP(E30, SLBs!$A$2:$AK$293, 36, FALSE)</f>
        <v>3.2</v>
      </c>
      <c r="I30" s="4">
        <f>VLOOKUP($E30, SLBs!$A$2:$AK$293, 37, FALSE)</f>
        <v>3.155</v>
      </c>
      <c r="J30" s="4">
        <f>VLOOKUP($E30, SLBs!$A$2:$AL$293, 38, FALSE)</f>
        <v>1.762</v>
      </c>
      <c r="K30" s="4">
        <f t="shared" si="1"/>
        <v>3.2</v>
      </c>
      <c r="L30" s="4">
        <f t="shared" si="2"/>
        <v>0.045</v>
      </c>
      <c r="O30" s="4">
        <f>VLOOKUP(F30,CBs!$A$2:$Z$427,5)</f>
        <v>2.625</v>
      </c>
      <c r="P30" s="34">
        <f>VLOOKUP(F30,CBs!$A$2:$Z$427,24)</f>
        <v>2.467</v>
      </c>
    </row>
    <row r="31">
      <c r="A31" s="36">
        <v>29.0</v>
      </c>
      <c r="B31" s="37">
        <v>91.0</v>
      </c>
      <c r="C31" s="37">
        <v>163.0</v>
      </c>
      <c r="E31" s="4">
        <f>IFERROR(__xludf.DUMMYFUNCTION("""COMPUTED_VALUE"""),159.0)</f>
        <v>159</v>
      </c>
      <c r="F31" s="4">
        <f>IFERROR(__xludf.DUMMYFUNCTION("""COMPUTED_VALUE"""),197.0)</f>
        <v>197</v>
      </c>
      <c r="H31" s="4" t="str">
        <f>VLOOKUP(E31, SLBs!$A$2:$AK$293, 36, FALSE)</f>
        <v>#N/A N/A</v>
      </c>
      <c r="I31" s="4">
        <f>VLOOKUP($E31, SLBs!$A$2:$AK$293, 37, FALSE)</f>
        <v>0.467</v>
      </c>
      <c r="J31" s="4">
        <f>VLOOKUP($E31, SLBs!$A$2:$AL$293, 38, FALSE)</f>
        <v>6.3234</v>
      </c>
      <c r="K31" s="4">
        <f t="shared" si="1"/>
        <v>0.467</v>
      </c>
      <c r="L31" s="4" t="str">
        <f t="shared" si="2"/>
        <v>#VALUE!</v>
      </c>
      <c r="O31" s="4" t="str">
        <f>VLOOKUP(F31,CBs!$A$2:$Z$427,5)</f>
        <v>#N/A N/A</v>
      </c>
      <c r="P31" s="34" t="str">
        <f>VLOOKUP(F31,CBs!$A$2:$Z$427,24)</f>
        <v>#N/A N/A</v>
      </c>
    </row>
    <row r="32">
      <c r="A32" s="36">
        <v>30.0</v>
      </c>
      <c r="B32" s="37">
        <v>92.0</v>
      </c>
      <c r="C32" s="37">
        <v>163.0</v>
      </c>
      <c r="E32" s="4">
        <f>IFERROR(__xludf.DUMMYFUNCTION("""COMPUTED_VALUE"""),160.0)</f>
        <v>160</v>
      </c>
      <c r="F32" s="4">
        <f>IFERROR(__xludf.DUMMYFUNCTION("""COMPUTED_VALUE"""),198.0)</f>
        <v>198</v>
      </c>
      <c r="H32" s="4">
        <f>VLOOKUP(E32, SLBs!$A$2:$AK$293, 36, FALSE)</f>
        <v>0.984</v>
      </c>
      <c r="I32" s="4">
        <f>VLOOKUP($E32, SLBs!$A$2:$AK$293, 37, FALSE)</f>
        <v>1.021</v>
      </c>
      <c r="J32" s="4" t="str">
        <f>VLOOKUP($E32, SLBs!$A$2:$AL$293, 38, FALSE)</f>
        <v>#N/A</v>
      </c>
      <c r="K32" s="4">
        <f t="shared" si="1"/>
        <v>0.984</v>
      </c>
      <c r="L32" s="4">
        <f t="shared" si="2"/>
        <v>-0.037</v>
      </c>
      <c r="O32" s="4" t="str">
        <f>VLOOKUP(F32,CBs!$A$2:$Z$427,5)</f>
        <v>#N/A N/A</v>
      </c>
      <c r="P32" s="34" t="str">
        <f>VLOOKUP(F32,CBs!$A$2:$Z$427,24)</f>
        <v>#N/A N/A</v>
      </c>
    </row>
    <row r="33">
      <c r="A33" s="36">
        <v>31.0</v>
      </c>
      <c r="B33" s="37">
        <v>91.0</v>
      </c>
      <c r="C33" s="37">
        <v>164.0</v>
      </c>
      <c r="E33" s="4">
        <f>IFERROR(__xludf.DUMMYFUNCTION("""COMPUTED_VALUE"""),161.0)</f>
        <v>161</v>
      </c>
      <c r="F33" s="4">
        <f>IFERROR(__xludf.DUMMYFUNCTION("""COMPUTED_VALUE"""),200.0)</f>
        <v>200</v>
      </c>
      <c r="H33" s="4">
        <f>VLOOKUP(E33, SLBs!$A$2:$AK$293, 36, FALSE)</f>
        <v>0.901</v>
      </c>
      <c r="I33" s="4">
        <f>VLOOKUP($E33, SLBs!$A$2:$AK$293, 37, FALSE)</f>
        <v>0.857</v>
      </c>
      <c r="J33" s="4" t="str">
        <f>VLOOKUP($E33, SLBs!$A$2:$AL$293, 38, FALSE)</f>
        <v>#N/A</v>
      </c>
      <c r="K33" s="4">
        <f t="shared" si="1"/>
        <v>0.901</v>
      </c>
      <c r="L33" s="4">
        <f t="shared" si="2"/>
        <v>0.044</v>
      </c>
      <c r="O33" s="4" t="str">
        <f>VLOOKUP(F33,CBs!$A$2:$Z$427,5)</f>
        <v>#N/A N/A</v>
      </c>
      <c r="P33" s="34">
        <f>VLOOKUP(F33,CBs!$A$2:$Z$427,24)</f>
        <v>2.954</v>
      </c>
    </row>
    <row r="34">
      <c r="A34" s="36">
        <v>32.0</v>
      </c>
      <c r="B34" s="37">
        <v>92.0</v>
      </c>
      <c r="C34" s="37">
        <v>164.0</v>
      </c>
      <c r="E34" s="4">
        <f>IFERROR(__xludf.DUMMYFUNCTION("""COMPUTED_VALUE"""),162.0)</f>
        <v>162</v>
      </c>
      <c r="F34" s="4">
        <f>IFERROR(__xludf.DUMMYFUNCTION("""COMPUTED_VALUE"""),201.0)</f>
        <v>201</v>
      </c>
      <c r="H34" s="4">
        <f>VLOOKUP(E34, SLBs!$A$2:$AK$293, 36, FALSE)</f>
        <v>1.813</v>
      </c>
      <c r="I34" s="4">
        <f>VLOOKUP($E34, SLBs!$A$2:$AK$293, 37, FALSE)</f>
        <v>1.852</v>
      </c>
      <c r="J34" s="4" t="str">
        <f>VLOOKUP($E34, SLBs!$A$2:$AL$293, 38, FALSE)</f>
        <v>#N/A</v>
      </c>
      <c r="K34" s="4">
        <f t="shared" si="1"/>
        <v>1.813</v>
      </c>
      <c r="L34" s="4">
        <f t="shared" si="2"/>
        <v>-0.039</v>
      </c>
      <c r="O34" s="4">
        <f>VLOOKUP(F34,CBs!$A$2:$Z$427,5)</f>
        <v>3.75</v>
      </c>
      <c r="P34" s="34">
        <f>VLOOKUP(F34,CBs!$A$2:$Z$427,24)</f>
        <v>3.691</v>
      </c>
    </row>
    <row r="35">
      <c r="A35" s="36">
        <v>33.0</v>
      </c>
      <c r="B35" s="37">
        <v>91.0</v>
      </c>
      <c r="C35" s="37">
        <v>165.0</v>
      </c>
      <c r="E35" s="4">
        <f>IFERROR(__xludf.DUMMYFUNCTION("""COMPUTED_VALUE"""),163.0)</f>
        <v>163</v>
      </c>
      <c r="F35" s="4">
        <f>IFERROR(__xludf.DUMMYFUNCTION("""COMPUTED_VALUE"""),202.0)</f>
        <v>202</v>
      </c>
      <c r="H35" s="4">
        <f>VLOOKUP(E35, SLBs!$A$2:$AK$293, 36, FALSE)</f>
        <v>0.738</v>
      </c>
      <c r="I35" s="4">
        <f>VLOOKUP($E35, SLBs!$A$2:$AK$293, 37, FALSE)</f>
        <v>0.581</v>
      </c>
      <c r="J35" s="4" t="str">
        <f>VLOOKUP($E35, SLBs!$A$2:$AL$293, 38, FALSE)</f>
        <v>#N/A</v>
      </c>
      <c r="K35" s="4">
        <f t="shared" si="1"/>
        <v>0.738</v>
      </c>
      <c r="L35" s="4">
        <f t="shared" si="2"/>
        <v>0.157</v>
      </c>
      <c r="O35" s="4" t="str">
        <f>VLOOKUP(F35,CBs!$A$2:$Z$427,5)</f>
        <v>#N/A N/A</v>
      </c>
      <c r="P35" s="34">
        <f>VLOOKUP(F35,CBs!$A$2:$Z$427,24)</f>
        <v>2.168</v>
      </c>
    </row>
    <row r="36">
      <c r="A36" s="36">
        <v>34.0</v>
      </c>
      <c r="B36" s="37">
        <v>92.0</v>
      </c>
      <c r="C36" s="37">
        <v>165.0</v>
      </c>
      <c r="E36" s="4">
        <f>IFERROR(__xludf.DUMMYFUNCTION("""COMPUTED_VALUE"""),165.0)</f>
        <v>165</v>
      </c>
      <c r="F36" s="4">
        <f>IFERROR(__xludf.DUMMYFUNCTION("""COMPUTED_VALUE"""),216.0)</f>
        <v>216</v>
      </c>
      <c r="H36" s="4">
        <f>VLOOKUP(E36, SLBs!$A$2:$AK$293, 36, FALSE)</f>
        <v>0.395</v>
      </c>
      <c r="I36" s="4">
        <f>VLOOKUP($E36, SLBs!$A$2:$AK$293, 37, FALSE)</f>
        <v>0.418</v>
      </c>
      <c r="J36" s="4">
        <f>VLOOKUP($E36, SLBs!$A$2:$AL$293, 38, FALSE)</f>
        <v>0.394</v>
      </c>
      <c r="K36" s="4">
        <f t="shared" si="1"/>
        <v>0.395</v>
      </c>
      <c r="L36" s="4">
        <f t="shared" si="2"/>
        <v>-0.023</v>
      </c>
      <c r="O36" s="4" t="str">
        <f>VLOOKUP(F36,CBs!$A$2:$Z$427,5)</f>
        <v>#N/A N/A</v>
      </c>
      <c r="P36" s="34">
        <f>VLOOKUP(F36,CBs!$A$2:$Z$427,24)</f>
        <v>1.787</v>
      </c>
    </row>
    <row r="37">
      <c r="A37" s="36">
        <v>35.0</v>
      </c>
      <c r="B37" s="37">
        <v>99.0</v>
      </c>
      <c r="C37" s="37">
        <v>168.0</v>
      </c>
      <c r="E37" s="24">
        <f>IFERROR(__xludf.DUMMYFUNCTION("""COMPUTED_VALUE"""),182.0)</f>
        <v>182</v>
      </c>
      <c r="F37" s="4">
        <f>IFERROR(__xludf.DUMMYFUNCTION("""COMPUTED_VALUE"""),219.0)</f>
        <v>219</v>
      </c>
      <c r="H37" s="4" t="str">
        <f>VLOOKUP(E37, SLBs!$A$2:$AK$293, 36, FALSE)</f>
        <v>#N/A N/A</v>
      </c>
      <c r="I37" s="4" t="str">
        <f>VLOOKUP($E37, SLBs!$A$2:$AK$293, 37, FALSE)</f>
        <v>#N/A N/A</v>
      </c>
      <c r="J37" s="4" t="str">
        <f>VLOOKUP($E37, SLBs!$A$2:$AL$293, 38, FALSE)</f>
        <v>#N/A</v>
      </c>
      <c r="K37" s="4" t="str">
        <f t="shared" si="1"/>
        <v>#N/A</v>
      </c>
      <c r="L37" s="4" t="str">
        <f t="shared" si="2"/>
        <v>#VALUE!</v>
      </c>
      <c r="O37" s="4" t="str">
        <f>VLOOKUP(F37,CBs!$A$2:$Z$427,5)</f>
        <v>#N/A N/A</v>
      </c>
      <c r="P37" s="34">
        <f>VLOOKUP(F37,CBs!$A$2:$Z$427,24)</f>
        <v>0.581</v>
      </c>
    </row>
    <row r="38">
      <c r="A38" s="36">
        <v>36.0</v>
      </c>
      <c r="B38" s="37">
        <v>99.0</v>
      </c>
      <c r="C38" s="37">
        <v>180.0</v>
      </c>
      <c r="E38" s="4">
        <f>IFERROR(__xludf.DUMMYFUNCTION("""COMPUTED_VALUE"""),188.0)</f>
        <v>188</v>
      </c>
      <c r="F38" s="4">
        <f>IFERROR(__xludf.DUMMYFUNCTION("""COMPUTED_VALUE"""),220.0)</f>
        <v>220</v>
      </c>
      <c r="H38" s="4" t="str">
        <f>VLOOKUP(E38, SLBs!$A$2:$AK$293, 36, FALSE)</f>
        <v>#N/A N/A</v>
      </c>
      <c r="I38" s="4">
        <f>VLOOKUP($E38, SLBs!$A$2:$AK$293, 37, FALSE)</f>
        <v>0.039</v>
      </c>
      <c r="J38" s="4" t="str">
        <f>VLOOKUP($E38, SLBs!$A$2:$AL$293, 38, FALSE)</f>
        <v>#N/A</v>
      </c>
      <c r="K38" s="4">
        <f t="shared" si="1"/>
        <v>0.039</v>
      </c>
      <c r="L38" s="4" t="str">
        <f t="shared" si="2"/>
        <v>#VALUE!</v>
      </c>
      <c r="O38" s="4" t="str">
        <f>VLOOKUP(F38,CBs!$A$2:$Z$427,5)</f>
        <v>#N/A N/A</v>
      </c>
      <c r="P38" s="34">
        <f>VLOOKUP(F38,CBs!$A$2:$Z$427,24)</f>
        <v>0.613</v>
      </c>
    </row>
    <row r="39">
      <c r="A39" s="36">
        <v>37.0</v>
      </c>
      <c r="B39" s="37">
        <v>99.0</v>
      </c>
      <c r="C39" s="37">
        <v>181.0</v>
      </c>
      <c r="E39" s="4">
        <f>IFERROR(__xludf.DUMMYFUNCTION("""COMPUTED_VALUE"""),194.0)</f>
        <v>194</v>
      </c>
      <c r="F39" s="4">
        <f>IFERROR(__xludf.DUMMYFUNCTION("""COMPUTED_VALUE"""),221.0)</f>
        <v>221</v>
      </c>
      <c r="H39" s="4">
        <f>VLOOKUP(E39, SLBs!$A$2:$AK$293, 36, FALSE)</f>
        <v>1.563</v>
      </c>
      <c r="I39" s="4">
        <f>VLOOKUP($E39, SLBs!$A$2:$AK$293, 37, FALSE)</f>
        <v>1.612</v>
      </c>
      <c r="J39" s="4" t="str">
        <f>VLOOKUP($E39, SLBs!$A$2:$AL$293, 38, FALSE)</f>
        <v>#N/A</v>
      </c>
      <c r="K39" s="4">
        <f t="shared" si="1"/>
        <v>1.563</v>
      </c>
      <c r="L39" s="4">
        <f t="shared" si="2"/>
        <v>-0.049</v>
      </c>
      <c r="O39" s="4">
        <f>VLOOKUP(F39,CBs!$A$2:$Z$427,5)</f>
        <v>0.604</v>
      </c>
      <c r="P39" s="34">
        <f>VLOOKUP(F39,CBs!$A$2:$Z$427,24)</f>
        <v>0.601</v>
      </c>
    </row>
    <row r="40">
      <c r="A40" s="36">
        <v>38.0</v>
      </c>
      <c r="B40" s="37">
        <v>99.0</v>
      </c>
      <c r="C40" s="37">
        <v>189.0</v>
      </c>
      <c r="E40" s="4">
        <f>IFERROR(__xludf.DUMMYFUNCTION("""COMPUTED_VALUE"""),204.0)</f>
        <v>204</v>
      </c>
      <c r="F40" s="4">
        <f>IFERROR(__xludf.DUMMYFUNCTION("""COMPUTED_VALUE"""),222.0)</f>
        <v>222</v>
      </c>
      <c r="H40" s="4" t="str">
        <f>VLOOKUP(E40, SLBs!$A$2:$AK$293, 36, FALSE)</f>
        <v>#N/A N/A</v>
      </c>
      <c r="I40" s="4" t="str">
        <f>VLOOKUP($E40, SLBs!$A$2:$AK$293, 37, FALSE)</f>
        <v>#N/A N/A</v>
      </c>
      <c r="J40" s="4" t="str">
        <f>VLOOKUP($E40, SLBs!$A$2:$AL$293, 38, FALSE)</f>
        <v>#N/A</v>
      </c>
      <c r="K40" s="4" t="str">
        <f t="shared" si="1"/>
        <v>#N/A</v>
      </c>
      <c r="L40" s="4" t="str">
        <f t="shared" si="2"/>
        <v>#VALUE!</v>
      </c>
      <c r="O40" s="4" t="str">
        <f>VLOOKUP(F40,CBs!$A$2:$Z$427,5)</f>
        <v>#N/A N/A</v>
      </c>
      <c r="P40" s="34">
        <f>VLOOKUP(F40,CBs!$A$2:$Z$427,24)</f>
        <v>1.186</v>
      </c>
    </row>
    <row r="41">
      <c r="A41" s="36">
        <v>39.0</v>
      </c>
      <c r="B41" s="37">
        <v>99.0</v>
      </c>
      <c r="C41" s="37">
        <v>191.0</v>
      </c>
      <c r="E41" s="4">
        <f>IFERROR(__xludf.DUMMYFUNCTION("""COMPUTED_VALUE"""),205.0)</f>
        <v>205</v>
      </c>
      <c r="F41" s="4">
        <f>IFERROR(__xludf.DUMMYFUNCTION("""COMPUTED_VALUE"""),223.0)</f>
        <v>223</v>
      </c>
      <c r="H41" s="4" t="str">
        <f>VLOOKUP(E41, SLBs!$A$2:$AK$293, 36, FALSE)</f>
        <v>#N/A N/A</v>
      </c>
      <c r="I41" s="4" t="str">
        <f>VLOOKUP($E41, SLBs!$A$2:$AK$293, 37, FALSE)</f>
        <v>#N/A N/A</v>
      </c>
      <c r="J41" s="4" t="str">
        <f>VLOOKUP($E41, SLBs!$A$2:$AL$293, 38, FALSE)</f>
        <v>#N/A</v>
      </c>
      <c r="K41" s="4" t="str">
        <f t="shared" si="1"/>
        <v>#N/A</v>
      </c>
      <c r="L41" s="4" t="str">
        <f t="shared" si="2"/>
        <v>#VALUE!</v>
      </c>
      <c r="O41" s="4" t="str">
        <f>VLOOKUP(F41,CBs!$A$2:$Z$427,5)</f>
        <v>#N/A N/A</v>
      </c>
      <c r="P41" s="34" t="str">
        <f>VLOOKUP(F41,CBs!$A$2:$Z$427,24)</f>
        <v>#N/A N/A</v>
      </c>
    </row>
    <row r="42">
      <c r="A42" s="36">
        <v>40.0</v>
      </c>
      <c r="B42" s="37">
        <v>99.0</v>
      </c>
      <c r="C42" s="37">
        <v>192.0</v>
      </c>
      <c r="E42" s="4">
        <f>IFERROR(__xludf.DUMMYFUNCTION("""COMPUTED_VALUE"""),231.0)</f>
        <v>231</v>
      </c>
      <c r="F42" s="4">
        <f>IFERROR(__xludf.DUMMYFUNCTION("""COMPUTED_VALUE"""),226.0)</f>
        <v>226</v>
      </c>
      <c r="H42" s="4">
        <f>VLOOKUP(E42, SLBs!$A$2:$AK$293, 36, FALSE)</f>
        <v>1.302</v>
      </c>
      <c r="I42" s="4">
        <f>VLOOKUP($E42, SLBs!$A$2:$AK$293, 37, FALSE)</f>
        <v>1.328</v>
      </c>
      <c r="J42" s="4" t="str">
        <f>VLOOKUP($E42, SLBs!$A$2:$AL$293, 38, FALSE)</f>
        <v>#N/A</v>
      </c>
      <c r="K42" s="4">
        <f t="shared" si="1"/>
        <v>1.302</v>
      </c>
      <c r="L42" s="4">
        <f t="shared" si="2"/>
        <v>-0.026</v>
      </c>
      <c r="O42" s="4" t="str">
        <f>VLOOKUP(F42,CBs!$A$2:$Z$427,5)</f>
        <v>#N/A N/A</v>
      </c>
      <c r="P42" s="34">
        <f>VLOOKUP(F42,CBs!$A$2:$Z$427,24)</f>
        <v>2.066</v>
      </c>
    </row>
    <row r="43">
      <c r="A43" s="36">
        <v>41.0</v>
      </c>
      <c r="B43" s="37">
        <v>104.0</v>
      </c>
      <c r="C43" s="37">
        <v>196.0</v>
      </c>
      <c r="E43" s="4">
        <f>IFERROR(__xludf.DUMMYFUNCTION("""COMPUTED_VALUE"""),232.0)</f>
        <v>232</v>
      </c>
      <c r="F43" s="4">
        <f>IFERROR(__xludf.DUMMYFUNCTION("""COMPUTED_VALUE"""),232.0)</f>
        <v>232</v>
      </c>
      <c r="H43" s="4" t="str">
        <f>VLOOKUP(E43, SLBs!$A$2:$AK$293, 36, FALSE)</f>
        <v>#N/A N/A</v>
      </c>
      <c r="I43" s="4" t="str">
        <f>VLOOKUP($E43, SLBs!$A$2:$AK$293, 37, FALSE)</f>
        <v>#N/A N/A</v>
      </c>
      <c r="J43" s="4" t="str">
        <f>VLOOKUP($E43, SLBs!$A$2:$AL$293, 38, FALSE)</f>
        <v>#N/A</v>
      </c>
      <c r="K43" s="4" t="str">
        <f t="shared" si="1"/>
        <v>#N/A</v>
      </c>
      <c r="L43" s="4" t="str">
        <f t="shared" si="2"/>
        <v>#VALUE!</v>
      </c>
      <c r="O43" s="4" t="str">
        <f>VLOOKUP(F43,CBs!$A$2:$Z$427,5)</f>
        <v>#N/A N/A</v>
      </c>
      <c r="P43" s="34" t="str">
        <f>VLOOKUP(F43,CBs!$A$2:$Z$427,24)</f>
        <v>#N/A N/A</v>
      </c>
    </row>
    <row r="44">
      <c r="A44" s="36">
        <v>42.0</v>
      </c>
      <c r="B44" s="37">
        <v>110.0</v>
      </c>
      <c r="C44" s="37">
        <v>197.0</v>
      </c>
      <c r="E44" s="4">
        <f>IFERROR(__xludf.DUMMYFUNCTION("""COMPUTED_VALUE"""),235.0)</f>
        <v>235</v>
      </c>
      <c r="F44" s="4">
        <f>IFERROR(__xludf.DUMMYFUNCTION("""COMPUTED_VALUE"""),233.0)</f>
        <v>233</v>
      </c>
      <c r="H44" s="4" t="str">
        <f>VLOOKUP(E44, SLBs!$A$2:$AK$293, 36, FALSE)</f>
        <v>#N/A N/A</v>
      </c>
      <c r="I44" s="4" t="str">
        <f>VLOOKUP($E44, SLBs!$A$2:$AK$293, 37, FALSE)</f>
        <v>#N/A N/A</v>
      </c>
      <c r="J44" s="4" t="str">
        <f>VLOOKUP($E44, SLBs!$A$2:$AL$293, 38, FALSE)</f>
        <v>#N/A</v>
      </c>
      <c r="K44" s="4" t="str">
        <f t="shared" si="1"/>
        <v>#N/A</v>
      </c>
      <c r="L44" s="4" t="str">
        <f t="shared" si="2"/>
        <v>#VALUE!</v>
      </c>
      <c r="O44" s="4" t="str">
        <f>VLOOKUP(F44,CBs!$A$2:$Z$427,5)</f>
        <v>#N/A N/A</v>
      </c>
      <c r="P44" s="34" t="str">
        <f>VLOOKUP(F44,CBs!$A$2:$Z$427,24)</f>
        <v>#N/A N/A</v>
      </c>
    </row>
    <row r="45">
      <c r="A45" s="36">
        <v>43.0</v>
      </c>
      <c r="B45" s="37">
        <v>106.0</v>
      </c>
      <c r="C45" s="37">
        <v>198.0</v>
      </c>
      <c r="E45" s="4">
        <f>IFERROR(__xludf.DUMMYFUNCTION("""COMPUTED_VALUE"""),233.0)</f>
        <v>233</v>
      </c>
      <c r="F45" s="4">
        <f>IFERROR(__xludf.DUMMYFUNCTION("""COMPUTED_VALUE"""),235.0)</f>
        <v>235</v>
      </c>
      <c r="H45" s="4" t="str">
        <f>VLOOKUP(E45, SLBs!$A$2:$AK$293, 36, FALSE)</f>
        <v>#N/A N/A</v>
      </c>
      <c r="I45" s="4" t="str">
        <f>VLOOKUP($E45, SLBs!$A$2:$AK$293, 37, FALSE)</f>
        <v>#N/A N/A</v>
      </c>
      <c r="J45" s="4" t="str">
        <f>VLOOKUP($E45, SLBs!$A$2:$AL$293, 38, FALSE)</f>
        <v>#N/A</v>
      </c>
      <c r="K45" s="4" t="str">
        <f t="shared" si="1"/>
        <v>#N/A</v>
      </c>
      <c r="L45" s="4" t="str">
        <f t="shared" si="2"/>
        <v>#VALUE!</v>
      </c>
      <c r="O45" s="4" t="str">
        <f>VLOOKUP(F45,CBs!$A$2:$Z$427,5)</f>
        <v>#N/A N/A</v>
      </c>
      <c r="P45" s="34" t="str">
        <f>VLOOKUP(F45,CBs!$A$2:$Z$427,24)</f>
        <v>#N/A N/A</v>
      </c>
    </row>
    <row r="46">
      <c r="A46" s="36">
        <v>44.0</v>
      </c>
      <c r="B46" s="37">
        <v>110.0</v>
      </c>
      <c r="C46" s="37">
        <v>198.0</v>
      </c>
      <c r="E46" s="4">
        <f>IFERROR(__xludf.DUMMYFUNCTION("""COMPUTED_VALUE"""),234.0)</f>
        <v>234</v>
      </c>
      <c r="F46" s="4">
        <f>IFERROR(__xludf.DUMMYFUNCTION("""COMPUTED_VALUE"""),236.0)</f>
        <v>236</v>
      </c>
      <c r="H46" s="4" t="str">
        <f>VLOOKUP(E46, SLBs!$A$2:$AK$293, 36, FALSE)</f>
        <v>#N/A N/A</v>
      </c>
      <c r="I46" s="4" t="str">
        <f>VLOOKUP($E46, SLBs!$A$2:$AK$293, 37, FALSE)</f>
        <v>#N/A N/A</v>
      </c>
      <c r="J46" s="4" t="str">
        <f>VLOOKUP($E46, SLBs!$A$2:$AL$293, 38, FALSE)</f>
        <v>#N/A</v>
      </c>
      <c r="K46" s="4" t="str">
        <f t="shared" si="1"/>
        <v>#N/A</v>
      </c>
      <c r="L46" s="4" t="str">
        <f t="shared" si="2"/>
        <v>#VALUE!</v>
      </c>
      <c r="O46" s="4" t="str">
        <f>VLOOKUP(F46,CBs!$A$2:$Z$427,5)</f>
        <v>#N/A N/A</v>
      </c>
      <c r="P46" s="34" t="str">
        <f>VLOOKUP(F46,CBs!$A$2:$Z$427,24)</f>
        <v>#N/A N/A</v>
      </c>
    </row>
    <row r="47">
      <c r="A47" s="36">
        <v>45.0</v>
      </c>
      <c r="B47" s="37">
        <v>104.0</v>
      </c>
      <c r="C47" s="37">
        <v>200.0</v>
      </c>
      <c r="E47" s="4">
        <f>IFERROR(__xludf.DUMMYFUNCTION("""COMPUTED_VALUE"""),240.0)</f>
        <v>240</v>
      </c>
      <c r="F47" s="4">
        <f>IFERROR(__xludf.DUMMYFUNCTION("""COMPUTED_VALUE"""),237.0)</f>
        <v>237</v>
      </c>
      <c r="H47" s="4" t="str">
        <f>VLOOKUP(E47, SLBs!$A$2:$AK$293, 36, FALSE)</f>
        <v>#N/A N/A</v>
      </c>
      <c r="I47" s="4">
        <f>VLOOKUP($E47, SLBs!$A$2:$AK$293, 37, FALSE)</f>
        <v>0.845</v>
      </c>
      <c r="J47" s="4" t="str">
        <f>VLOOKUP($E47, SLBs!$A$2:$AL$293, 38, FALSE)</f>
        <v>#N/A</v>
      </c>
      <c r="K47" s="4">
        <f t="shared" si="1"/>
        <v>0.845</v>
      </c>
      <c r="L47" s="4" t="str">
        <f t="shared" si="2"/>
        <v>#VALUE!</v>
      </c>
      <c r="O47" s="4" t="str">
        <f>VLOOKUP(F47,CBs!$A$2:$Z$427,5)</f>
        <v>#N/A N/A</v>
      </c>
      <c r="P47" s="34" t="str">
        <f>VLOOKUP(F47,CBs!$A$2:$Z$427,24)</f>
        <v>#N/A N/A</v>
      </c>
    </row>
    <row r="48">
      <c r="A48" s="36">
        <v>46.0</v>
      </c>
      <c r="B48" s="37">
        <v>104.0</v>
      </c>
      <c r="C48" s="37">
        <v>201.0</v>
      </c>
      <c r="E48" s="4">
        <f>IFERROR(__xludf.DUMMYFUNCTION("""COMPUTED_VALUE"""),241.0)</f>
        <v>241</v>
      </c>
      <c r="F48" s="4">
        <f>IFERROR(__xludf.DUMMYFUNCTION("""COMPUTED_VALUE"""),248.0)</f>
        <v>248</v>
      </c>
      <c r="H48" s="4">
        <f>VLOOKUP(E48, SLBs!$A$2:$AK$293, 36, FALSE)</f>
        <v>1.271</v>
      </c>
      <c r="I48" s="4">
        <f>VLOOKUP($E48, SLBs!$A$2:$AK$293, 37, FALSE)</f>
        <v>1.277</v>
      </c>
      <c r="J48" s="4" t="str">
        <f>VLOOKUP($E48, SLBs!$A$2:$AL$293, 38, FALSE)</f>
        <v>#N/A</v>
      </c>
      <c r="K48" s="4">
        <f t="shared" si="1"/>
        <v>1.271</v>
      </c>
      <c r="L48" s="4">
        <f t="shared" si="2"/>
        <v>-0.006</v>
      </c>
      <c r="O48" s="4">
        <f>VLOOKUP(F48,CBs!$A$2:$Z$427,5)</f>
        <v>3.781</v>
      </c>
      <c r="P48" s="34" t="str">
        <f>VLOOKUP(F48,CBs!$A$2:$Z$427,24)</f>
        <v>#N/A N/A</v>
      </c>
    </row>
    <row r="49">
      <c r="A49" s="36">
        <v>47.0</v>
      </c>
      <c r="B49" s="37">
        <v>104.0</v>
      </c>
      <c r="C49" s="37">
        <v>202.0</v>
      </c>
      <c r="E49" s="4">
        <f>IFERROR(__xludf.DUMMYFUNCTION("""COMPUTED_VALUE"""),230.0)</f>
        <v>230</v>
      </c>
      <c r="F49" s="4">
        <f>IFERROR(__xludf.DUMMYFUNCTION("""COMPUTED_VALUE"""),249.0)</f>
        <v>249</v>
      </c>
      <c r="H49" s="4" t="str">
        <f>VLOOKUP(E49, SLBs!$A$2:$AK$293, 36, FALSE)</f>
        <v>#N/A N/A</v>
      </c>
      <c r="I49" s="4">
        <f>VLOOKUP($E49, SLBs!$A$2:$AK$293, 37, FALSE)</f>
        <v>1.66</v>
      </c>
      <c r="J49" s="4">
        <f>VLOOKUP($E49, SLBs!$A$2:$AL$293, 38, FALSE)</f>
        <v>4.231</v>
      </c>
      <c r="K49" s="4">
        <f t="shared" si="1"/>
        <v>1.66</v>
      </c>
      <c r="L49" s="4" t="str">
        <f t="shared" si="2"/>
        <v>#VALUE!</v>
      </c>
      <c r="O49" s="4">
        <f>VLOOKUP(F49,CBs!$A$2:$Z$427,5)</f>
        <v>3.781</v>
      </c>
      <c r="P49" s="34" t="str">
        <f>VLOOKUP(F49,CBs!$A$2:$Z$427,24)</f>
        <v>#N/A N/A</v>
      </c>
    </row>
    <row r="50">
      <c r="A50" s="36">
        <v>48.0</v>
      </c>
      <c r="B50" s="37">
        <v>131.0</v>
      </c>
      <c r="C50" s="37">
        <v>216.0</v>
      </c>
      <c r="E50" s="4">
        <f>IFERROR(__xludf.DUMMYFUNCTION("""COMPUTED_VALUE"""),242.0)</f>
        <v>242</v>
      </c>
      <c r="F50" s="4">
        <f>IFERROR(__xludf.DUMMYFUNCTION("""COMPUTED_VALUE"""),264.0)</f>
        <v>264</v>
      </c>
      <c r="H50" s="4">
        <f>VLOOKUP(E50, SLBs!$A$2:$AK$293, 36, FALSE)</f>
        <v>2.7</v>
      </c>
      <c r="I50" s="4">
        <f>VLOOKUP($E50, SLBs!$A$2:$AK$293, 37, FALSE)</f>
        <v>2.553</v>
      </c>
      <c r="J50" s="4">
        <f>VLOOKUP($E50, SLBs!$A$2:$AL$293, 38, FALSE)</f>
        <v>4.7465</v>
      </c>
      <c r="K50" s="4">
        <f t="shared" si="1"/>
        <v>2.7</v>
      </c>
      <c r="L50" s="4">
        <f t="shared" si="2"/>
        <v>0.147</v>
      </c>
      <c r="O50" s="4" t="str">
        <f>VLOOKUP(F50,CBs!$A$2:$Z$427,5)</f>
        <v>#N/A N/A</v>
      </c>
      <c r="P50" s="34">
        <f>VLOOKUP(F50,CBs!$A$2:$Z$427,24)</f>
        <v>0.688</v>
      </c>
    </row>
    <row r="51">
      <c r="A51" s="36">
        <v>49.0</v>
      </c>
      <c r="B51" s="37">
        <v>131.0</v>
      </c>
      <c r="C51" s="37">
        <v>219.0</v>
      </c>
      <c r="E51" s="4">
        <f>IFERROR(__xludf.DUMMYFUNCTION("""COMPUTED_VALUE"""),243.0)</f>
        <v>243</v>
      </c>
      <c r="F51" s="4">
        <f>IFERROR(__xludf.DUMMYFUNCTION("""COMPUTED_VALUE"""),265.0)</f>
        <v>265</v>
      </c>
      <c r="H51" s="4">
        <f>VLOOKUP(E51, SLBs!$A$2:$AK$293, 36, FALSE)</f>
        <v>3.28</v>
      </c>
      <c r="I51" s="4">
        <f>VLOOKUP($E51, SLBs!$A$2:$AK$293, 37, FALSE)</f>
        <v>3.233</v>
      </c>
      <c r="J51" s="4" t="str">
        <f>VLOOKUP($E51, SLBs!$A$2:$AL$293, 38, FALSE)</f>
        <v>#N/A</v>
      </c>
      <c r="K51" s="4">
        <f t="shared" si="1"/>
        <v>3.28</v>
      </c>
      <c r="L51" s="4">
        <f t="shared" si="2"/>
        <v>0.047</v>
      </c>
      <c r="O51" s="4" t="str">
        <f>VLOOKUP(F51,CBs!$A$2:$Z$427,5)</f>
        <v>#N/A N/A</v>
      </c>
      <c r="P51" s="34">
        <f>VLOOKUP(F51,CBs!$A$2:$Z$427,24)</f>
        <v>0.887</v>
      </c>
    </row>
    <row r="52">
      <c r="A52" s="36">
        <v>50.0</v>
      </c>
      <c r="B52" s="37">
        <v>131.0</v>
      </c>
      <c r="C52" s="37">
        <v>220.0</v>
      </c>
      <c r="E52" s="4">
        <f>IFERROR(__xludf.DUMMYFUNCTION("""COMPUTED_VALUE"""),244.0)</f>
        <v>244</v>
      </c>
      <c r="F52" s="4">
        <f>IFERROR(__xludf.DUMMYFUNCTION("""COMPUTED_VALUE"""),267.0)</f>
        <v>267</v>
      </c>
      <c r="H52" s="4">
        <f>VLOOKUP(E52, SLBs!$A$2:$AK$293, 36, FALSE)</f>
        <v>3.95</v>
      </c>
      <c r="I52" s="4">
        <f>VLOOKUP($E52, SLBs!$A$2:$AK$293, 37, FALSE)</f>
        <v>3.637</v>
      </c>
      <c r="J52" s="4" t="str">
        <f>VLOOKUP($E52, SLBs!$A$2:$AL$293, 38, FALSE)</f>
        <v>#N/A</v>
      </c>
      <c r="K52" s="4">
        <f t="shared" si="1"/>
        <v>3.95</v>
      </c>
      <c r="L52" s="4">
        <f t="shared" si="2"/>
        <v>0.313</v>
      </c>
      <c r="O52" s="4">
        <f>VLOOKUP(F52,CBs!$A$2:$Z$427,5)</f>
        <v>5.8</v>
      </c>
      <c r="P52" s="34">
        <f>VLOOKUP(F52,CBs!$A$2:$Z$427,24)</f>
        <v>5.704</v>
      </c>
    </row>
    <row r="53">
      <c r="A53" s="36">
        <v>51.0</v>
      </c>
      <c r="B53" s="37">
        <v>131.0</v>
      </c>
      <c r="C53" s="37">
        <v>221.0</v>
      </c>
      <c r="E53" s="4">
        <f>IFERROR(__xludf.DUMMYFUNCTION("""COMPUTED_VALUE"""),246.0)</f>
        <v>246</v>
      </c>
      <c r="F53" s="4">
        <f>IFERROR(__xludf.DUMMYFUNCTION("""COMPUTED_VALUE"""),268.0)</f>
        <v>268</v>
      </c>
      <c r="H53" s="4">
        <f>VLOOKUP(E53, SLBs!$A$2:$AK$293, 36, FALSE)</f>
        <v>3.75</v>
      </c>
      <c r="I53" s="4">
        <f>VLOOKUP($E53, SLBs!$A$2:$AK$293, 37, FALSE)</f>
        <v>3.691</v>
      </c>
      <c r="J53" s="4">
        <f>VLOOKUP($E53, SLBs!$A$2:$AL$293, 38, FALSE)</f>
        <v>4.231</v>
      </c>
      <c r="K53" s="4">
        <f t="shared" si="1"/>
        <v>3.75</v>
      </c>
      <c r="L53" s="4">
        <f t="shared" si="2"/>
        <v>0.059</v>
      </c>
      <c r="O53" s="4">
        <f>VLOOKUP(F53,CBs!$A$2:$Z$427,5)</f>
        <v>5.8</v>
      </c>
      <c r="P53" s="34">
        <f>VLOOKUP(F53,CBs!$A$2:$Z$427,24)</f>
        <v>5.63</v>
      </c>
    </row>
    <row r="54">
      <c r="A54" s="36">
        <v>52.0</v>
      </c>
      <c r="B54" s="37">
        <v>132.0</v>
      </c>
      <c r="C54" s="37">
        <v>222.0</v>
      </c>
      <c r="E54" s="4">
        <f>IFERROR(__xludf.DUMMYFUNCTION("""COMPUTED_VALUE"""),248.0)</f>
        <v>248</v>
      </c>
      <c r="F54" s="4">
        <f>IFERROR(__xludf.DUMMYFUNCTION("""COMPUTED_VALUE"""),273.0)</f>
        <v>273</v>
      </c>
      <c r="H54" s="4">
        <f>VLOOKUP(E54, SLBs!$A$2:$AK$293, 36, FALSE)</f>
        <v>5.125</v>
      </c>
      <c r="I54" s="4">
        <f>VLOOKUP($E54, SLBs!$A$2:$AK$293, 37, FALSE)</f>
        <v>5.068</v>
      </c>
      <c r="J54" s="4">
        <f>VLOOKUP($E54, SLBs!$A$2:$AL$293, 38, FALSE)</f>
        <v>4.873</v>
      </c>
      <c r="K54" s="4">
        <f t="shared" si="1"/>
        <v>5.125</v>
      </c>
      <c r="L54" s="4">
        <f t="shared" si="2"/>
        <v>0.057</v>
      </c>
      <c r="O54" s="4" t="str">
        <f>VLOOKUP(F54,CBs!$A$2:$Z$427,5)</f>
        <v>#N/A N/A</v>
      </c>
      <c r="P54" s="34">
        <f>VLOOKUP(F54,CBs!$A$2:$Z$427,24)</f>
        <v>1.506</v>
      </c>
    </row>
    <row r="55">
      <c r="A55" s="36">
        <v>53.0</v>
      </c>
      <c r="B55" s="37">
        <v>132.0</v>
      </c>
      <c r="C55" s="37">
        <v>223.0</v>
      </c>
      <c r="E55" s="4">
        <f>IFERROR(__xludf.DUMMYFUNCTION("""COMPUTED_VALUE"""),249.0)</f>
        <v>249</v>
      </c>
      <c r="F55" s="4">
        <f>IFERROR(__xludf.DUMMYFUNCTION("""COMPUTED_VALUE"""),276.0)</f>
        <v>276</v>
      </c>
      <c r="H55" s="4">
        <f>VLOOKUP(E55, SLBs!$A$2:$AK$293, 36, FALSE)</f>
        <v>4.75</v>
      </c>
      <c r="I55" s="4" t="str">
        <f>VLOOKUP($E55, SLBs!$A$2:$AK$293, 37, FALSE)</f>
        <v>#N/A N/A</v>
      </c>
      <c r="J55" s="4">
        <f>VLOOKUP($E55, SLBs!$A$2:$AL$293, 38, FALSE)</f>
        <v>4.873</v>
      </c>
      <c r="K55" s="4">
        <f t="shared" si="1"/>
        <v>4.75</v>
      </c>
      <c r="L55" s="4" t="str">
        <f t="shared" si="2"/>
        <v>#VALUE!</v>
      </c>
      <c r="O55" s="4" t="str">
        <f>VLOOKUP(F55,CBs!$A$2:$Z$427,5)</f>
        <v>#N/A N/A</v>
      </c>
      <c r="P55" s="34">
        <f>VLOOKUP(F55,CBs!$A$2:$Z$427,24)</f>
        <v>0.908</v>
      </c>
    </row>
    <row r="56">
      <c r="A56" s="36">
        <v>54.0</v>
      </c>
      <c r="B56" s="37">
        <v>131.0</v>
      </c>
      <c r="C56" s="37">
        <v>226.0</v>
      </c>
      <c r="E56" s="4">
        <f>IFERROR(__xludf.DUMMYFUNCTION("""COMPUTED_VALUE"""),257.0)</f>
        <v>257</v>
      </c>
      <c r="F56" s="4">
        <f>IFERROR(__xludf.DUMMYFUNCTION("""COMPUTED_VALUE"""),277.0)</f>
        <v>277</v>
      </c>
      <c r="H56" s="4" t="str">
        <f>VLOOKUP(E56, SLBs!$A$2:$AK$293, 36, FALSE)</f>
        <v>#N/A N/A</v>
      </c>
      <c r="I56" s="4">
        <f>VLOOKUP($E56, SLBs!$A$2:$AK$293, 37, FALSE)</f>
        <v>2.666</v>
      </c>
      <c r="J56" s="4" t="str">
        <f>VLOOKUP($E56, SLBs!$A$2:$AL$293, 38, FALSE)</f>
        <v>#N/A</v>
      </c>
      <c r="K56" s="4">
        <f t="shared" si="1"/>
        <v>2.666</v>
      </c>
      <c r="L56" s="4" t="str">
        <f t="shared" si="2"/>
        <v>#VALUE!</v>
      </c>
      <c r="O56" s="4">
        <f>VLOOKUP(F56,CBs!$A$2:$Z$427,5)</f>
        <v>0.454</v>
      </c>
      <c r="P56" s="34">
        <f>VLOOKUP(F56,CBs!$A$2:$Z$427,24)</f>
        <v>0.355</v>
      </c>
    </row>
    <row r="57">
      <c r="A57" s="36">
        <v>55.0</v>
      </c>
      <c r="B57" s="37">
        <v>137.0</v>
      </c>
      <c r="C57" s="37">
        <v>232.0</v>
      </c>
      <c r="E57" s="4">
        <f>IFERROR(__xludf.DUMMYFUNCTION("""COMPUTED_VALUE"""),277.0)</f>
        <v>277</v>
      </c>
      <c r="F57" s="4">
        <f>IFERROR(__xludf.DUMMYFUNCTION("""COMPUTED_VALUE"""),279.0)</f>
        <v>279</v>
      </c>
      <c r="H57" s="4">
        <f>VLOOKUP(E57, SLBs!$A$2:$AK$293, 36, FALSE)</f>
        <v>3.879</v>
      </c>
      <c r="I57" s="4">
        <f>VLOOKUP($E57, SLBs!$A$2:$AK$293, 37, FALSE)</f>
        <v>4.006</v>
      </c>
      <c r="J57" s="4" t="str">
        <f>VLOOKUP($E57, SLBs!$A$2:$AL$293, 38, FALSE)</f>
        <v>#N/A</v>
      </c>
      <c r="K57" s="4">
        <f t="shared" si="1"/>
        <v>3.879</v>
      </c>
      <c r="L57" s="4">
        <f t="shared" si="2"/>
        <v>-0.127</v>
      </c>
      <c r="O57" s="4" t="str">
        <f>VLOOKUP(F57,CBs!$A$2:$Z$427,5)</f>
        <v>#N/A N/A</v>
      </c>
      <c r="P57" s="34">
        <f>VLOOKUP(F57,CBs!$A$2:$Z$427,24)</f>
        <v>1.403</v>
      </c>
    </row>
    <row r="58">
      <c r="A58" s="36">
        <v>56.0</v>
      </c>
      <c r="B58" s="37">
        <v>137.0</v>
      </c>
      <c r="C58" s="37">
        <v>233.0</v>
      </c>
      <c r="F58" s="4">
        <f>IFERROR(__xludf.DUMMYFUNCTION("""COMPUTED_VALUE"""),280.0)</f>
        <v>280</v>
      </c>
      <c r="O58" s="4" t="str">
        <f>VLOOKUP(F58,CBs!$A$2:$Z$427,5)</f>
        <v>#N/A N/A</v>
      </c>
      <c r="P58" s="34">
        <f>VLOOKUP(F58,CBs!$A$2:$Z$427,24)</f>
        <v>0.128</v>
      </c>
    </row>
    <row r="59">
      <c r="A59" s="36">
        <v>57.0</v>
      </c>
      <c r="B59" s="37">
        <v>139.0</v>
      </c>
      <c r="C59" s="37">
        <v>233.0</v>
      </c>
      <c r="F59" s="4">
        <f>IFERROR(__xludf.DUMMYFUNCTION("""COMPUTED_VALUE"""),282.0)</f>
        <v>282</v>
      </c>
      <c r="O59" s="4" t="str">
        <f>VLOOKUP(F59,CBs!$A$2:$Z$427,5)</f>
        <v>#N/A N/A</v>
      </c>
      <c r="P59" s="34">
        <f>VLOOKUP(F59,CBs!$A$2:$Z$427,24)</f>
        <v>1.879</v>
      </c>
    </row>
    <row r="60">
      <c r="A60" s="36">
        <v>58.0</v>
      </c>
      <c r="B60" s="37">
        <v>137.0</v>
      </c>
      <c r="C60" s="37">
        <v>235.0</v>
      </c>
      <c r="F60" s="4">
        <f>IFERROR(__xludf.DUMMYFUNCTION("""COMPUTED_VALUE"""),287.0)</f>
        <v>287</v>
      </c>
      <c r="O60" s="4" t="str">
        <f>VLOOKUP(F60,CBs!$A$2:$Z$427,5)</f>
        <v>#N/A N/A</v>
      </c>
      <c r="P60" s="34">
        <f>VLOOKUP(F60,CBs!$A$2:$Z$427,24)</f>
        <v>0.766</v>
      </c>
    </row>
    <row r="61">
      <c r="A61" s="36">
        <v>59.0</v>
      </c>
      <c r="B61" s="37">
        <v>138.0</v>
      </c>
      <c r="C61" s="37">
        <v>235.0</v>
      </c>
      <c r="F61" s="4">
        <f>IFERROR(__xludf.DUMMYFUNCTION("""COMPUTED_VALUE"""),296.0)</f>
        <v>296</v>
      </c>
      <c r="O61" s="4" t="str">
        <f>VLOOKUP(F61,CBs!$A$2:$Z$427,5)</f>
        <v>#N/A N/A</v>
      </c>
      <c r="P61" s="34" t="str">
        <f>VLOOKUP(F61,CBs!$A$2:$Z$427,24)</f>
        <v>#N/A N/A</v>
      </c>
    </row>
    <row r="62">
      <c r="A62" s="36">
        <v>60.0</v>
      </c>
      <c r="B62" s="37">
        <v>139.0</v>
      </c>
      <c r="C62" s="37">
        <v>235.0</v>
      </c>
      <c r="F62" s="4">
        <f>IFERROR(__xludf.DUMMYFUNCTION("""COMPUTED_VALUE"""),300.0)</f>
        <v>300</v>
      </c>
      <c r="O62" s="4" t="str">
        <f>VLOOKUP(F62,CBs!$A$2:$Z$427,5)</f>
        <v>#N/A N/A</v>
      </c>
      <c r="P62" s="34">
        <f>VLOOKUP(F62,CBs!$A$2:$Z$427,24)</f>
        <v>1.017</v>
      </c>
    </row>
    <row r="63">
      <c r="A63" s="36">
        <v>61.0</v>
      </c>
      <c r="B63" s="37">
        <v>137.0</v>
      </c>
      <c r="C63" s="37">
        <v>236.0</v>
      </c>
      <c r="F63" s="4">
        <f>IFERROR(__xludf.DUMMYFUNCTION("""COMPUTED_VALUE"""),302.0)</f>
        <v>302</v>
      </c>
      <c r="O63" s="4" t="str">
        <f>VLOOKUP(F63,CBs!$A$2:$Z$427,5)</f>
        <v>#N/A N/A</v>
      </c>
      <c r="P63" s="34">
        <f>VLOOKUP(F63,CBs!$A$2:$Z$427,24)</f>
        <v>1.445</v>
      </c>
    </row>
    <row r="64">
      <c r="A64" s="36">
        <v>62.0</v>
      </c>
      <c r="B64" s="37">
        <v>138.0</v>
      </c>
      <c r="C64" s="37">
        <v>236.0</v>
      </c>
      <c r="F64" s="4">
        <f>IFERROR(__xludf.DUMMYFUNCTION("""COMPUTED_VALUE"""),303.0)</f>
        <v>303</v>
      </c>
      <c r="O64" s="4" t="str">
        <f>VLOOKUP(F64,CBs!$A$2:$Z$427,5)</f>
        <v>#N/A N/A</v>
      </c>
      <c r="P64" s="34">
        <f>VLOOKUP(F64,CBs!$A$2:$Z$427,24)</f>
        <v>1.827</v>
      </c>
    </row>
    <row r="65">
      <c r="A65" s="36">
        <v>63.0</v>
      </c>
      <c r="B65" s="37">
        <v>139.0</v>
      </c>
      <c r="C65" s="37">
        <v>236.0</v>
      </c>
      <c r="F65" s="4">
        <f>IFERROR(__xludf.DUMMYFUNCTION("""COMPUTED_VALUE"""),308.0)</f>
        <v>308</v>
      </c>
      <c r="O65" s="4" t="str">
        <f>VLOOKUP(F65,CBs!$A$2:$Z$427,5)</f>
        <v>#N/A N/A</v>
      </c>
      <c r="P65" s="34">
        <f>VLOOKUP(F65,CBs!$A$2:$Z$427,24)</f>
        <v>1.752</v>
      </c>
    </row>
    <row r="66">
      <c r="A66" s="36">
        <v>64.0</v>
      </c>
      <c r="B66" s="37">
        <v>137.0</v>
      </c>
      <c r="C66" s="37">
        <v>237.0</v>
      </c>
      <c r="F66" s="4">
        <f>IFERROR(__xludf.DUMMYFUNCTION("""COMPUTED_VALUE"""),309.0)</f>
        <v>309</v>
      </c>
      <c r="O66" s="4" t="str">
        <f>VLOOKUP(F66,CBs!$A$2:$Z$427,5)</f>
        <v>#N/A N/A</v>
      </c>
      <c r="P66" s="34">
        <f>VLOOKUP(F66,CBs!$A$2:$Z$427,24)</f>
        <v>0.295</v>
      </c>
    </row>
    <row r="67">
      <c r="A67" s="36">
        <v>65.0</v>
      </c>
      <c r="B67" s="37">
        <v>139.0</v>
      </c>
      <c r="C67" s="37">
        <v>237.0</v>
      </c>
      <c r="F67" s="4">
        <f>IFERROR(__xludf.DUMMYFUNCTION("""COMPUTED_VALUE"""),316.0)</f>
        <v>316</v>
      </c>
      <c r="O67" s="4" t="str">
        <f>VLOOKUP(F67,CBs!$A$2:$Z$427,5)</f>
        <v>#N/A N/A</v>
      </c>
      <c r="P67" s="34">
        <f>VLOOKUP(F67,CBs!$A$2:$Z$427,24)</f>
        <v>0.38</v>
      </c>
    </row>
    <row r="68">
      <c r="A68" s="36">
        <v>66.0</v>
      </c>
      <c r="B68" s="37">
        <v>142.0</v>
      </c>
      <c r="C68" s="37">
        <v>248.0</v>
      </c>
      <c r="F68" s="4">
        <f>IFERROR(__xludf.DUMMYFUNCTION("""COMPUTED_VALUE"""),317.0)</f>
        <v>317</v>
      </c>
      <c r="O68" s="4" t="str">
        <f>VLOOKUP(F68,CBs!$A$2:$Z$427,5)</f>
        <v>#N/A N/A</v>
      </c>
      <c r="P68" s="34">
        <f>VLOOKUP(F68,CBs!$A$2:$Z$427,24)</f>
        <v>0.781</v>
      </c>
    </row>
    <row r="69">
      <c r="A69" s="36">
        <v>67.0</v>
      </c>
      <c r="B69" s="37">
        <v>143.0</v>
      </c>
      <c r="C69" s="37">
        <v>248.0</v>
      </c>
      <c r="F69" s="4">
        <f>IFERROR(__xludf.DUMMYFUNCTION("""COMPUTED_VALUE"""),324.0)</f>
        <v>324</v>
      </c>
      <c r="O69" s="4" t="str">
        <f>VLOOKUP(F69,CBs!$A$2:$Z$427,5)</f>
        <v>#N/A N/A</v>
      </c>
      <c r="P69" s="34" t="str">
        <f>VLOOKUP(F69,CBs!$A$2:$Z$427,24)</f>
        <v>#N/A N/A</v>
      </c>
    </row>
    <row r="70">
      <c r="A70" s="36">
        <v>68.0</v>
      </c>
      <c r="B70" s="37">
        <v>142.0</v>
      </c>
      <c r="C70" s="37">
        <v>249.0</v>
      </c>
      <c r="F70" s="4">
        <f>IFERROR(__xludf.DUMMYFUNCTION("""COMPUTED_VALUE"""),326.0)</f>
        <v>326</v>
      </c>
      <c r="O70" s="4" t="str">
        <f>VLOOKUP(F70,CBs!$A$2:$Z$427,5)</f>
        <v>#N/A N/A</v>
      </c>
      <c r="P70" s="34" t="str">
        <f>VLOOKUP(F70,CBs!$A$2:$Z$427,24)</f>
        <v>#N/A N/A</v>
      </c>
    </row>
    <row r="71">
      <c r="A71" s="36">
        <v>69.0</v>
      </c>
      <c r="B71" s="37">
        <v>143.0</v>
      </c>
      <c r="C71" s="37">
        <v>249.0</v>
      </c>
      <c r="F71" s="4">
        <f>IFERROR(__xludf.DUMMYFUNCTION("""COMPUTED_VALUE"""),328.0)</f>
        <v>328</v>
      </c>
      <c r="O71" s="4" t="str">
        <f>VLOOKUP(F71,CBs!$A$2:$Z$427,5)</f>
        <v>#N/A N/A</v>
      </c>
      <c r="P71" s="34">
        <f>VLOOKUP(F71,CBs!$A$2:$Z$427,24)</f>
        <v>1.889</v>
      </c>
    </row>
    <row r="72">
      <c r="A72" s="36">
        <v>70.0</v>
      </c>
      <c r="B72" s="37">
        <v>154.0</v>
      </c>
      <c r="C72" s="37">
        <v>264.0</v>
      </c>
      <c r="F72" s="4">
        <f>IFERROR(__xludf.DUMMYFUNCTION("""COMPUTED_VALUE"""),329.0)</f>
        <v>329</v>
      </c>
      <c r="O72" s="4" t="str">
        <f>VLOOKUP(F72,CBs!$A$2:$Z$427,5)</f>
        <v>#N/A N/A</v>
      </c>
      <c r="P72" s="34">
        <f>VLOOKUP(F72,CBs!$A$2:$Z$427,24)</f>
        <v>1.472</v>
      </c>
    </row>
    <row r="73">
      <c r="A73" s="36">
        <v>71.0</v>
      </c>
      <c r="B73" s="37">
        <v>155.0</v>
      </c>
      <c r="C73" s="37">
        <v>265.0</v>
      </c>
      <c r="F73" s="4">
        <f>IFERROR(__xludf.DUMMYFUNCTION("""COMPUTED_VALUE"""),333.0)</f>
        <v>333</v>
      </c>
      <c r="O73" s="4" t="str">
        <f>VLOOKUP(F73,CBs!$A$2:$Z$427,5)</f>
        <v>#N/A N/A</v>
      </c>
      <c r="P73" s="34">
        <f>VLOOKUP(F73,CBs!$A$2:$Z$427,24)</f>
        <v>0.849</v>
      </c>
    </row>
    <row r="74">
      <c r="A74" s="36">
        <v>72.0</v>
      </c>
      <c r="B74" s="37">
        <v>157.0</v>
      </c>
      <c r="C74" s="37">
        <v>267.0</v>
      </c>
      <c r="F74" s="4">
        <f>IFERROR(__xludf.DUMMYFUNCTION("""COMPUTED_VALUE"""),334.0)</f>
        <v>334</v>
      </c>
      <c r="O74" s="4" t="str">
        <f>VLOOKUP(F74,CBs!$A$2:$Z$427,5)</f>
        <v>#N/A N/A</v>
      </c>
      <c r="P74" s="34">
        <f>VLOOKUP(F74,CBs!$A$2:$Z$427,24)</f>
        <v>1.293</v>
      </c>
    </row>
    <row r="75">
      <c r="A75" s="36">
        <v>73.0</v>
      </c>
      <c r="B75" s="37">
        <v>158.0</v>
      </c>
      <c r="C75" s="37">
        <v>267.0</v>
      </c>
      <c r="F75" s="4">
        <f>IFERROR(__xludf.DUMMYFUNCTION("""COMPUTED_VALUE"""),336.0)</f>
        <v>336</v>
      </c>
      <c r="O75" s="4" t="str">
        <f>VLOOKUP(F75,CBs!$A$2:$Z$427,5)</f>
        <v>#N/A N/A</v>
      </c>
      <c r="P75" s="34">
        <f>VLOOKUP(F75,CBs!$A$2:$Z$427,24)</f>
        <v>0.78</v>
      </c>
    </row>
    <row r="76">
      <c r="A76" s="36">
        <v>74.0</v>
      </c>
      <c r="B76" s="37">
        <v>157.0</v>
      </c>
      <c r="C76" s="37">
        <v>268.0</v>
      </c>
      <c r="F76" s="4">
        <f>IFERROR(__xludf.DUMMYFUNCTION("""COMPUTED_VALUE"""),345.0)</f>
        <v>345</v>
      </c>
      <c r="O76" s="4" t="str">
        <f>VLOOKUP(F76,CBs!$A$2:$Z$427,5)</f>
        <v>#N/A N/A</v>
      </c>
      <c r="P76" s="34" t="str">
        <f>VLOOKUP(F76,CBs!$A$2:$Z$427,24)</f>
        <v>#N/A N/A</v>
      </c>
    </row>
    <row r="77">
      <c r="A77" s="36">
        <v>75.0</v>
      </c>
      <c r="B77" s="37">
        <v>158.0</v>
      </c>
      <c r="C77" s="37">
        <v>268.0</v>
      </c>
      <c r="F77" s="4">
        <f>IFERROR(__xludf.DUMMYFUNCTION("""COMPUTED_VALUE"""),346.0)</f>
        <v>346</v>
      </c>
      <c r="O77" s="4" t="str">
        <f>VLOOKUP(F77,CBs!$A$2:$Z$427,5)</f>
        <v>#N/A N/A</v>
      </c>
      <c r="P77" s="34" t="str">
        <f>VLOOKUP(F77,CBs!$A$2:$Z$427,24)</f>
        <v>#N/A N/A</v>
      </c>
    </row>
    <row r="78">
      <c r="A78" s="36">
        <v>76.0</v>
      </c>
      <c r="B78" s="37">
        <v>159.0</v>
      </c>
      <c r="C78" s="37">
        <v>273.0</v>
      </c>
      <c r="F78" s="4">
        <f>IFERROR(__xludf.DUMMYFUNCTION("""COMPUTED_VALUE"""),347.0)</f>
        <v>347</v>
      </c>
      <c r="O78" s="4" t="str">
        <f>VLOOKUP(F78,CBs!$A$2:$Z$427,5)</f>
        <v>#N/A N/A</v>
      </c>
      <c r="P78" s="34" t="str">
        <f>VLOOKUP(F78,CBs!$A$2:$Z$427,24)</f>
        <v>#N/A N/A</v>
      </c>
    </row>
    <row r="79">
      <c r="A79" s="36">
        <v>77.0</v>
      </c>
      <c r="B79" s="37">
        <v>160.0</v>
      </c>
      <c r="C79" s="37">
        <v>276.0</v>
      </c>
      <c r="F79" s="4">
        <f>IFERROR(__xludf.DUMMYFUNCTION("""COMPUTED_VALUE"""),362.0)</f>
        <v>362</v>
      </c>
      <c r="O79" s="4" t="str">
        <f>VLOOKUP(F79,CBs!$A$2:$Z$427,5)</f>
        <v>#N/A N/A</v>
      </c>
      <c r="P79" s="34">
        <f>VLOOKUP(F79,CBs!$A$2:$Z$427,24)</f>
        <v>1.449</v>
      </c>
    </row>
    <row r="80">
      <c r="A80" s="36">
        <v>78.0</v>
      </c>
      <c r="B80" s="37">
        <v>161.0</v>
      </c>
      <c r="C80" s="37">
        <v>277.0</v>
      </c>
      <c r="F80" s="4">
        <f>IFERROR(__xludf.DUMMYFUNCTION("""COMPUTED_VALUE"""),365.0)</f>
        <v>365</v>
      </c>
      <c r="O80" s="4">
        <f>VLOOKUP(F80,CBs!$A$2:$Z$427,5)</f>
        <v>0.765</v>
      </c>
      <c r="P80" s="34">
        <f>VLOOKUP(F80,CBs!$A$2:$Z$427,24)</f>
        <v>0.66</v>
      </c>
    </row>
    <row r="81">
      <c r="A81" s="36">
        <v>79.0</v>
      </c>
      <c r="B81" s="37">
        <v>162.0</v>
      </c>
      <c r="C81" s="37">
        <v>279.0</v>
      </c>
      <c r="F81" s="4">
        <f>IFERROR(__xludf.DUMMYFUNCTION("""COMPUTED_VALUE"""),366.0)</f>
        <v>366</v>
      </c>
      <c r="O81" s="4" t="str">
        <f>VLOOKUP(F81,CBs!$A$2:$Z$427,5)</f>
        <v>#N/A N/A</v>
      </c>
      <c r="P81" s="34">
        <f>VLOOKUP(F81,CBs!$A$2:$Z$427,24)</f>
        <v>0.029</v>
      </c>
    </row>
    <row r="82">
      <c r="A82" s="36">
        <v>80.0</v>
      </c>
      <c r="B82" s="37">
        <v>162.0</v>
      </c>
      <c r="C82" s="37">
        <v>280.0</v>
      </c>
      <c r="F82" s="4">
        <f>IFERROR(__xludf.DUMMYFUNCTION("""COMPUTED_VALUE"""),368.0)</f>
        <v>368</v>
      </c>
      <c r="O82" s="4" t="str">
        <f>VLOOKUP(F82,CBs!$A$2:$Z$427,5)</f>
        <v>#N/A N/A</v>
      </c>
      <c r="P82" s="34">
        <f>VLOOKUP(F82,CBs!$A$2:$Z$427,24)</f>
        <v>0.699</v>
      </c>
    </row>
    <row r="83">
      <c r="A83" s="36">
        <v>81.0</v>
      </c>
      <c r="B83" s="37">
        <v>163.0</v>
      </c>
      <c r="C83" s="37">
        <v>280.0</v>
      </c>
      <c r="F83" s="4">
        <f>IFERROR(__xludf.DUMMYFUNCTION("""COMPUTED_VALUE"""),374.0)</f>
        <v>374</v>
      </c>
      <c r="O83" s="4" t="str">
        <f>VLOOKUP(F83,CBs!$A$2:$Z$427,5)</f>
        <v>#N/A N/A</v>
      </c>
      <c r="P83" s="34">
        <f>VLOOKUP(F83,CBs!$A$2:$Z$427,24)</f>
        <v>1.112</v>
      </c>
    </row>
    <row r="84">
      <c r="A84" s="36">
        <v>82.0</v>
      </c>
      <c r="B84" s="37">
        <v>165.0</v>
      </c>
      <c r="C84" s="37">
        <v>282.0</v>
      </c>
      <c r="F84" s="4">
        <f>IFERROR(__xludf.DUMMYFUNCTION("""COMPUTED_VALUE"""),375.0)</f>
        <v>375</v>
      </c>
      <c r="O84" s="4" t="str">
        <f>VLOOKUP(F84,CBs!$A$2:$Z$427,5)</f>
        <v>#N/A N/A</v>
      </c>
      <c r="P84" s="34">
        <f>VLOOKUP(F84,CBs!$A$2:$Z$427,24)</f>
        <v>1.483</v>
      </c>
    </row>
    <row r="85">
      <c r="A85" s="36">
        <v>83.0</v>
      </c>
      <c r="B85" s="37">
        <v>165.0</v>
      </c>
      <c r="C85" s="37">
        <v>287.0</v>
      </c>
      <c r="F85" s="4">
        <f>IFERROR(__xludf.DUMMYFUNCTION("""COMPUTED_VALUE"""),378.0)</f>
        <v>378</v>
      </c>
      <c r="O85" s="4" t="str">
        <f>VLOOKUP(F85,CBs!$A$2:$Z$427,5)</f>
        <v>#N/A N/A</v>
      </c>
      <c r="P85" s="34">
        <f>VLOOKUP(F85,CBs!$A$2:$Z$427,24)</f>
        <v>2.489</v>
      </c>
    </row>
    <row r="86">
      <c r="A86" s="36">
        <v>84.0</v>
      </c>
      <c r="B86" s="37">
        <v>182.0</v>
      </c>
      <c r="C86" s="37">
        <v>296.0</v>
      </c>
      <c r="F86" s="4">
        <f>IFERROR(__xludf.DUMMYFUNCTION("""COMPUTED_VALUE"""),381.0)</f>
        <v>381</v>
      </c>
      <c r="O86" s="4">
        <f>VLOOKUP(F86,CBs!$A$2:$Z$427,5)</f>
        <v>7.375</v>
      </c>
      <c r="P86" s="34">
        <f>VLOOKUP(F86,CBs!$A$2:$Z$427,24)</f>
        <v>7.177</v>
      </c>
    </row>
    <row r="87">
      <c r="A87" s="36">
        <v>85.0</v>
      </c>
      <c r="B87" s="37">
        <v>188.0</v>
      </c>
      <c r="C87" s="37">
        <v>300.0</v>
      </c>
      <c r="F87" s="4">
        <f>IFERROR(__xludf.DUMMYFUNCTION("""COMPUTED_VALUE"""),382.0)</f>
        <v>382</v>
      </c>
      <c r="O87" s="4">
        <f>VLOOKUP(F87,CBs!$A$2:$Z$427,5)</f>
        <v>7.375</v>
      </c>
      <c r="P87" s="34">
        <f>VLOOKUP(F87,CBs!$A$2:$Z$427,24)</f>
        <v>7.186</v>
      </c>
    </row>
    <row r="88">
      <c r="A88" s="36">
        <v>86.0</v>
      </c>
      <c r="B88" s="37">
        <v>188.0</v>
      </c>
      <c r="C88" s="37">
        <v>302.0</v>
      </c>
      <c r="F88" s="4">
        <f>IFERROR(__xludf.DUMMYFUNCTION("""COMPUTED_VALUE"""),383.0)</f>
        <v>383</v>
      </c>
      <c r="O88" s="4">
        <f>VLOOKUP(F88,CBs!$A$2:$Z$427,5)</f>
        <v>6.125</v>
      </c>
      <c r="P88" s="34" t="str">
        <f>VLOOKUP(F88,CBs!$A$2:$Z$427,24)</f>
        <v>#N/A N/A</v>
      </c>
    </row>
    <row r="89">
      <c r="A89" s="36">
        <v>87.0</v>
      </c>
      <c r="B89" s="37">
        <v>188.0</v>
      </c>
      <c r="C89" s="37">
        <v>303.0</v>
      </c>
      <c r="F89" s="4">
        <f>IFERROR(__xludf.DUMMYFUNCTION("""COMPUTED_VALUE"""),384.0)</f>
        <v>384</v>
      </c>
      <c r="O89" s="4">
        <f>VLOOKUP(F89,CBs!$A$2:$Z$427,5)</f>
        <v>6.125</v>
      </c>
      <c r="P89" s="34" t="str">
        <f>VLOOKUP(F89,CBs!$A$2:$Z$427,24)</f>
        <v>#N/A N/A</v>
      </c>
    </row>
    <row r="90">
      <c r="A90" s="36">
        <v>88.0</v>
      </c>
      <c r="B90" s="37">
        <v>194.0</v>
      </c>
      <c r="C90" s="37">
        <v>308.0</v>
      </c>
      <c r="F90" s="4">
        <f>IFERROR(__xludf.DUMMYFUNCTION("""COMPUTED_VALUE"""),385.0)</f>
        <v>385</v>
      </c>
      <c r="O90" s="4" t="str">
        <f>VLOOKUP(F90,CBs!$A$2:$Z$427,5)</f>
        <v>#N/A N/A</v>
      </c>
      <c r="P90" s="34" t="str">
        <f>VLOOKUP(F90,CBs!$A$2:$Z$427,24)</f>
        <v>#N/A N/A</v>
      </c>
    </row>
    <row r="91">
      <c r="A91" s="36">
        <v>89.0</v>
      </c>
      <c r="B91" s="37">
        <v>194.0</v>
      </c>
      <c r="C91" s="37">
        <v>309.0</v>
      </c>
      <c r="F91" s="4">
        <f>IFERROR(__xludf.DUMMYFUNCTION("""COMPUTED_VALUE"""),386.0)</f>
        <v>386</v>
      </c>
      <c r="O91" s="4" t="str">
        <f>VLOOKUP(F91,CBs!$A$2:$Z$427,5)</f>
        <v>#N/A N/A</v>
      </c>
      <c r="P91" s="34" t="str">
        <f>VLOOKUP(F91,CBs!$A$2:$Z$427,24)</f>
        <v>#N/A N/A</v>
      </c>
    </row>
    <row r="92">
      <c r="A92" s="36">
        <v>90.0</v>
      </c>
      <c r="B92" s="37">
        <v>194.0</v>
      </c>
      <c r="C92" s="37">
        <v>316.0</v>
      </c>
      <c r="F92" s="4">
        <f>IFERROR(__xludf.DUMMYFUNCTION("""COMPUTED_VALUE"""),387.0)</f>
        <v>387</v>
      </c>
      <c r="O92" s="4">
        <f>VLOOKUP(F92,CBs!$A$2:$Z$427,5)</f>
        <v>5.18</v>
      </c>
      <c r="P92" s="34">
        <f>VLOOKUP(F92,CBs!$A$2:$Z$427,24)</f>
        <v>5.268</v>
      </c>
    </row>
    <row r="93">
      <c r="A93" s="36">
        <v>91.0</v>
      </c>
      <c r="B93" s="37">
        <v>194.0</v>
      </c>
      <c r="C93" s="37">
        <v>317.0</v>
      </c>
      <c r="F93" s="4">
        <f>IFERROR(__xludf.DUMMYFUNCTION("""COMPUTED_VALUE"""),388.0)</f>
        <v>388</v>
      </c>
      <c r="O93" s="4">
        <f>VLOOKUP(F93,CBs!$A$2:$Z$427,5)</f>
        <v>5.18</v>
      </c>
      <c r="P93" s="34">
        <f>VLOOKUP(F93,CBs!$A$2:$Z$427,24)</f>
        <v>5.271</v>
      </c>
    </row>
    <row r="94">
      <c r="A94" s="36">
        <v>92.0</v>
      </c>
      <c r="B94" s="37">
        <v>204.0</v>
      </c>
      <c r="C94" s="37">
        <v>324.0</v>
      </c>
      <c r="F94" s="4">
        <f>IFERROR(__xludf.DUMMYFUNCTION("""COMPUTED_VALUE"""),390.0)</f>
        <v>390</v>
      </c>
      <c r="O94" s="4">
        <f>VLOOKUP(F94,CBs!$A$2:$Z$427,5)</f>
        <v>4.5</v>
      </c>
      <c r="P94" s="34">
        <f>VLOOKUP(F94,CBs!$A$2:$Z$427,24)</f>
        <v>4.282</v>
      </c>
    </row>
    <row r="95">
      <c r="A95" s="36">
        <v>93.0</v>
      </c>
      <c r="B95" s="37">
        <v>205.0</v>
      </c>
      <c r="C95" s="37">
        <v>324.0</v>
      </c>
      <c r="F95" s="4">
        <f>IFERROR(__xludf.DUMMYFUNCTION("""COMPUTED_VALUE"""),391.0)</f>
        <v>391</v>
      </c>
      <c r="O95" s="4">
        <f>VLOOKUP(F95,CBs!$A$2:$Z$427,5)</f>
        <v>4.5</v>
      </c>
      <c r="P95" s="34">
        <f>VLOOKUP(F95,CBs!$A$2:$Z$427,24)</f>
        <v>4.282</v>
      </c>
    </row>
    <row r="96">
      <c r="A96" s="36">
        <v>94.0</v>
      </c>
      <c r="B96" s="37">
        <v>204.0</v>
      </c>
      <c r="C96" s="37">
        <v>326.0</v>
      </c>
      <c r="F96" s="4">
        <f>IFERROR(__xludf.DUMMYFUNCTION("""COMPUTED_VALUE"""),392.0)</f>
        <v>392</v>
      </c>
      <c r="O96" s="4" t="str">
        <f>VLOOKUP(F96,CBs!$A$2:$Z$427,5)</f>
        <v>#N/A N/A</v>
      </c>
      <c r="P96" s="34" t="str">
        <f>VLOOKUP(F96,CBs!$A$2:$Z$427,24)</f>
        <v>#N/A N/A</v>
      </c>
    </row>
    <row r="97">
      <c r="A97" s="36">
        <v>95.0</v>
      </c>
      <c r="B97" s="37">
        <v>205.0</v>
      </c>
      <c r="C97" s="37">
        <v>326.0</v>
      </c>
      <c r="F97" s="4">
        <f>IFERROR(__xludf.DUMMYFUNCTION("""COMPUTED_VALUE"""),397.0)</f>
        <v>397</v>
      </c>
      <c r="O97" s="4" t="str">
        <f>VLOOKUP(F97,CBs!$A$2:$Z$427,5)</f>
        <v>#N/A N/A</v>
      </c>
      <c r="P97" s="34" t="str">
        <f>VLOOKUP(F97,CBs!$A$2:$Z$427,24)</f>
        <v>#N/A N/A</v>
      </c>
    </row>
    <row r="98">
      <c r="A98" s="36">
        <v>96.0</v>
      </c>
      <c r="B98" s="37">
        <v>231.0</v>
      </c>
      <c r="C98" s="37">
        <v>328.0</v>
      </c>
      <c r="F98" s="4">
        <f>IFERROR(__xludf.DUMMYFUNCTION("""COMPUTED_VALUE"""),399.0)</f>
        <v>399</v>
      </c>
      <c r="O98" s="4">
        <f>VLOOKUP(F98,CBs!$A$2:$Z$427,5)</f>
        <v>6.75</v>
      </c>
      <c r="P98" s="34">
        <f>VLOOKUP(F98,CBs!$A$2:$Z$427,24)</f>
        <v>6.704</v>
      </c>
    </row>
    <row r="99">
      <c r="A99" s="36">
        <v>97.0</v>
      </c>
      <c r="B99" s="37">
        <v>231.0</v>
      </c>
      <c r="C99" s="37">
        <v>329.0</v>
      </c>
      <c r="F99" s="4">
        <f>IFERROR(__xludf.DUMMYFUNCTION("""COMPUTED_VALUE"""),401.0)</f>
        <v>401</v>
      </c>
      <c r="O99" s="4">
        <f>VLOOKUP(F99,CBs!$A$2:$Z$427,5)</f>
        <v>6.75</v>
      </c>
      <c r="P99" s="34">
        <f>VLOOKUP(F99,CBs!$A$2:$Z$427,24)</f>
        <v>6.704</v>
      </c>
    </row>
    <row r="100">
      <c r="A100" s="36">
        <v>98.0</v>
      </c>
      <c r="B100" s="37">
        <v>231.0</v>
      </c>
      <c r="C100" s="37">
        <v>333.0</v>
      </c>
      <c r="F100" s="4">
        <f>IFERROR(__xludf.DUMMYFUNCTION("""COMPUTED_VALUE"""),403.0)</f>
        <v>403</v>
      </c>
      <c r="O100" s="4" t="str">
        <f>VLOOKUP(F100,CBs!$A$2:$Z$427,5)</f>
        <v>#N/A N/A</v>
      </c>
      <c r="P100" s="34" t="str">
        <f>VLOOKUP(F100,CBs!$A$2:$Z$427,24)</f>
        <v>#N/A N/A</v>
      </c>
    </row>
    <row r="101">
      <c r="A101" s="36">
        <v>99.0</v>
      </c>
      <c r="B101" s="37">
        <v>231.0</v>
      </c>
      <c r="C101" s="37">
        <v>334.0</v>
      </c>
      <c r="F101" s="4">
        <f>IFERROR(__xludf.DUMMYFUNCTION("""COMPUTED_VALUE"""),407.0)</f>
        <v>407</v>
      </c>
      <c r="O101" s="4" t="str">
        <f>VLOOKUP(F101,CBs!$A$2:$Z$427,5)</f>
        <v>#N/A N/A</v>
      </c>
      <c r="P101" s="34" t="str">
        <f>VLOOKUP(F101,CBs!$A$2:$Z$427,24)</f>
        <v>#N/A N/A</v>
      </c>
    </row>
    <row r="102">
      <c r="A102" s="36">
        <v>100.0</v>
      </c>
      <c r="B102" s="37">
        <v>231.0</v>
      </c>
      <c r="C102" s="37">
        <v>336.0</v>
      </c>
      <c r="F102" s="4">
        <f>IFERROR(__xludf.DUMMYFUNCTION("""COMPUTED_VALUE"""),408.0)</f>
        <v>408</v>
      </c>
      <c r="O102" s="4">
        <f>VLOOKUP(F102,CBs!$A$2:$Z$427,5)</f>
        <v>7.125</v>
      </c>
      <c r="P102" s="34">
        <f>VLOOKUP(F102,CBs!$A$2:$Z$427,24)</f>
        <v>6.75</v>
      </c>
    </row>
    <row r="103">
      <c r="A103" s="36">
        <v>101.0</v>
      </c>
      <c r="B103" s="37">
        <v>232.0</v>
      </c>
      <c r="C103" s="37">
        <v>345.0</v>
      </c>
      <c r="F103" s="4">
        <f>IFERROR(__xludf.DUMMYFUNCTION("""COMPUTED_VALUE"""),409.0)</f>
        <v>409</v>
      </c>
      <c r="O103" s="4">
        <f>VLOOKUP(F103,CBs!$A$2:$Z$427,5)</f>
        <v>7.125</v>
      </c>
      <c r="P103" s="34">
        <f>VLOOKUP(F103,CBs!$A$2:$Z$427,24)</f>
        <v>6.746</v>
      </c>
    </row>
    <row r="104">
      <c r="A104" s="36">
        <v>102.0</v>
      </c>
      <c r="B104" s="37">
        <v>232.0</v>
      </c>
      <c r="C104" s="37">
        <v>346.0</v>
      </c>
      <c r="F104" s="4">
        <f>IFERROR(__xludf.DUMMYFUNCTION("""COMPUTED_VALUE"""),411.0)</f>
        <v>411</v>
      </c>
      <c r="O104" s="4" t="str">
        <f>VLOOKUP(F104,CBs!$A$2:$Z$427,5)</f>
        <v>#N/A N/A</v>
      </c>
      <c r="P104" s="34" t="str">
        <f>VLOOKUP(F104,CBs!$A$2:$Z$427,24)</f>
        <v>#N/A N/A</v>
      </c>
    </row>
    <row r="105">
      <c r="A105" s="36">
        <v>103.0</v>
      </c>
      <c r="B105" s="37">
        <v>235.0</v>
      </c>
      <c r="C105" s="37">
        <v>346.0</v>
      </c>
      <c r="F105" s="4">
        <f>IFERROR(__xludf.DUMMYFUNCTION("""COMPUTED_VALUE"""),413.0)</f>
        <v>413</v>
      </c>
      <c r="O105" s="4" t="str">
        <f>VLOOKUP(F105,CBs!$A$2:$Z$427,5)</f>
        <v>#N/A N/A</v>
      </c>
      <c r="P105" s="34">
        <f>VLOOKUP(F105,CBs!$A$2:$Z$427,24)</f>
        <v>2.131</v>
      </c>
    </row>
    <row r="106">
      <c r="A106" s="36">
        <v>104.0</v>
      </c>
      <c r="B106" s="37">
        <v>232.0</v>
      </c>
      <c r="C106" s="37">
        <v>347.0</v>
      </c>
      <c r="F106" s="4">
        <f>IFERROR(__xludf.DUMMYFUNCTION("""COMPUTED_VALUE"""),425.0)</f>
        <v>425</v>
      </c>
      <c r="O106" s="4" t="str">
        <f>VLOOKUP(F106,CBs!$A$2:$Z$427,5)</f>
        <v>#N/A N/A</v>
      </c>
      <c r="P106" s="34">
        <f>VLOOKUP(F106,CBs!$A$2:$Z$427,24)</f>
        <v>5.427</v>
      </c>
    </row>
    <row r="107">
      <c r="A107" s="36">
        <v>105.0</v>
      </c>
      <c r="B107" s="37">
        <v>233.0</v>
      </c>
      <c r="C107" s="37">
        <v>347.0</v>
      </c>
    </row>
    <row r="108">
      <c r="A108" s="36">
        <v>106.0</v>
      </c>
      <c r="B108" s="37">
        <v>234.0</v>
      </c>
      <c r="C108" s="37">
        <v>347.0</v>
      </c>
    </row>
    <row r="109">
      <c r="A109" s="36">
        <v>107.0</v>
      </c>
      <c r="B109" s="37">
        <v>235.0</v>
      </c>
      <c r="C109" s="37">
        <v>347.0</v>
      </c>
    </row>
    <row r="110">
      <c r="A110" s="36">
        <v>108.0</v>
      </c>
      <c r="B110" s="37">
        <v>240.0</v>
      </c>
      <c r="C110" s="37">
        <v>362.0</v>
      </c>
    </row>
    <row r="111">
      <c r="A111" s="36">
        <v>109.0</v>
      </c>
      <c r="B111" s="37">
        <v>240.0</v>
      </c>
      <c r="C111" s="37">
        <v>365.0</v>
      </c>
    </row>
    <row r="112">
      <c r="A112" s="36">
        <v>110.0</v>
      </c>
      <c r="B112" s="37">
        <v>240.0</v>
      </c>
      <c r="C112" s="37">
        <v>366.0</v>
      </c>
    </row>
    <row r="113">
      <c r="A113" s="36">
        <v>111.0</v>
      </c>
      <c r="B113" s="37">
        <v>240.0</v>
      </c>
      <c r="C113" s="37">
        <v>368.0</v>
      </c>
    </row>
    <row r="114">
      <c r="A114" s="36">
        <v>112.0</v>
      </c>
      <c r="B114" s="37">
        <v>241.0</v>
      </c>
      <c r="C114" s="37">
        <v>368.0</v>
      </c>
    </row>
    <row r="115">
      <c r="A115" s="36">
        <v>113.0</v>
      </c>
      <c r="B115" s="37">
        <v>240.0</v>
      </c>
      <c r="C115" s="37">
        <v>374.0</v>
      </c>
    </row>
    <row r="116">
      <c r="A116" s="36">
        <v>114.0</v>
      </c>
      <c r="B116" s="37">
        <v>241.0</v>
      </c>
      <c r="C116" s="37">
        <v>374.0</v>
      </c>
    </row>
    <row r="117">
      <c r="A117" s="36">
        <v>115.0</v>
      </c>
      <c r="B117" s="37">
        <v>240.0</v>
      </c>
      <c r="C117" s="37">
        <v>375.0</v>
      </c>
    </row>
    <row r="118">
      <c r="A118" s="36">
        <v>116.0</v>
      </c>
      <c r="B118" s="37">
        <v>230.0</v>
      </c>
      <c r="C118" s="37">
        <v>378.0</v>
      </c>
    </row>
    <row r="119">
      <c r="A119" s="36">
        <v>117.0</v>
      </c>
      <c r="B119" s="37">
        <v>242.0</v>
      </c>
      <c r="C119" s="37">
        <v>381.0</v>
      </c>
    </row>
    <row r="120">
      <c r="A120" s="36">
        <v>118.0</v>
      </c>
      <c r="B120" s="37">
        <v>243.0</v>
      </c>
      <c r="C120" s="37">
        <v>381.0</v>
      </c>
    </row>
    <row r="121">
      <c r="A121" s="36">
        <v>119.0</v>
      </c>
      <c r="B121" s="37">
        <v>244.0</v>
      </c>
      <c r="C121" s="37">
        <v>381.0</v>
      </c>
    </row>
    <row r="122">
      <c r="A122" s="36">
        <v>120.0</v>
      </c>
      <c r="B122" s="37">
        <v>242.0</v>
      </c>
      <c r="C122" s="37">
        <v>382.0</v>
      </c>
    </row>
    <row r="123">
      <c r="A123" s="36">
        <v>121.0</v>
      </c>
      <c r="B123" s="37">
        <v>243.0</v>
      </c>
      <c r="C123" s="37">
        <v>382.0</v>
      </c>
    </row>
    <row r="124">
      <c r="A124" s="36">
        <v>122.0</v>
      </c>
      <c r="B124" s="37">
        <v>244.0</v>
      </c>
      <c r="C124" s="37">
        <v>382.0</v>
      </c>
    </row>
    <row r="125">
      <c r="A125" s="36">
        <v>123.0</v>
      </c>
      <c r="B125" s="37">
        <v>242.0</v>
      </c>
      <c r="C125" s="37">
        <v>383.0</v>
      </c>
    </row>
    <row r="126">
      <c r="A126" s="36">
        <v>124.0</v>
      </c>
      <c r="B126" s="37">
        <v>244.0</v>
      </c>
      <c r="C126" s="37">
        <v>383.0</v>
      </c>
    </row>
    <row r="127">
      <c r="A127" s="36">
        <v>125.0</v>
      </c>
      <c r="B127" s="37">
        <v>242.0</v>
      </c>
      <c r="C127" s="37">
        <v>384.0</v>
      </c>
    </row>
    <row r="128">
      <c r="A128" s="36">
        <v>126.0</v>
      </c>
      <c r="B128" s="37">
        <v>244.0</v>
      </c>
      <c r="C128" s="37">
        <v>384.0</v>
      </c>
    </row>
    <row r="129">
      <c r="A129" s="36">
        <v>127.0</v>
      </c>
      <c r="B129" s="37">
        <v>242.0</v>
      </c>
      <c r="C129" s="37">
        <v>385.0</v>
      </c>
    </row>
    <row r="130">
      <c r="A130" s="36">
        <v>128.0</v>
      </c>
      <c r="B130" s="37">
        <v>244.0</v>
      </c>
      <c r="C130" s="37">
        <v>385.0</v>
      </c>
    </row>
    <row r="131">
      <c r="A131" s="36">
        <v>129.0</v>
      </c>
      <c r="B131" s="37">
        <v>242.0</v>
      </c>
      <c r="C131" s="37">
        <v>386.0</v>
      </c>
    </row>
    <row r="132">
      <c r="A132" s="36">
        <v>130.0</v>
      </c>
      <c r="B132" s="37">
        <v>243.0</v>
      </c>
      <c r="C132" s="37">
        <v>386.0</v>
      </c>
    </row>
    <row r="133">
      <c r="A133" s="36">
        <v>131.0</v>
      </c>
      <c r="B133" s="37">
        <v>244.0</v>
      </c>
      <c r="C133" s="37">
        <v>386.0</v>
      </c>
    </row>
    <row r="134">
      <c r="A134" s="36">
        <v>132.0</v>
      </c>
      <c r="B134" s="37">
        <v>242.0</v>
      </c>
      <c r="C134" s="37">
        <v>387.0</v>
      </c>
    </row>
    <row r="135">
      <c r="A135" s="36">
        <v>133.0</v>
      </c>
      <c r="B135" s="37">
        <v>243.0</v>
      </c>
      <c r="C135" s="37">
        <v>387.0</v>
      </c>
    </row>
    <row r="136">
      <c r="A136" s="36">
        <v>134.0</v>
      </c>
      <c r="B136" s="37">
        <v>244.0</v>
      </c>
      <c r="C136" s="37">
        <v>387.0</v>
      </c>
    </row>
    <row r="137">
      <c r="A137" s="36">
        <v>135.0</v>
      </c>
      <c r="B137" s="37">
        <v>242.0</v>
      </c>
      <c r="C137" s="37">
        <v>388.0</v>
      </c>
    </row>
    <row r="138">
      <c r="A138" s="36">
        <v>136.0</v>
      </c>
      <c r="B138" s="37">
        <v>243.0</v>
      </c>
      <c r="C138" s="37">
        <v>388.0</v>
      </c>
    </row>
    <row r="139">
      <c r="A139" s="36">
        <v>137.0</v>
      </c>
      <c r="B139" s="37">
        <v>244.0</v>
      </c>
      <c r="C139" s="37">
        <v>388.0</v>
      </c>
    </row>
    <row r="140">
      <c r="A140" s="36">
        <v>138.0</v>
      </c>
      <c r="B140" s="37">
        <v>246.0</v>
      </c>
      <c r="C140" s="37">
        <v>390.0</v>
      </c>
    </row>
    <row r="141">
      <c r="A141" s="36">
        <v>139.0</v>
      </c>
      <c r="B141" s="37">
        <v>246.0</v>
      </c>
      <c r="C141" s="37">
        <v>391.0</v>
      </c>
    </row>
    <row r="142">
      <c r="A142" s="36">
        <v>140.0</v>
      </c>
      <c r="B142" s="37">
        <v>246.0</v>
      </c>
      <c r="C142" s="37">
        <v>392.0</v>
      </c>
    </row>
    <row r="143">
      <c r="A143" s="36">
        <v>141.0</v>
      </c>
      <c r="B143" s="37">
        <v>246.0</v>
      </c>
      <c r="C143" s="37">
        <v>397.0</v>
      </c>
    </row>
    <row r="144">
      <c r="A144" s="36">
        <v>142.0</v>
      </c>
      <c r="B144" s="37">
        <v>248.0</v>
      </c>
      <c r="C144" s="37">
        <v>399.0</v>
      </c>
    </row>
    <row r="145">
      <c r="A145" s="36">
        <v>143.0</v>
      </c>
      <c r="B145" s="37">
        <v>249.0</v>
      </c>
      <c r="C145" s="37">
        <v>399.0</v>
      </c>
    </row>
    <row r="146">
      <c r="A146" s="36">
        <v>144.0</v>
      </c>
      <c r="B146" s="37">
        <v>248.0</v>
      </c>
      <c r="C146" s="37">
        <v>401.0</v>
      </c>
    </row>
    <row r="147">
      <c r="A147" s="36">
        <v>145.0</v>
      </c>
      <c r="B147" s="37">
        <v>249.0</v>
      </c>
      <c r="C147" s="37">
        <v>401.0</v>
      </c>
    </row>
    <row r="148">
      <c r="A148" s="36">
        <v>146.0</v>
      </c>
      <c r="B148" s="37">
        <v>248.0</v>
      </c>
      <c r="C148" s="37">
        <v>403.0</v>
      </c>
    </row>
    <row r="149">
      <c r="A149" s="36">
        <v>147.0</v>
      </c>
      <c r="B149" s="37">
        <v>249.0</v>
      </c>
      <c r="C149" s="37">
        <v>403.0</v>
      </c>
    </row>
    <row r="150">
      <c r="A150" s="36">
        <v>148.0</v>
      </c>
      <c r="B150" s="37">
        <v>249.0</v>
      </c>
      <c r="C150" s="37">
        <v>407.0</v>
      </c>
    </row>
    <row r="151">
      <c r="A151" s="36">
        <v>149.0</v>
      </c>
      <c r="B151" s="37">
        <v>249.0</v>
      </c>
      <c r="C151" s="37">
        <v>408.0</v>
      </c>
    </row>
    <row r="152">
      <c r="A152" s="36">
        <v>150.0</v>
      </c>
      <c r="B152" s="37">
        <v>249.0</v>
      </c>
      <c r="C152" s="37">
        <v>409.0</v>
      </c>
    </row>
    <row r="153">
      <c r="A153" s="36">
        <v>151.0</v>
      </c>
      <c r="B153" s="37">
        <v>257.0</v>
      </c>
      <c r="C153" s="37">
        <v>411.0</v>
      </c>
    </row>
    <row r="154">
      <c r="A154" s="36">
        <v>152.0</v>
      </c>
      <c r="B154" s="37">
        <v>257.0</v>
      </c>
      <c r="C154" s="37">
        <v>413.0</v>
      </c>
    </row>
    <row r="155">
      <c r="A155" s="36">
        <v>153.0</v>
      </c>
      <c r="B155" s="37">
        <v>277.0</v>
      </c>
      <c r="C155" s="37">
        <v>425.0</v>
      </c>
    </row>
  </sheetData>
  <conditionalFormatting sqref="N13">
    <cfRule type="cellIs" dxfId="0" priority="1" operator="equal">
      <formula>"#N/A N/A"</formula>
    </cfRule>
  </conditionalFormatting>
  <conditionalFormatting sqref="N8:N12">
    <cfRule type="cellIs" dxfId="0" priority="2" operator="equal">
      <formula>"#N/A N/A"</formula>
    </cfRule>
  </conditionalFormatting>
  <conditionalFormatting sqref="N7">
    <cfRule type="cellIs" dxfId="0" priority="3" operator="equal">
      <formula>"#N/A N/A"</formula>
    </cfRule>
  </conditionalFormatting>
  <conditionalFormatting sqref="N6">
    <cfRule type="cellIs" dxfId="0" priority="4" operator="equal">
      <formula>"#N/A N/A"</formula>
    </cfRule>
  </conditionalFormatting>
  <conditionalFormatting sqref="N5">
    <cfRule type="cellIs" dxfId="0" priority="5" operator="equal">
      <formula>"#N/A N/A"</formula>
    </cfRule>
  </conditionalFormatting>
  <conditionalFormatting sqref="N4">
    <cfRule type="cellIs" dxfId="0" priority="6" operator="equal">
      <formula>"#N/A N/A"</formula>
    </cfRule>
  </conditionalFormatting>
  <conditionalFormatting sqref="N3">
    <cfRule type="cellIs" dxfId="0" priority="7" operator="equal">
      <formula>"#N/A N/A"</formula>
    </cfRule>
  </conditionalFormatting>
  <conditionalFormatting sqref="N2">
    <cfRule type="cellIs" dxfId="0" priority="8" operator="equal">
      <formula>"#N/A N/A"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8" t="s">
        <v>1</v>
      </c>
      <c r="B1" s="38" t="s">
        <v>3490</v>
      </c>
      <c r="C1" s="38" t="s">
        <v>3491</v>
      </c>
      <c r="D1" s="38" t="s">
        <v>7</v>
      </c>
      <c r="E1" s="38" t="s">
        <v>3</v>
      </c>
      <c r="F1" s="38" t="s">
        <v>2</v>
      </c>
      <c r="G1" s="38" t="s">
        <v>4</v>
      </c>
      <c r="H1" s="38" t="s">
        <v>5</v>
      </c>
      <c r="I1" s="38" t="s">
        <v>6</v>
      </c>
      <c r="J1" s="38" t="s">
        <v>9</v>
      </c>
      <c r="K1" s="38" t="s">
        <v>10</v>
      </c>
      <c r="L1" s="38" t="s">
        <v>11</v>
      </c>
      <c r="M1" s="38" t="s">
        <v>1764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8" t="s">
        <v>28</v>
      </c>
      <c r="AD1" s="38" t="s">
        <v>1766</v>
      </c>
      <c r="AE1" s="38" t="s">
        <v>36</v>
      </c>
      <c r="AF1" s="38" t="s">
        <v>3492</v>
      </c>
    </row>
    <row r="2">
      <c r="A2" s="38" t="s">
        <v>41</v>
      </c>
      <c r="B2" s="38" t="s">
        <v>54</v>
      </c>
      <c r="C2" s="38" t="s">
        <v>54</v>
      </c>
      <c r="D2" s="38" t="s">
        <v>45</v>
      </c>
      <c r="E2" s="38" t="s">
        <v>42</v>
      </c>
      <c r="F2" s="38" t="s">
        <v>174</v>
      </c>
      <c r="G2" s="38" t="s">
        <v>43</v>
      </c>
      <c r="H2" s="38" t="s">
        <v>44</v>
      </c>
      <c r="I2" s="38" t="s">
        <v>45</v>
      </c>
      <c r="J2" s="37">
        <v>0.0</v>
      </c>
      <c r="K2" s="38" t="s">
        <v>46</v>
      </c>
      <c r="L2" s="38" t="s">
        <v>47</v>
      </c>
      <c r="M2" s="38" t="s">
        <v>54</v>
      </c>
      <c r="N2" s="38" t="s">
        <v>49</v>
      </c>
      <c r="O2" s="38" t="s">
        <v>50</v>
      </c>
      <c r="P2" s="38" t="s">
        <v>51</v>
      </c>
      <c r="Q2" s="38" t="s">
        <v>52</v>
      </c>
      <c r="R2" s="38" t="s">
        <v>53</v>
      </c>
      <c r="S2" s="38" t="s">
        <v>54</v>
      </c>
      <c r="T2" s="38" t="s">
        <v>55</v>
      </c>
      <c r="U2" s="38" t="s">
        <v>56</v>
      </c>
      <c r="V2" s="38" t="s">
        <v>57</v>
      </c>
      <c r="W2" s="37">
        <v>1.24223E8</v>
      </c>
      <c r="X2" s="38" t="s">
        <v>58</v>
      </c>
      <c r="Y2" s="38" t="s">
        <v>59</v>
      </c>
      <c r="Z2" s="38" t="s">
        <v>60</v>
      </c>
      <c r="AA2" s="38" t="s">
        <v>61</v>
      </c>
      <c r="AB2" s="38" t="s">
        <v>62</v>
      </c>
      <c r="AC2" s="38" t="s">
        <v>62</v>
      </c>
      <c r="AD2" s="38" t="s">
        <v>3493</v>
      </c>
      <c r="AE2" s="38" t="s">
        <v>54</v>
      </c>
      <c r="AF2" s="38" t="s">
        <v>54</v>
      </c>
    </row>
    <row r="3">
      <c r="A3" s="38" t="s">
        <v>41</v>
      </c>
      <c r="B3" s="38" t="s">
        <v>54</v>
      </c>
      <c r="C3" s="38" t="s">
        <v>54</v>
      </c>
      <c r="D3" s="38" t="s">
        <v>45</v>
      </c>
      <c r="E3" s="38" t="s">
        <v>66</v>
      </c>
      <c r="F3" s="38" t="s">
        <v>174</v>
      </c>
      <c r="G3" s="38" t="s">
        <v>67</v>
      </c>
      <c r="H3" s="38" t="s">
        <v>44</v>
      </c>
      <c r="I3" s="38" t="s">
        <v>45</v>
      </c>
      <c r="J3" s="37">
        <v>0.0</v>
      </c>
      <c r="K3" s="38" t="s">
        <v>46</v>
      </c>
      <c r="L3" s="38" t="s">
        <v>68</v>
      </c>
      <c r="M3" s="38" t="s">
        <v>54</v>
      </c>
      <c r="N3" s="38" t="s">
        <v>49</v>
      </c>
      <c r="O3" s="38" t="s">
        <v>50</v>
      </c>
      <c r="P3" s="38" t="s">
        <v>69</v>
      </c>
      <c r="Q3" s="38" t="s">
        <v>52</v>
      </c>
      <c r="R3" s="38" t="s">
        <v>53</v>
      </c>
      <c r="S3" s="38" t="s">
        <v>54</v>
      </c>
      <c r="T3" s="38" t="s">
        <v>55</v>
      </c>
      <c r="U3" s="38" t="s">
        <v>70</v>
      </c>
      <c r="V3" s="38" t="s">
        <v>71</v>
      </c>
      <c r="W3" s="37">
        <v>1.24223E8</v>
      </c>
      <c r="X3" s="38" t="s">
        <v>58</v>
      </c>
      <c r="Y3" s="38" t="s">
        <v>59</v>
      </c>
      <c r="Z3" s="38" t="s">
        <v>60</v>
      </c>
      <c r="AA3" s="38" t="s">
        <v>61</v>
      </c>
      <c r="AB3" s="38" t="s">
        <v>62</v>
      </c>
      <c r="AC3" s="38" t="s">
        <v>62</v>
      </c>
      <c r="AD3" s="38" t="s">
        <v>3494</v>
      </c>
      <c r="AE3" s="38" t="s">
        <v>54</v>
      </c>
      <c r="AF3" s="38" t="s">
        <v>54</v>
      </c>
    </row>
    <row r="4">
      <c r="A4" s="38" t="s">
        <v>41</v>
      </c>
      <c r="B4" s="38" t="s">
        <v>54</v>
      </c>
      <c r="C4" s="38" t="s">
        <v>54</v>
      </c>
      <c r="D4" s="38" t="s">
        <v>45</v>
      </c>
      <c r="E4" s="38" t="s">
        <v>73</v>
      </c>
      <c r="F4" s="38" t="s">
        <v>174</v>
      </c>
      <c r="G4" s="38" t="s">
        <v>74</v>
      </c>
      <c r="H4" s="38" t="s">
        <v>44</v>
      </c>
      <c r="I4" s="38" t="s">
        <v>45</v>
      </c>
      <c r="J4" s="37">
        <v>0.0</v>
      </c>
      <c r="K4" s="38" t="s">
        <v>46</v>
      </c>
      <c r="L4" s="38" t="s">
        <v>75</v>
      </c>
      <c r="M4" s="38" t="s">
        <v>54</v>
      </c>
      <c r="N4" s="38" t="s">
        <v>49</v>
      </c>
      <c r="O4" s="38" t="s">
        <v>50</v>
      </c>
      <c r="P4" s="38" t="s">
        <v>76</v>
      </c>
      <c r="Q4" s="38" t="s">
        <v>52</v>
      </c>
      <c r="R4" s="38" t="s">
        <v>53</v>
      </c>
      <c r="S4" s="38" t="s">
        <v>54</v>
      </c>
      <c r="T4" s="38" t="s">
        <v>55</v>
      </c>
      <c r="U4" s="38" t="s">
        <v>70</v>
      </c>
      <c r="V4" s="38" t="s">
        <v>71</v>
      </c>
      <c r="W4" s="37">
        <v>1.24223E8</v>
      </c>
      <c r="X4" s="38" t="s">
        <v>58</v>
      </c>
      <c r="Y4" s="38" t="s">
        <v>59</v>
      </c>
      <c r="Z4" s="38" t="s">
        <v>60</v>
      </c>
      <c r="AA4" s="38" t="s">
        <v>61</v>
      </c>
      <c r="AB4" s="38" t="s">
        <v>62</v>
      </c>
      <c r="AC4" s="38" t="s">
        <v>62</v>
      </c>
      <c r="AD4" s="38" t="s">
        <v>3495</v>
      </c>
      <c r="AE4" s="38" t="s">
        <v>54</v>
      </c>
      <c r="AF4" s="38" t="s">
        <v>54</v>
      </c>
    </row>
    <row r="5">
      <c r="A5" s="38" t="s">
        <v>78</v>
      </c>
      <c r="B5" s="38" t="s">
        <v>54</v>
      </c>
      <c r="C5" s="38" t="s">
        <v>54</v>
      </c>
      <c r="D5" s="38" t="s">
        <v>45</v>
      </c>
      <c r="E5" s="38" t="s">
        <v>79</v>
      </c>
      <c r="F5" s="38" t="s">
        <v>174</v>
      </c>
      <c r="G5" s="38" t="s">
        <v>80</v>
      </c>
      <c r="H5" s="38" t="s">
        <v>81</v>
      </c>
      <c r="I5" s="38" t="s">
        <v>45</v>
      </c>
      <c r="J5" s="37">
        <v>0.0</v>
      </c>
      <c r="K5" s="38" t="s">
        <v>82</v>
      </c>
      <c r="L5" s="38" t="s">
        <v>83</v>
      </c>
      <c r="M5" s="38" t="s">
        <v>54</v>
      </c>
      <c r="N5" s="38" t="s">
        <v>49</v>
      </c>
      <c r="O5" s="38" t="s">
        <v>50</v>
      </c>
      <c r="P5" s="38" t="s">
        <v>84</v>
      </c>
      <c r="Q5" s="38" t="s">
        <v>52</v>
      </c>
      <c r="R5" s="38" t="s">
        <v>53</v>
      </c>
      <c r="S5" s="38" t="s">
        <v>54</v>
      </c>
      <c r="T5" s="38" t="s">
        <v>55</v>
      </c>
      <c r="U5" s="38" t="s">
        <v>70</v>
      </c>
      <c r="V5" s="38" t="s">
        <v>71</v>
      </c>
      <c r="W5" s="37">
        <v>4.52352E8</v>
      </c>
      <c r="X5" s="38" t="s">
        <v>85</v>
      </c>
      <c r="Y5" s="38" t="s">
        <v>86</v>
      </c>
      <c r="Z5" s="38" t="s">
        <v>60</v>
      </c>
      <c r="AA5" s="38" t="s">
        <v>61</v>
      </c>
      <c r="AB5" s="38" t="s">
        <v>87</v>
      </c>
      <c r="AC5" s="38" t="s">
        <v>88</v>
      </c>
      <c r="AD5" s="38" t="s">
        <v>3496</v>
      </c>
      <c r="AE5" s="38" t="s">
        <v>54</v>
      </c>
      <c r="AF5" s="38" t="s">
        <v>54</v>
      </c>
    </row>
    <row r="6">
      <c r="A6" s="38" t="s">
        <v>78</v>
      </c>
      <c r="B6" s="38" t="s">
        <v>54</v>
      </c>
      <c r="C6" s="38" t="s">
        <v>54</v>
      </c>
      <c r="D6" s="38" t="s">
        <v>45</v>
      </c>
      <c r="E6" s="38" t="s">
        <v>91</v>
      </c>
      <c r="F6" s="38" t="s">
        <v>174</v>
      </c>
      <c r="G6" s="38" t="s">
        <v>92</v>
      </c>
      <c r="H6" s="38" t="s">
        <v>81</v>
      </c>
      <c r="I6" s="38" t="s">
        <v>45</v>
      </c>
      <c r="J6" s="37">
        <v>0.0</v>
      </c>
      <c r="K6" s="38" t="s">
        <v>82</v>
      </c>
      <c r="L6" s="38" t="s">
        <v>93</v>
      </c>
      <c r="M6" s="38" t="s">
        <v>54</v>
      </c>
      <c r="N6" s="38" t="s">
        <v>49</v>
      </c>
      <c r="O6" s="38" t="s">
        <v>50</v>
      </c>
      <c r="P6" s="38" t="s">
        <v>94</v>
      </c>
      <c r="Q6" s="38" t="s">
        <v>52</v>
      </c>
      <c r="R6" s="38" t="s">
        <v>53</v>
      </c>
      <c r="S6" s="38" t="s">
        <v>54</v>
      </c>
      <c r="T6" s="38" t="s">
        <v>55</v>
      </c>
      <c r="U6" s="38" t="s">
        <v>70</v>
      </c>
      <c r="V6" s="38" t="s">
        <v>71</v>
      </c>
      <c r="W6" s="37">
        <v>4.52352E8</v>
      </c>
      <c r="X6" s="38" t="s">
        <v>85</v>
      </c>
      <c r="Y6" s="38" t="s">
        <v>86</v>
      </c>
      <c r="Z6" s="38" t="s">
        <v>60</v>
      </c>
      <c r="AA6" s="38" t="s">
        <v>61</v>
      </c>
      <c r="AB6" s="38" t="s">
        <v>87</v>
      </c>
      <c r="AC6" s="38" t="s">
        <v>88</v>
      </c>
      <c r="AD6" s="38" t="s">
        <v>3497</v>
      </c>
      <c r="AE6" s="38" t="s">
        <v>54</v>
      </c>
      <c r="AF6" s="38" t="s">
        <v>54</v>
      </c>
    </row>
    <row r="7">
      <c r="A7" s="38" t="s">
        <v>78</v>
      </c>
      <c r="B7" s="38" t="s">
        <v>54</v>
      </c>
      <c r="C7" s="38" t="s">
        <v>54</v>
      </c>
      <c r="D7" s="38" t="s">
        <v>45</v>
      </c>
      <c r="E7" s="38" t="s">
        <v>95</v>
      </c>
      <c r="F7" s="38" t="s">
        <v>174</v>
      </c>
      <c r="G7" s="38" t="s">
        <v>96</v>
      </c>
      <c r="H7" s="38" t="s">
        <v>81</v>
      </c>
      <c r="I7" s="38" t="s">
        <v>45</v>
      </c>
      <c r="J7" s="37">
        <v>0.0</v>
      </c>
      <c r="K7" s="38" t="s">
        <v>82</v>
      </c>
      <c r="L7" s="38" t="s">
        <v>97</v>
      </c>
      <c r="M7" s="38" t="s">
        <v>54</v>
      </c>
      <c r="N7" s="38" t="s">
        <v>49</v>
      </c>
      <c r="O7" s="38" t="s">
        <v>50</v>
      </c>
      <c r="P7" s="38" t="s">
        <v>98</v>
      </c>
      <c r="Q7" s="38" t="s">
        <v>52</v>
      </c>
      <c r="R7" s="38" t="s">
        <v>53</v>
      </c>
      <c r="S7" s="38" t="s">
        <v>54</v>
      </c>
      <c r="T7" s="38" t="s">
        <v>55</v>
      </c>
      <c r="U7" s="38" t="s">
        <v>70</v>
      </c>
      <c r="V7" s="38" t="s">
        <v>71</v>
      </c>
      <c r="W7" s="37">
        <v>4.52352E8</v>
      </c>
      <c r="X7" s="38" t="s">
        <v>85</v>
      </c>
      <c r="Y7" s="38" t="s">
        <v>86</v>
      </c>
      <c r="Z7" s="38" t="s">
        <v>60</v>
      </c>
      <c r="AA7" s="38" t="s">
        <v>61</v>
      </c>
      <c r="AB7" s="38" t="s">
        <v>87</v>
      </c>
      <c r="AC7" s="38" t="s">
        <v>88</v>
      </c>
      <c r="AD7" s="38" t="s">
        <v>3498</v>
      </c>
      <c r="AE7" s="38" t="s">
        <v>54</v>
      </c>
      <c r="AF7" s="38" t="s">
        <v>54</v>
      </c>
    </row>
    <row r="8">
      <c r="A8" s="38" t="s">
        <v>78</v>
      </c>
      <c r="B8" s="38" t="s">
        <v>54</v>
      </c>
      <c r="C8" s="38" t="s">
        <v>54</v>
      </c>
      <c r="D8" s="38" t="s">
        <v>45</v>
      </c>
      <c r="E8" s="38" t="s">
        <v>99</v>
      </c>
      <c r="F8" s="38" t="s">
        <v>174</v>
      </c>
      <c r="G8" s="38" t="s">
        <v>100</v>
      </c>
      <c r="H8" s="38" t="s">
        <v>81</v>
      </c>
      <c r="I8" s="38" t="s">
        <v>45</v>
      </c>
      <c r="J8" s="37">
        <v>0.0</v>
      </c>
      <c r="K8" s="38" t="s">
        <v>82</v>
      </c>
      <c r="L8" s="38" t="s">
        <v>83</v>
      </c>
      <c r="M8" s="38" t="s">
        <v>54</v>
      </c>
      <c r="N8" s="38" t="s">
        <v>49</v>
      </c>
      <c r="O8" s="38" t="s">
        <v>50</v>
      </c>
      <c r="P8" s="38" t="s">
        <v>101</v>
      </c>
      <c r="Q8" s="38" t="s">
        <v>52</v>
      </c>
      <c r="R8" s="38" t="s">
        <v>53</v>
      </c>
      <c r="S8" s="38" t="s">
        <v>54</v>
      </c>
      <c r="T8" s="38" t="s">
        <v>55</v>
      </c>
      <c r="U8" s="38" t="s">
        <v>56</v>
      </c>
      <c r="V8" s="38" t="s">
        <v>57</v>
      </c>
      <c r="W8" s="37">
        <v>4.52352E8</v>
      </c>
      <c r="X8" s="38" t="s">
        <v>85</v>
      </c>
      <c r="Y8" s="38" t="s">
        <v>86</v>
      </c>
      <c r="Z8" s="38" t="s">
        <v>60</v>
      </c>
      <c r="AA8" s="38" t="s">
        <v>61</v>
      </c>
      <c r="AB8" s="38" t="s">
        <v>87</v>
      </c>
      <c r="AC8" s="38" t="s">
        <v>88</v>
      </c>
      <c r="AD8" s="38" t="s">
        <v>3499</v>
      </c>
      <c r="AE8" s="38" t="s">
        <v>54</v>
      </c>
      <c r="AF8" s="38" t="s">
        <v>54</v>
      </c>
    </row>
    <row r="9">
      <c r="A9" s="38" t="s">
        <v>78</v>
      </c>
      <c r="B9" s="38" t="s">
        <v>54</v>
      </c>
      <c r="C9" s="38" t="s">
        <v>54</v>
      </c>
      <c r="D9" s="38" t="s">
        <v>45</v>
      </c>
      <c r="E9" s="38" t="s">
        <v>102</v>
      </c>
      <c r="F9" s="38" t="s">
        <v>174</v>
      </c>
      <c r="G9" s="38" t="s">
        <v>103</v>
      </c>
      <c r="H9" s="38" t="s">
        <v>81</v>
      </c>
      <c r="I9" s="38" t="s">
        <v>45</v>
      </c>
      <c r="J9" s="37">
        <v>0.0</v>
      </c>
      <c r="K9" s="38" t="s">
        <v>82</v>
      </c>
      <c r="L9" s="38" t="s">
        <v>93</v>
      </c>
      <c r="M9" s="38" t="s">
        <v>54</v>
      </c>
      <c r="N9" s="38" t="s">
        <v>49</v>
      </c>
      <c r="O9" s="38" t="s">
        <v>50</v>
      </c>
      <c r="P9" s="38" t="s">
        <v>104</v>
      </c>
      <c r="Q9" s="38" t="s">
        <v>52</v>
      </c>
      <c r="R9" s="38" t="s">
        <v>53</v>
      </c>
      <c r="S9" s="38" t="s">
        <v>54</v>
      </c>
      <c r="T9" s="38" t="s">
        <v>55</v>
      </c>
      <c r="U9" s="38" t="s">
        <v>56</v>
      </c>
      <c r="V9" s="38" t="s">
        <v>57</v>
      </c>
      <c r="W9" s="37">
        <v>4.52352E8</v>
      </c>
      <c r="X9" s="38" t="s">
        <v>85</v>
      </c>
      <c r="Y9" s="38" t="s">
        <v>86</v>
      </c>
      <c r="Z9" s="38" t="s">
        <v>60</v>
      </c>
      <c r="AA9" s="38" t="s">
        <v>61</v>
      </c>
      <c r="AB9" s="38" t="s">
        <v>87</v>
      </c>
      <c r="AC9" s="38" t="s">
        <v>88</v>
      </c>
      <c r="AD9" s="38" t="s">
        <v>3500</v>
      </c>
      <c r="AE9" s="38" t="s">
        <v>54</v>
      </c>
      <c r="AF9" s="38" t="s">
        <v>54</v>
      </c>
    </row>
    <row r="10">
      <c r="A10" s="38" t="s">
        <v>78</v>
      </c>
      <c r="B10" s="38" t="s">
        <v>54</v>
      </c>
      <c r="C10" s="38" t="s">
        <v>54</v>
      </c>
      <c r="D10" s="38" t="s">
        <v>45</v>
      </c>
      <c r="E10" s="38" t="s">
        <v>105</v>
      </c>
      <c r="F10" s="38" t="s">
        <v>174</v>
      </c>
      <c r="G10" s="38" t="s">
        <v>106</v>
      </c>
      <c r="H10" s="38" t="s">
        <v>81</v>
      </c>
      <c r="I10" s="38" t="s">
        <v>45</v>
      </c>
      <c r="J10" s="37">
        <v>0.0</v>
      </c>
      <c r="K10" s="38" t="s">
        <v>82</v>
      </c>
      <c r="L10" s="38" t="s">
        <v>97</v>
      </c>
      <c r="M10" s="38" t="s">
        <v>54</v>
      </c>
      <c r="N10" s="38" t="s">
        <v>49</v>
      </c>
      <c r="O10" s="38" t="s">
        <v>50</v>
      </c>
      <c r="P10" s="38" t="s">
        <v>107</v>
      </c>
      <c r="Q10" s="38" t="s">
        <v>52</v>
      </c>
      <c r="R10" s="38" t="s">
        <v>53</v>
      </c>
      <c r="S10" s="38" t="s">
        <v>54</v>
      </c>
      <c r="T10" s="38" t="s">
        <v>55</v>
      </c>
      <c r="U10" s="38" t="s">
        <v>56</v>
      </c>
      <c r="V10" s="38" t="s">
        <v>57</v>
      </c>
      <c r="W10" s="37">
        <v>4.52352E8</v>
      </c>
      <c r="X10" s="38" t="s">
        <v>85</v>
      </c>
      <c r="Y10" s="38" t="s">
        <v>86</v>
      </c>
      <c r="Z10" s="38" t="s">
        <v>60</v>
      </c>
      <c r="AA10" s="38" t="s">
        <v>61</v>
      </c>
      <c r="AB10" s="38" t="s">
        <v>87</v>
      </c>
      <c r="AC10" s="38" t="s">
        <v>88</v>
      </c>
      <c r="AD10" s="38" t="s">
        <v>3501</v>
      </c>
      <c r="AE10" s="38" t="s">
        <v>54</v>
      </c>
      <c r="AF10" s="38" t="s">
        <v>54</v>
      </c>
    </row>
    <row r="11">
      <c r="A11" s="38" t="s">
        <v>108</v>
      </c>
      <c r="B11" s="37">
        <v>7.742853184483576</v>
      </c>
      <c r="C11" s="37">
        <v>7.826236524346885</v>
      </c>
      <c r="D11" s="38" t="s">
        <v>112</v>
      </c>
      <c r="E11" s="38" t="s">
        <v>109</v>
      </c>
      <c r="F11" s="38" t="s">
        <v>3502</v>
      </c>
      <c r="G11" s="38" t="s">
        <v>110</v>
      </c>
      <c r="H11" s="38" t="s">
        <v>111</v>
      </c>
      <c r="I11" s="38" t="s">
        <v>112</v>
      </c>
      <c r="J11" s="37">
        <v>7.45</v>
      </c>
      <c r="K11" s="38" t="s">
        <v>113</v>
      </c>
      <c r="L11" s="38" t="s">
        <v>114</v>
      </c>
      <c r="M11" s="38" t="s">
        <v>54</v>
      </c>
      <c r="N11" s="38" t="s">
        <v>115</v>
      </c>
      <c r="O11" s="38" t="s">
        <v>116</v>
      </c>
      <c r="P11" s="38" t="s">
        <v>117</v>
      </c>
      <c r="Q11" s="38" t="s">
        <v>118</v>
      </c>
      <c r="R11" s="38" t="s">
        <v>119</v>
      </c>
      <c r="S11" s="38" t="s">
        <v>54</v>
      </c>
      <c r="T11" s="38" t="s">
        <v>55</v>
      </c>
      <c r="U11" s="38" t="s">
        <v>70</v>
      </c>
      <c r="V11" s="38" t="s">
        <v>71</v>
      </c>
      <c r="W11" s="37">
        <v>2.52336E8</v>
      </c>
      <c r="X11" s="38" t="s">
        <v>120</v>
      </c>
      <c r="Y11" s="38" t="s">
        <v>120</v>
      </c>
      <c r="Z11" s="38" t="s">
        <v>60</v>
      </c>
      <c r="AA11" s="38" t="s">
        <v>121</v>
      </c>
      <c r="AB11" s="38" t="s">
        <v>122</v>
      </c>
      <c r="AC11" s="38" t="s">
        <v>122</v>
      </c>
      <c r="AD11" s="38" t="s">
        <v>3503</v>
      </c>
      <c r="AE11" s="38" t="s">
        <v>54</v>
      </c>
      <c r="AF11" s="38" t="s">
        <v>54</v>
      </c>
    </row>
    <row r="12">
      <c r="A12" s="38" t="s">
        <v>127</v>
      </c>
      <c r="B12" s="38" t="s">
        <v>54</v>
      </c>
      <c r="C12" s="38" t="s">
        <v>54</v>
      </c>
      <c r="D12" s="38" t="s">
        <v>45</v>
      </c>
      <c r="E12" s="38" t="s">
        <v>128</v>
      </c>
      <c r="F12" s="38" t="s">
        <v>174</v>
      </c>
      <c r="G12" s="38" t="s">
        <v>129</v>
      </c>
      <c r="H12" s="38" t="s">
        <v>130</v>
      </c>
      <c r="I12" s="38" t="s">
        <v>45</v>
      </c>
      <c r="J12" s="37">
        <v>0.0</v>
      </c>
      <c r="K12" s="38" t="s">
        <v>131</v>
      </c>
      <c r="L12" s="38" t="s">
        <v>132</v>
      </c>
      <c r="M12" s="38" t="s">
        <v>54</v>
      </c>
      <c r="N12" s="38" t="s">
        <v>49</v>
      </c>
      <c r="O12" s="38" t="s">
        <v>50</v>
      </c>
      <c r="P12" s="38" t="s">
        <v>76</v>
      </c>
      <c r="Q12" s="38" t="s">
        <v>52</v>
      </c>
      <c r="R12" s="38" t="s">
        <v>53</v>
      </c>
      <c r="S12" s="38" t="s">
        <v>54</v>
      </c>
      <c r="T12" s="38" t="s">
        <v>133</v>
      </c>
      <c r="U12" s="38" t="s">
        <v>70</v>
      </c>
      <c r="V12" s="38" t="s">
        <v>71</v>
      </c>
      <c r="W12" s="37">
        <v>3.0422E8</v>
      </c>
      <c r="X12" s="38" t="s">
        <v>134</v>
      </c>
      <c r="Y12" s="38" t="s">
        <v>135</v>
      </c>
      <c r="Z12" s="38" t="s">
        <v>60</v>
      </c>
      <c r="AA12" s="38" t="s">
        <v>61</v>
      </c>
      <c r="AB12" s="38" t="s">
        <v>136</v>
      </c>
      <c r="AC12" s="38" t="s">
        <v>137</v>
      </c>
      <c r="AD12" s="38" t="s">
        <v>3504</v>
      </c>
      <c r="AE12" s="38" t="s">
        <v>54</v>
      </c>
      <c r="AF12" s="38" t="s">
        <v>54</v>
      </c>
    </row>
    <row r="13">
      <c r="A13" s="38" t="s">
        <v>127</v>
      </c>
      <c r="B13" s="38" t="s">
        <v>54</v>
      </c>
      <c r="C13" s="38" t="s">
        <v>54</v>
      </c>
      <c r="D13" s="38" t="s">
        <v>45</v>
      </c>
      <c r="E13" s="38" t="s">
        <v>142</v>
      </c>
      <c r="F13" s="38" t="s">
        <v>174</v>
      </c>
      <c r="G13" s="38" t="s">
        <v>143</v>
      </c>
      <c r="H13" s="38" t="s">
        <v>130</v>
      </c>
      <c r="I13" s="38" t="s">
        <v>45</v>
      </c>
      <c r="J13" s="37">
        <v>0.0</v>
      </c>
      <c r="K13" s="38" t="s">
        <v>131</v>
      </c>
      <c r="L13" s="38" t="s">
        <v>144</v>
      </c>
      <c r="M13" s="38" t="s">
        <v>54</v>
      </c>
      <c r="N13" s="38" t="s">
        <v>49</v>
      </c>
      <c r="O13" s="38" t="s">
        <v>50</v>
      </c>
      <c r="P13" s="38" t="s">
        <v>145</v>
      </c>
      <c r="Q13" s="38" t="s">
        <v>52</v>
      </c>
      <c r="R13" s="38" t="s">
        <v>53</v>
      </c>
      <c r="S13" s="38" t="s">
        <v>54</v>
      </c>
      <c r="T13" s="38" t="s">
        <v>133</v>
      </c>
      <c r="U13" s="38" t="s">
        <v>70</v>
      </c>
      <c r="V13" s="38" t="s">
        <v>71</v>
      </c>
      <c r="W13" s="37">
        <v>3.0422E8</v>
      </c>
      <c r="X13" s="38" t="s">
        <v>134</v>
      </c>
      <c r="Y13" s="38" t="s">
        <v>135</v>
      </c>
      <c r="Z13" s="38" t="s">
        <v>60</v>
      </c>
      <c r="AA13" s="38" t="s">
        <v>61</v>
      </c>
      <c r="AB13" s="38" t="s">
        <v>136</v>
      </c>
      <c r="AC13" s="38" t="s">
        <v>137</v>
      </c>
      <c r="AD13" s="38" t="s">
        <v>3505</v>
      </c>
      <c r="AE13" s="38" t="s">
        <v>54</v>
      </c>
      <c r="AF13" s="38" t="s">
        <v>54</v>
      </c>
    </row>
    <row r="14">
      <c r="A14" s="38" t="s">
        <v>41</v>
      </c>
      <c r="B14" s="38" t="s">
        <v>54</v>
      </c>
      <c r="C14" s="38" t="s">
        <v>54</v>
      </c>
      <c r="D14" s="38" t="s">
        <v>45</v>
      </c>
      <c r="E14" s="38" t="s">
        <v>147</v>
      </c>
      <c r="F14" s="38" t="s">
        <v>174</v>
      </c>
      <c r="G14" s="38" t="s">
        <v>148</v>
      </c>
      <c r="H14" s="38" t="s">
        <v>44</v>
      </c>
      <c r="I14" s="38" t="s">
        <v>45</v>
      </c>
      <c r="J14" s="37">
        <v>0.0</v>
      </c>
      <c r="K14" s="38" t="s">
        <v>149</v>
      </c>
      <c r="L14" s="38" t="s">
        <v>150</v>
      </c>
      <c r="M14" s="38" t="s">
        <v>54</v>
      </c>
      <c r="N14" s="38" t="s">
        <v>49</v>
      </c>
      <c r="O14" s="38" t="s">
        <v>50</v>
      </c>
      <c r="P14" s="38" t="s">
        <v>51</v>
      </c>
      <c r="Q14" s="38" t="s">
        <v>52</v>
      </c>
      <c r="R14" s="38" t="s">
        <v>53</v>
      </c>
      <c r="S14" s="38" t="s">
        <v>54</v>
      </c>
      <c r="T14" s="38" t="s">
        <v>55</v>
      </c>
      <c r="U14" s="38" t="s">
        <v>56</v>
      </c>
      <c r="V14" s="38" t="s">
        <v>57</v>
      </c>
      <c r="W14" s="37">
        <v>2.43312E8</v>
      </c>
      <c r="X14" s="38" t="s">
        <v>58</v>
      </c>
      <c r="Y14" s="38" t="s">
        <v>59</v>
      </c>
      <c r="Z14" s="38" t="s">
        <v>60</v>
      </c>
      <c r="AA14" s="38" t="s">
        <v>61</v>
      </c>
      <c r="AB14" s="38" t="s">
        <v>62</v>
      </c>
      <c r="AC14" s="38" t="s">
        <v>62</v>
      </c>
      <c r="AD14" s="38" t="s">
        <v>3506</v>
      </c>
      <c r="AE14" s="38" t="s">
        <v>54</v>
      </c>
      <c r="AF14" s="38" t="s">
        <v>54</v>
      </c>
    </row>
    <row r="15">
      <c r="A15" s="38" t="s">
        <v>41</v>
      </c>
      <c r="B15" s="38" t="s">
        <v>54</v>
      </c>
      <c r="C15" s="38" t="s">
        <v>54</v>
      </c>
      <c r="D15" s="38" t="s">
        <v>45</v>
      </c>
      <c r="E15" s="38" t="s">
        <v>152</v>
      </c>
      <c r="F15" s="38" t="s">
        <v>174</v>
      </c>
      <c r="G15" s="38" t="s">
        <v>153</v>
      </c>
      <c r="H15" s="38" t="s">
        <v>44</v>
      </c>
      <c r="I15" s="38" t="s">
        <v>45</v>
      </c>
      <c r="J15" s="37">
        <v>0.0</v>
      </c>
      <c r="K15" s="38" t="s">
        <v>149</v>
      </c>
      <c r="L15" s="38" t="s">
        <v>154</v>
      </c>
      <c r="M15" s="38" t="s">
        <v>54</v>
      </c>
      <c r="N15" s="38" t="s">
        <v>49</v>
      </c>
      <c r="O15" s="38" t="s">
        <v>50</v>
      </c>
      <c r="P15" s="38" t="s">
        <v>69</v>
      </c>
      <c r="Q15" s="38" t="s">
        <v>52</v>
      </c>
      <c r="R15" s="38" t="s">
        <v>53</v>
      </c>
      <c r="S15" s="38" t="s">
        <v>54</v>
      </c>
      <c r="T15" s="38" t="s">
        <v>55</v>
      </c>
      <c r="U15" s="38" t="s">
        <v>70</v>
      </c>
      <c r="V15" s="38" t="s">
        <v>71</v>
      </c>
      <c r="W15" s="37">
        <v>2.43312E8</v>
      </c>
      <c r="X15" s="38" t="s">
        <v>58</v>
      </c>
      <c r="Y15" s="38" t="s">
        <v>59</v>
      </c>
      <c r="Z15" s="38" t="s">
        <v>60</v>
      </c>
      <c r="AA15" s="38" t="s">
        <v>61</v>
      </c>
      <c r="AB15" s="38" t="s">
        <v>62</v>
      </c>
      <c r="AC15" s="38" t="s">
        <v>62</v>
      </c>
      <c r="AD15" s="38" t="s">
        <v>3507</v>
      </c>
      <c r="AE15" s="38" t="s">
        <v>54</v>
      </c>
      <c r="AF15" s="38" t="s">
        <v>54</v>
      </c>
    </row>
    <row r="16">
      <c r="A16" s="38" t="s">
        <v>41</v>
      </c>
      <c r="B16" s="38" t="s">
        <v>54</v>
      </c>
      <c r="C16" s="38" t="s">
        <v>54</v>
      </c>
      <c r="D16" s="38" t="s">
        <v>45</v>
      </c>
      <c r="E16" s="38" t="s">
        <v>155</v>
      </c>
      <c r="F16" s="38" t="s">
        <v>174</v>
      </c>
      <c r="G16" s="38" t="s">
        <v>156</v>
      </c>
      <c r="H16" s="38" t="s">
        <v>44</v>
      </c>
      <c r="I16" s="38" t="s">
        <v>45</v>
      </c>
      <c r="J16" s="37">
        <v>0.0</v>
      </c>
      <c r="K16" s="38" t="s">
        <v>149</v>
      </c>
      <c r="L16" s="38" t="s">
        <v>157</v>
      </c>
      <c r="M16" s="38" t="s">
        <v>54</v>
      </c>
      <c r="N16" s="38" t="s">
        <v>49</v>
      </c>
      <c r="O16" s="38" t="s">
        <v>50</v>
      </c>
      <c r="P16" s="38" t="s">
        <v>158</v>
      </c>
      <c r="Q16" s="38" t="s">
        <v>52</v>
      </c>
      <c r="R16" s="38" t="s">
        <v>53</v>
      </c>
      <c r="S16" s="38" t="s">
        <v>54</v>
      </c>
      <c r="T16" s="38" t="s">
        <v>55</v>
      </c>
      <c r="U16" s="38" t="s">
        <v>70</v>
      </c>
      <c r="V16" s="38" t="s">
        <v>71</v>
      </c>
      <c r="W16" s="37">
        <v>2.43312E8</v>
      </c>
      <c r="X16" s="38" t="s">
        <v>58</v>
      </c>
      <c r="Y16" s="38" t="s">
        <v>59</v>
      </c>
      <c r="Z16" s="38" t="s">
        <v>60</v>
      </c>
      <c r="AA16" s="38" t="s">
        <v>61</v>
      </c>
      <c r="AB16" s="38" t="s">
        <v>62</v>
      </c>
      <c r="AC16" s="38" t="s">
        <v>62</v>
      </c>
      <c r="AD16" s="38" t="s">
        <v>3508</v>
      </c>
      <c r="AE16" s="38" t="s">
        <v>54</v>
      </c>
      <c r="AF16" s="38" t="s">
        <v>54</v>
      </c>
    </row>
    <row r="17">
      <c r="A17" s="38" t="s">
        <v>41</v>
      </c>
      <c r="B17" s="38" t="s">
        <v>54</v>
      </c>
      <c r="C17" s="38" t="s">
        <v>54</v>
      </c>
      <c r="D17" s="38" t="s">
        <v>45</v>
      </c>
      <c r="E17" s="38" t="s">
        <v>159</v>
      </c>
      <c r="F17" s="38" t="s">
        <v>174</v>
      </c>
      <c r="G17" s="38" t="s">
        <v>160</v>
      </c>
      <c r="H17" s="38" t="s">
        <v>44</v>
      </c>
      <c r="I17" s="38" t="s">
        <v>45</v>
      </c>
      <c r="J17" s="37">
        <v>0.0</v>
      </c>
      <c r="K17" s="38" t="s">
        <v>149</v>
      </c>
      <c r="L17" s="38" t="s">
        <v>161</v>
      </c>
      <c r="M17" s="38" t="s">
        <v>54</v>
      </c>
      <c r="N17" s="38" t="s">
        <v>49</v>
      </c>
      <c r="O17" s="38" t="s">
        <v>50</v>
      </c>
      <c r="P17" s="38" t="s">
        <v>162</v>
      </c>
      <c r="Q17" s="38" t="s">
        <v>52</v>
      </c>
      <c r="R17" s="38" t="s">
        <v>53</v>
      </c>
      <c r="S17" s="38" t="s">
        <v>54</v>
      </c>
      <c r="T17" s="38" t="s">
        <v>55</v>
      </c>
      <c r="U17" s="38" t="s">
        <v>70</v>
      </c>
      <c r="V17" s="38" t="s">
        <v>71</v>
      </c>
      <c r="W17" s="37">
        <v>2.43312E8</v>
      </c>
      <c r="X17" s="38" t="s">
        <v>58</v>
      </c>
      <c r="Y17" s="38" t="s">
        <v>59</v>
      </c>
      <c r="Z17" s="38" t="s">
        <v>60</v>
      </c>
      <c r="AA17" s="38" t="s">
        <v>61</v>
      </c>
      <c r="AB17" s="38" t="s">
        <v>62</v>
      </c>
      <c r="AC17" s="38" t="s">
        <v>62</v>
      </c>
      <c r="AD17" s="38" t="s">
        <v>3509</v>
      </c>
      <c r="AE17" s="38" t="s">
        <v>54</v>
      </c>
      <c r="AF17" s="38" t="s">
        <v>54</v>
      </c>
    </row>
    <row r="18">
      <c r="A18" s="38" t="s">
        <v>41</v>
      </c>
      <c r="B18" s="38" t="s">
        <v>54</v>
      </c>
      <c r="C18" s="38" t="s">
        <v>54</v>
      </c>
      <c r="D18" s="38" t="s">
        <v>45</v>
      </c>
      <c r="E18" s="38" t="s">
        <v>163</v>
      </c>
      <c r="F18" s="38" t="s">
        <v>174</v>
      </c>
      <c r="G18" s="38" t="s">
        <v>164</v>
      </c>
      <c r="H18" s="38" t="s">
        <v>44</v>
      </c>
      <c r="I18" s="38" t="s">
        <v>45</v>
      </c>
      <c r="J18" s="37">
        <v>0.0</v>
      </c>
      <c r="K18" s="38" t="s">
        <v>149</v>
      </c>
      <c r="L18" s="38" t="s">
        <v>165</v>
      </c>
      <c r="M18" s="38" t="s">
        <v>54</v>
      </c>
      <c r="N18" s="38" t="s">
        <v>49</v>
      </c>
      <c r="O18" s="38" t="s">
        <v>50</v>
      </c>
      <c r="P18" s="38" t="s">
        <v>145</v>
      </c>
      <c r="Q18" s="38" t="s">
        <v>52</v>
      </c>
      <c r="R18" s="38" t="s">
        <v>53</v>
      </c>
      <c r="S18" s="38" t="s">
        <v>54</v>
      </c>
      <c r="T18" s="38" t="s">
        <v>55</v>
      </c>
      <c r="U18" s="38" t="s">
        <v>70</v>
      </c>
      <c r="V18" s="38" t="s">
        <v>71</v>
      </c>
      <c r="W18" s="37">
        <v>2.43312E8</v>
      </c>
      <c r="X18" s="38" t="s">
        <v>58</v>
      </c>
      <c r="Y18" s="38" t="s">
        <v>59</v>
      </c>
      <c r="Z18" s="38" t="s">
        <v>60</v>
      </c>
      <c r="AA18" s="38" t="s">
        <v>61</v>
      </c>
      <c r="AB18" s="38" t="s">
        <v>62</v>
      </c>
      <c r="AC18" s="38" t="s">
        <v>62</v>
      </c>
      <c r="AD18" s="38" t="s">
        <v>3510</v>
      </c>
      <c r="AE18" s="38" t="s">
        <v>54</v>
      </c>
      <c r="AF18" s="38" t="s">
        <v>54</v>
      </c>
    </row>
    <row r="19">
      <c r="A19" s="38" t="s">
        <v>166</v>
      </c>
      <c r="B19" s="37">
        <v>2.7703699859820055</v>
      </c>
      <c r="C19" s="37">
        <v>2.8489739043013547</v>
      </c>
      <c r="D19" s="38" t="s">
        <v>170</v>
      </c>
      <c r="E19" s="38" t="s">
        <v>167</v>
      </c>
      <c r="F19" s="38" t="s">
        <v>3511</v>
      </c>
      <c r="G19" s="38" t="s">
        <v>168</v>
      </c>
      <c r="H19" s="38" t="s">
        <v>169</v>
      </c>
      <c r="I19" s="38" t="s">
        <v>170</v>
      </c>
      <c r="J19" s="37">
        <v>0.5</v>
      </c>
      <c r="K19" s="38" t="s">
        <v>172</v>
      </c>
      <c r="L19" s="38" t="s">
        <v>173</v>
      </c>
      <c r="M19" s="38" t="s">
        <v>54</v>
      </c>
      <c r="N19" s="38" t="s">
        <v>115</v>
      </c>
      <c r="O19" s="38" t="s">
        <v>116</v>
      </c>
      <c r="P19" s="38" t="s">
        <v>174</v>
      </c>
      <c r="Q19" s="38" t="s">
        <v>52</v>
      </c>
      <c r="R19" s="38" t="s">
        <v>53</v>
      </c>
      <c r="S19" s="38" t="s">
        <v>175</v>
      </c>
      <c r="T19" s="38" t="s">
        <v>55</v>
      </c>
      <c r="U19" s="38" t="s">
        <v>56</v>
      </c>
      <c r="V19" s="38" t="s">
        <v>57</v>
      </c>
      <c r="W19" s="37">
        <v>1.0065105E9</v>
      </c>
      <c r="X19" s="38" t="s">
        <v>85</v>
      </c>
      <c r="Y19" s="38" t="s">
        <v>176</v>
      </c>
      <c r="Z19" s="38" t="s">
        <v>60</v>
      </c>
      <c r="AA19" s="38" t="s">
        <v>61</v>
      </c>
      <c r="AB19" s="38" t="s">
        <v>177</v>
      </c>
      <c r="AC19" s="38" t="s">
        <v>178</v>
      </c>
      <c r="AD19" s="38" t="s">
        <v>3512</v>
      </c>
      <c r="AE19" s="37">
        <v>0.477</v>
      </c>
      <c r="AF19" s="37">
        <v>0.477</v>
      </c>
    </row>
    <row r="20">
      <c r="A20" s="38" t="s">
        <v>181</v>
      </c>
      <c r="B20" s="37">
        <v>-2.177274878065197</v>
      </c>
      <c r="C20" s="37">
        <v>-1.8370860107598208</v>
      </c>
      <c r="D20" s="38" t="s">
        <v>185</v>
      </c>
      <c r="E20" s="38" t="s">
        <v>182</v>
      </c>
      <c r="F20" s="38" t="s">
        <v>3513</v>
      </c>
      <c r="G20" s="38" t="s">
        <v>183</v>
      </c>
      <c r="H20" s="38" t="s">
        <v>184</v>
      </c>
      <c r="I20" s="38" t="s">
        <v>185</v>
      </c>
      <c r="J20" s="37">
        <v>0.0</v>
      </c>
      <c r="K20" s="38" t="s">
        <v>187</v>
      </c>
      <c r="L20" s="38" t="s">
        <v>188</v>
      </c>
      <c r="M20" s="38" t="s">
        <v>54</v>
      </c>
      <c r="N20" s="38" t="s">
        <v>189</v>
      </c>
      <c r="O20" s="38" t="s">
        <v>50</v>
      </c>
      <c r="P20" s="38" t="s">
        <v>174</v>
      </c>
      <c r="Q20" s="38" t="s">
        <v>52</v>
      </c>
      <c r="R20" s="38" t="s">
        <v>53</v>
      </c>
      <c r="S20" s="38" t="s">
        <v>190</v>
      </c>
      <c r="T20" s="38" t="s">
        <v>133</v>
      </c>
      <c r="U20" s="38" t="s">
        <v>56</v>
      </c>
      <c r="V20" s="38" t="s">
        <v>57</v>
      </c>
      <c r="W20" s="37">
        <v>7.71725523365E8</v>
      </c>
      <c r="X20" s="38" t="s">
        <v>58</v>
      </c>
      <c r="Y20" s="38" t="s">
        <v>191</v>
      </c>
      <c r="Z20" s="38" t="s">
        <v>60</v>
      </c>
      <c r="AA20" s="38" t="s">
        <v>61</v>
      </c>
      <c r="AB20" s="38" t="s">
        <v>177</v>
      </c>
      <c r="AC20" s="38" t="s">
        <v>192</v>
      </c>
      <c r="AD20" s="38" t="s">
        <v>3514</v>
      </c>
      <c r="AE20" s="37">
        <v>-1.472</v>
      </c>
      <c r="AF20" s="37">
        <v>-1.472</v>
      </c>
    </row>
    <row r="21">
      <c r="A21" s="38" t="s">
        <v>196</v>
      </c>
      <c r="B21" s="37">
        <v>4.515761817830658</v>
      </c>
      <c r="C21" s="37">
        <v>4.8276296985647</v>
      </c>
      <c r="D21" s="38" t="s">
        <v>200</v>
      </c>
      <c r="E21" s="38" t="s">
        <v>197</v>
      </c>
      <c r="F21" s="38" t="s">
        <v>3515</v>
      </c>
      <c r="G21" s="38" t="s">
        <v>198</v>
      </c>
      <c r="H21" s="38" t="s">
        <v>199</v>
      </c>
      <c r="I21" s="38" t="s">
        <v>200</v>
      </c>
      <c r="J21" s="37">
        <v>3.25</v>
      </c>
      <c r="K21" s="38" t="s">
        <v>201</v>
      </c>
      <c r="L21" s="38" t="s">
        <v>202</v>
      </c>
      <c r="M21" s="38" t="s">
        <v>54</v>
      </c>
      <c r="N21" s="38" t="s">
        <v>49</v>
      </c>
      <c r="O21" s="38" t="s">
        <v>50</v>
      </c>
      <c r="P21" s="38" t="s">
        <v>174</v>
      </c>
      <c r="Q21" s="38" t="s">
        <v>52</v>
      </c>
      <c r="R21" s="38" t="s">
        <v>53</v>
      </c>
      <c r="S21" s="38" t="s">
        <v>54</v>
      </c>
      <c r="T21" s="38" t="s">
        <v>55</v>
      </c>
      <c r="U21" s="38" t="s">
        <v>56</v>
      </c>
      <c r="V21" s="38" t="s">
        <v>57</v>
      </c>
      <c r="W21" s="37">
        <v>1.20724E8</v>
      </c>
      <c r="X21" s="38" t="s">
        <v>120</v>
      </c>
      <c r="Y21" s="38" t="s">
        <v>120</v>
      </c>
      <c r="Z21" s="38" t="s">
        <v>203</v>
      </c>
      <c r="AA21" s="38" t="s">
        <v>204</v>
      </c>
      <c r="AB21" s="38" t="s">
        <v>204</v>
      </c>
      <c r="AC21" s="38" t="s">
        <v>204</v>
      </c>
      <c r="AD21" s="38" t="s">
        <v>3516</v>
      </c>
      <c r="AE21" s="38" t="s">
        <v>54</v>
      </c>
      <c r="AF21" s="38" t="s">
        <v>54</v>
      </c>
    </row>
    <row r="22">
      <c r="A22" s="38" t="s">
        <v>207</v>
      </c>
      <c r="B22" s="37">
        <v>7.525845525499063</v>
      </c>
      <c r="C22" s="37">
        <v>7.605987882996186</v>
      </c>
      <c r="D22" s="38" t="s">
        <v>112</v>
      </c>
      <c r="E22" s="38" t="s">
        <v>208</v>
      </c>
      <c r="F22" s="38" t="s">
        <v>3517</v>
      </c>
      <c r="G22" s="38" t="s">
        <v>209</v>
      </c>
      <c r="H22" s="38" t="s">
        <v>210</v>
      </c>
      <c r="I22" s="38" t="s">
        <v>112</v>
      </c>
      <c r="J22" s="37">
        <v>3.56</v>
      </c>
      <c r="K22" s="38" t="s">
        <v>211</v>
      </c>
      <c r="L22" s="38" t="s">
        <v>212</v>
      </c>
      <c r="M22" s="38" t="s">
        <v>54</v>
      </c>
      <c r="N22" s="38" t="s">
        <v>49</v>
      </c>
      <c r="O22" s="38" t="s">
        <v>50</v>
      </c>
      <c r="P22" s="38" t="s">
        <v>213</v>
      </c>
      <c r="Q22" s="38" t="s">
        <v>52</v>
      </c>
      <c r="R22" s="38" t="s">
        <v>119</v>
      </c>
      <c r="S22" s="38" t="s">
        <v>190</v>
      </c>
      <c r="T22" s="38" t="s">
        <v>175</v>
      </c>
      <c r="U22" s="38" t="s">
        <v>70</v>
      </c>
      <c r="V22" s="38" t="s">
        <v>71</v>
      </c>
      <c r="W22" s="37">
        <v>2.70133E8</v>
      </c>
      <c r="X22" s="38" t="s">
        <v>214</v>
      </c>
      <c r="Y22" s="38" t="s">
        <v>215</v>
      </c>
      <c r="Z22" s="38" t="s">
        <v>60</v>
      </c>
      <c r="AA22" s="38" t="s">
        <v>61</v>
      </c>
      <c r="AB22" s="38" t="s">
        <v>214</v>
      </c>
      <c r="AC22" s="38" t="s">
        <v>216</v>
      </c>
      <c r="AD22" s="38" t="s">
        <v>3518</v>
      </c>
      <c r="AE22" s="37">
        <v>1.149</v>
      </c>
      <c r="AF22" s="37">
        <v>1.149</v>
      </c>
    </row>
    <row r="23">
      <c r="A23" s="38" t="s">
        <v>219</v>
      </c>
      <c r="B23" s="37">
        <v>6.160659271417003</v>
      </c>
      <c r="C23" s="37">
        <v>6.431275981689647</v>
      </c>
      <c r="D23" s="38" t="s">
        <v>223</v>
      </c>
      <c r="E23" s="38" t="s">
        <v>220</v>
      </c>
      <c r="F23" s="38" t="s">
        <v>3519</v>
      </c>
      <c r="G23" s="38" t="s">
        <v>221</v>
      </c>
      <c r="H23" s="38" t="s">
        <v>222</v>
      </c>
      <c r="I23" s="38" t="s">
        <v>223</v>
      </c>
      <c r="J23" s="37">
        <v>5.15</v>
      </c>
      <c r="K23" s="38" t="s">
        <v>224</v>
      </c>
      <c r="L23" s="38" t="s">
        <v>225</v>
      </c>
      <c r="M23" s="38" t="s">
        <v>54</v>
      </c>
      <c r="N23" s="38" t="s">
        <v>49</v>
      </c>
      <c r="O23" s="38" t="s">
        <v>50</v>
      </c>
      <c r="P23" s="38" t="s">
        <v>226</v>
      </c>
      <c r="Q23" s="38" t="s">
        <v>52</v>
      </c>
      <c r="R23" s="38" t="s">
        <v>53</v>
      </c>
      <c r="S23" s="38" t="s">
        <v>54</v>
      </c>
      <c r="T23" s="38" t="s">
        <v>55</v>
      </c>
      <c r="U23" s="38" t="s">
        <v>56</v>
      </c>
      <c r="V23" s="38" t="s">
        <v>57</v>
      </c>
      <c r="W23" s="37">
        <v>2.185848E7</v>
      </c>
      <c r="X23" s="38" t="s">
        <v>134</v>
      </c>
      <c r="Y23" s="38" t="s">
        <v>227</v>
      </c>
      <c r="Z23" s="38" t="s">
        <v>60</v>
      </c>
      <c r="AA23" s="38" t="s">
        <v>61</v>
      </c>
      <c r="AB23" s="38" t="s">
        <v>228</v>
      </c>
      <c r="AC23" s="38" t="s">
        <v>229</v>
      </c>
      <c r="AD23" s="38" t="s">
        <v>3520</v>
      </c>
      <c r="AE23" s="38" t="s">
        <v>54</v>
      </c>
      <c r="AF23" s="38" t="s">
        <v>54</v>
      </c>
    </row>
    <row r="24">
      <c r="A24" s="38" t="s">
        <v>232</v>
      </c>
      <c r="B24" s="37">
        <v>2.0522691540206415</v>
      </c>
      <c r="C24" s="37">
        <v>2.1626617528473484</v>
      </c>
      <c r="D24" s="38" t="s">
        <v>185</v>
      </c>
      <c r="E24" s="38" t="s">
        <v>233</v>
      </c>
      <c r="F24" s="38" t="s">
        <v>3521</v>
      </c>
      <c r="G24" s="38" t="s">
        <v>234</v>
      </c>
      <c r="H24" s="38" t="s">
        <v>235</v>
      </c>
      <c r="I24" s="38" t="s">
        <v>185</v>
      </c>
      <c r="J24" s="37">
        <v>2.85</v>
      </c>
      <c r="K24" s="38" t="s">
        <v>236</v>
      </c>
      <c r="L24" s="38" t="s">
        <v>237</v>
      </c>
      <c r="M24" s="38" t="s">
        <v>54</v>
      </c>
      <c r="N24" s="38" t="s">
        <v>49</v>
      </c>
      <c r="O24" s="38" t="s">
        <v>50</v>
      </c>
      <c r="P24" s="38" t="s">
        <v>174</v>
      </c>
      <c r="Q24" s="38" t="s">
        <v>52</v>
      </c>
      <c r="R24" s="38" t="s">
        <v>53</v>
      </c>
      <c r="S24" s="38" t="s">
        <v>54</v>
      </c>
      <c r="T24" s="38" t="s">
        <v>55</v>
      </c>
      <c r="U24" s="38" t="s">
        <v>56</v>
      </c>
      <c r="V24" s="38" t="s">
        <v>57</v>
      </c>
      <c r="W24" s="37">
        <v>6.06655E7</v>
      </c>
      <c r="X24" s="38" t="s">
        <v>120</v>
      </c>
      <c r="Y24" s="38" t="s">
        <v>238</v>
      </c>
      <c r="Z24" s="38" t="s">
        <v>60</v>
      </c>
      <c r="AA24" s="38" t="s">
        <v>121</v>
      </c>
      <c r="AB24" s="38" t="s">
        <v>122</v>
      </c>
      <c r="AC24" s="38" t="s">
        <v>122</v>
      </c>
      <c r="AD24" s="38" t="s">
        <v>3522</v>
      </c>
      <c r="AE24" s="38" t="s">
        <v>54</v>
      </c>
      <c r="AF24" s="38" t="s">
        <v>54</v>
      </c>
    </row>
    <row r="25">
      <c r="A25" s="38" t="s">
        <v>232</v>
      </c>
      <c r="B25" s="37">
        <v>2.178988782332656</v>
      </c>
      <c r="C25" s="37">
        <v>2.2882219487700692</v>
      </c>
      <c r="D25" s="38" t="s">
        <v>185</v>
      </c>
      <c r="E25" s="38" t="s">
        <v>241</v>
      </c>
      <c r="F25" s="38" t="s">
        <v>3523</v>
      </c>
      <c r="G25" s="38" t="s">
        <v>242</v>
      </c>
      <c r="H25" s="38" t="s">
        <v>235</v>
      </c>
      <c r="I25" s="38" t="s">
        <v>185</v>
      </c>
      <c r="J25" s="37">
        <v>3.0</v>
      </c>
      <c r="K25" s="38" t="s">
        <v>236</v>
      </c>
      <c r="L25" s="38" t="s">
        <v>243</v>
      </c>
      <c r="M25" s="38" t="s">
        <v>54</v>
      </c>
      <c r="N25" s="38" t="s">
        <v>49</v>
      </c>
      <c r="O25" s="38" t="s">
        <v>50</v>
      </c>
      <c r="P25" s="38" t="s">
        <v>174</v>
      </c>
      <c r="Q25" s="38" t="s">
        <v>52</v>
      </c>
      <c r="R25" s="38" t="s">
        <v>53</v>
      </c>
      <c r="S25" s="38" t="s">
        <v>54</v>
      </c>
      <c r="T25" s="38" t="s">
        <v>55</v>
      </c>
      <c r="U25" s="38" t="s">
        <v>56</v>
      </c>
      <c r="V25" s="38" t="s">
        <v>57</v>
      </c>
      <c r="W25" s="37">
        <v>6.06655E7</v>
      </c>
      <c r="X25" s="38" t="s">
        <v>120</v>
      </c>
      <c r="Y25" s="38" t="s">
        <v>238</v>
      </c>
      <c r="Z25" s="38" t="s">
        <v>60</v>
      </c>
      <c r="AA25" s="38" t="s">
        <v>121</v>
      </c>
      <c r="AB25" s="38" t="s">
        <v>122</v>
      </c>
      <c r="AC25" s="38" t="s">
        <v>122</v>
      </c>
      <c r="AD25" s="38" t="s">
        <v>3524</v>
      </c>
      <c r="AE25" s="38" t="s">
        <v>54</v>
      </c>
      <c r="AF25" s="38" t="s">
        <v>54</v>
      </c>
    </row>
    <row r="26">
      <c r="A26" s="38" t="s">
        <v>245</v>
      </c>
      <c r="B26" s="37">
        <v>2.3992568545494306</v>
      </c>
      <c r="C26" s="37">
        <v>2.498085856474424</v>
      </c>
      <c r="D26" s="38" t="s">
        <v>185</v>
      </c>
      <c r="E26" s="38" t="s">
        <v>246</v>
      </c>
      <c r="F26" s="38" t="s">
        <v>3525</v>
      </c>
      <c r="G26" s="38" t="s">
        <v>247</v>
      </c>
      <c r="H26" s="38" t="s">
        <v>248</v>
      </c>
      <c r="I26" s="38" t="s">
        <v>185</v>
      </c>
      <c r="J26" s="37">
        <v>3.25</v>
      </c>
      <c r="K26" s="38" t="s">
        <v>249</v>
      </c>
      <c r="L26" s="38" t="s">
        <v>250</v>
      </c>
      <c r="M26" s="38" t="s">
        <v>54</v>
      </c>
      <c r="N26" s="38" t="s">
        <v>49</v>
      </c>
      <c r="O26" s="38" t="s">
        <v>50</v>
      </c>
      <c r="P26" s="38" t="s">
        <v>174</v>
      </c>
      <c r="Q26" s="38" t="s">
        <v>52</v>
      </c>
      <c r="R26" s="38" t="s">
        <v>53</v>
      </c>
      <c r="S26" s="38" t="s">
        <v>54</v>
      </c>
      <c r="T26" s="38" t="s">
        <v>55</v>
      </c>
      <c r="U26" s="38" t="s">
        <v>56</v>
      </c>
      <c r="V26" s="38" t="s">
        <v>57</v>
      </c>
      <c r="W26" s="37">
        <v>1.21575E8</v>
      </c>
      <c r="X26" s="38" t="s">
        <v>134</v>
      </c>
      <c r="Y26" s="38" t="s">
        <v>135</v>
      </c>
      <c r="Z26" s="38" t="s">
        <v>60</v>
      </c>
      <c r="AA26" s="38" t="s">
        <v>61</v>
      </c>
      <c r="AB26" s="38" t="s">
        <v>136</v>
      </c>
      <c r="AC26" s="38" t="s">
        <v>137</v>
      </c>
      <c r="AD26" s="38" t="s">
        <v>3526</v>
      </c>
      <c r="AE26" s="38" t="s">
        <v>54</v>
      </c>
      <c r="AF26" s="38" t="s">
        <v>54</v>
      </c>
    </row>
    <row r="27">
      <c r="A27" s="38" t="s">
        <v>254</v>
      </c>
      <c r="B27" s="37">
        <v>6.256563289779353</v>
      </c>
      <c r="C27" s="37">
        <v>6.321776704683969</v>
      </c>
      <c r="D27" s="38" t="s">
        <v>258</v>
      </c>
      <c r="E27" s="38" t="s">
        <v>255</v>
      </c>
      <c r="F27" s="38" t="s">
        <v>3527</v>
      </c>
      <c r="G27" s="38" t="s">
        <v>256</v>
      </c>
      <c r="H27" s="38" t="s">
        <v>257</v>
      </c>
      <c r="I27" s="38" t="s">
        <v>258</v>
      </c>
      <c r="J27" s="37">
        <v>3.2</v>
      </c>
      <c r="K27" s="38" t="s">
        <v>260</v>
      </c>
      <c r="L27" s="38" t="s">
        <v>261</v>
      </c>
      <c r="M27" s="37">
        <v>3.1999999999999997</v>
      </c>
      <c r="N27" s="38" t="s">
        <v>115</v>
      </c>
      <c r="O27" s="38" t="s">
        <v>116</v>
      </c>
      <c r="P27" s="38" t="s">
        <v>262</v>
      </c>
      <c r="Q27" s="38" t="s">
        <v>52</v>
      </c>
      <c r="R27" s="38" t="s">
        <v>263</v>
      </c>
      <c r="S27" s="38" t="s">
        <v>264</v>
      </c>
      <c r="T27" s="38" t="s">
        <v>55</v>
      </c>
      <c r="U27" s="38" t="s">
        <v>56</v>
      </c>
      <c r="V27" s="38" t="s">
        <v>71</v>
      </c>
      <c r="W27" s="37">
        <v>5.0E8</v>
      </c>
      <c r="X27" s="38" t="s">
        <v>85</v>
      </c>
      <c r="Y27" s="38" t="s">
        <v>265</v>
      </c>
      <c r="Z27" s="38" t="s">
        <v>60</v>
      </c>
      <c r="AA27" s="38" t="s">
        <v>61</v>
      </c>
      <c r="AB27" s="38" t="s">
        <v>87</v>
      </c>
      <c r="AC27" s="38" t="s">
        <v>266</v>
      </c>
      <c r="AD27" s="38" t="s">
        <v>3528</v>
      </c>
      <c r="AE27" s="37">
        <v>3.151</v>
      </c>
      <c r="AF27" s="37">
        <v>3.1999999999999997</v>
      </c>
    </row>
    <row r="28">
      <c r="A28" s="38" t="s">
        <v>254</v>
      </c>
      <c r="B28" s="37">
        <v>6.224005115902584</v>
      </c>
      <c r="C28" s="37">
        <v>6.271580611653443</v>
      </c>
      <c r="D28" s="38" t="s">
        <v>258</v>
      </c>
      <c r="E28" s="38" t="s">
        <v>269</v>
      </c>
      <c r="F28" s="38" t="s">
        <v>3529</v>
      </c>
      <c r="G28" s="38" t="s">
        <v>270</v>
      </c>
      <c r="H28" s="38" t="s">
        <v>257</v>
      </c>
      <c r="I28" s="38" t="s">
        <v>258</v>
      </c>
      <c r="J28" s="37">
        <v>3.2</v>
      </c>
      <c r="K28" s="38" t="s">
        <v>260</v>
      </c>
      <c r="L28" s="38" t="s">
        <v>261</v>
      </c>
      <c r="M28" s="37">
        <v>3.1999999999999997</v>
      </c>
      <c r="N28" s="38" t="s">
        <v>115</v>
      </c>
      <c r="O28" s="38" t="s">
        <v>116</v>
      </c>
      <c r="P28" s="38" t="s">
        <v>271</v>
      </c>
      <c r="Q28" s="38" t="s">
        <v>52</v>
      </c>
      <c r="R28" s="38" t="s">
        <v>263</v>
      </c>
      <c r="S28" s="38" t="s">
        <v>264</v>
      </c>
      <c r="T28" s="38" t="s">
        <v>55</v>
      </c>
      <c r="U28" s="38" t="s">
        <v>56</v>
      </c>
      <c r="V28" s="38" t="s">
        <v>71</v>
      </c>
      <c r="W28" s="37">
        <v>5.0E8</v>
      </c>
      <c r="X28" s="38" t="s">
        <v>85</v>
      </c>
      <c r="Y28" s="38" t="s">
        <v>265</v>
      </c>
      <c r="Z28" s="38" t="s">
        <v>60</v>
      </c>
      <c r="AA28" s="38" t="s">
        <v>61</v>
      </c>
      <c r="AB28" s="38" t="s">
        <v>87</v>
      </c>
      <c r="AC28" s="38" t="s">
        <v>266</v>
      </c>
      <c r="AD28" s="38" t="s">
        <v>3530</v>
      </c>
      <c r="AE28" s="37">
        <v>3.155</v>
      </c>
      <c r="AF28" s="37">
        <v>3.1999999999999997</v>
      </c>
    </row>
    <row r="29">
      <c r="A29" s="38" t="s">
        <v>273</v>
      </c>
      <c r="B29" s="38" t="s">
        <v>54</v>
      </c>
      <c r="C29" s="38" t="s">
        <v>54</v>
      </c>
      <c r="D29" s="38" t="s">
        <v>45</v>
      </c>
      <c r="E29" s="38" t="s">
        <v>274</v>
      </c>
      <c r="F29" s="38" t="s">
        <v>174</v>
      </c>
      <c r="G29" s="38" t="s">
        <v>275</v>
      </c>
      <c r="H29" s="38" t="s">
        <v>276</v>
      </c>
      <c r="I29" s="38" t="s">
        <v>45</v>
      </c>
      <c r="J29" s="37">
        <v>0.0</v>
      </c>
      <c r="K29" s="38" t="s">
        <v>277</v>
      </c>
      <c r="L29" s="38" t="s">
        <v>278</v>
      </c>
      <c r="M29" s="38" t="s">
        <v>54</v>
      </c>
      <c r="N29" s="38" t="s">
        <v>49</v>
      </c>
      <c r="O29" s="38" t="s">
        <v>50</v>
      </c>
      <c r="P29" s="38" t="s">
        <v>84</v>
      </c>
      <c r="Q29" s="38" t="s">
        <v>52</v>
      </c>
      <c r="R29" s="38" t="s">
        <v>53</v>
      </c>
      <c r="S29" s="38" t="s">
        <v>54</v>
      </c>
      <c r="T29" s="38" t="s">
        <v>55</v>
      </c>
      <c r="U29" s="38" t="s">
        <v>70</v>
      </c>
      <c r="V29" s="38" t="s">
        <v>71</v>
      </c>
      <c r="W29" s="37">
        <v>8.44921E8</v>
      </c>
      <c r="X29" s="38" t="s">
        <v>58</v>
      </c>
      <c r="Y29" s="38" t="s">
        <v>279</v>
      </c>
      <c r="Z29" s="38" t="s">
        <v>60</v>
      </c>
      <c r="AA29" s="38" t="s">
        <v>61</v>
      </c>
      <c r="AB29" s="38" t="s">
        <v>280</v>
      </c>
      <c r="AC29" s="38" t="s">
        <v>281</v>
      </c>
      <c r="AD29" s="38" t="s">
        <v>3531</v>
      </c>
      <c r="AE29" s="38" t="s">
        <v>54</v>
      </c>
      <c r="AF29" s="38" t="s">
        <v>54</v>
      </c>
    </row>
    <row r="30">
      <c r="A30" s="38" t="s">
        <v>273</v>
      </c>
      <c r="B30" s="38" t="s">
        <v>54</v>
      </c>
      <c r="C30" s="38" t="s">
        <v>54</v>
      </c>
      <c r="D30" s="38" t="s">
        <v>45</v>
      </c>
      <c r="E30" s="38" t="s">
        <v>284</v>
      </c>
      <c r="F30" s="38" t="s">
        <v>174</v>
      </c>
      <c r="G30" s="38" t="s">
        <v>285</v>
      </c>
      <c r="H30" s="38" t="s">
        <v>276</v>
      </c>
      <c r="I30" s="38" t="s">
        <v>45</v>
      </c>
      <c r="J30" s="37">
        <v>0.0</v>
      </c>
      <c r="K30" s="38" t="s">
        <v>277</v>
      </c>
      <c r="L30" s="38" t="s">
        <v>286</v>
      </c>
      <c r="M30" s="38" t="s">
        <v>54</v>
      </c>
      <c r="N30" s="38" t="s">
        <v>49</v>
      </c>
      <c r="O30" s="38" t="s">
        <v>50</v>
      </c>
      <c r="P30" s="38" t="s">
        <v>94</v>
      </c>
      <c r="Q30" s="38" t="s">
        <v>52</v>
      </c>
      <c r="R30" s="38" t="s">
        <v>53</v>
      </c>
      <c r="S30" s="38" t="s">
        <v>54</v>
      </c>
      <c r="T30" s="38" t="s">
        <v>55</v>
      </c>
      <c r="U30" s="38" t="s">
        <v>70</v>
      </c>
      <c r="V30" s="38" t="s">
        <v>71</v>
      </c>
      <c r="W30" s="37">
        <v>8.44921E8</v>
      </c>
      <c r="X30" s="38" t="s">
        <v>58</v>
      </c>
      <c r="Y30" s="38" t="s">
        <v>279</v>
      </c>
      <c r="Z30" s="38" t="s">
        <v>60</v>
      </c>
      <c r="AA30" s="38" t="s">
        <v>61</v>
      </c>
      <c r="AB30" s="38" t="s">
        <v>280</v>
      </c>
      <c r="AC30" s="38" t="s">
        <v>281</v>
      </c>
      <c r="AD30" s="38" t="s">
        <v>3532</v>
      </c>
      <c r="AE30" s="38" t="s">
        <v>54</v>
      </c>
      <c r="AF30" s="38" t="s">
        <v>54</v>
      </c>
    </row>
    <row r="31">
      <c r="A31" s="38" t="s">
        <v>273</v>
      </c>
      <c r="B31" s="38" t="s">
        <v>54</v>
      </c>
      <c r="C31" s="38" t="s">
        <v>54</v>
      </c>
      <c r="D31" s="38" t="s">
        <v>45</v>
      </c>
      <c r="E31" s="38" t="s">
        <v>288</v>
      </c>
      <c r="F31" s="38" t="s">
        <v>174</v>
      </c>
      <c r="G31" s="38" t="s">
        <v>289</v>
      </c>
      <c r="H31" s="38" t="s">
        <v>276</v>
      </c>
      <c r="I31" s="38" t="s">
        <v>45</v>
      </c>
      <c r="J31" s="37">
        <v>0.0</v>
      </c>
      <c r="K31" s="38" t="s">
        <v>277</v>
      </c>
      <c r="L31" s="38" t="s">
        <v>290</v>
      </c>
      <c r="M31" s="38" t="s">
        <v>54</v>
      </c>
      <c r="N31" s="38" t="s">
        <v>49</v>
      </c>
      <c r="O31" s="38" t="s">
        <v>50</v>
      </c>
      <c r="P31" s="38" t="s">
        <v>98</v>
      </c>
      <c r="Q31" s="38" t="s">
        <v>52</v>
      </c>
      <c r="R31" s="38" t="s">
        <v>53</v>
      </c>
      <c r="S31" s="38" t="s">
        <v>54</v>
      </c>
      <c r="T31" s="38" t="s">
        <v>55</v>
      </c>
      <c r="U31" s="38" t="s">
        <v>70</v>
      </c>
      <c r="V31" s="38" t="s">
        <v>71</v>
      </c>
      <c r="W31" s="37">
        <v>8.44921E8</v>
      </c>
      <c r="X31" s="38" t="s">
        <v>58</v>
      </c>
      <c r="Y31" s="38" t="s">
        <v>279</v>
      </c>
      <c r="Z31" s="38" t="s">
        <v>60</v>
      </c>
      <c r="AA31" s="38" t="s">
        <v>61</v>
      </c>
      <c r="AB31" s="38" t="s">
        <v>280</v>
      </c>
      <c r="AC31" s="38" t="s">
        <v>281</v>
      </c>
      <c r="AD31" s="38" t="s">
        <v>3533</v>
      </c>
      <c r="AE31" s="38" t="s">
        <v>54</v>
      </c>
      <c r="AF31" s="38" t="s">
        <v>54</v>
      </c>
    </row>
    <row r="32">
      <c r="A32" s="38" t="s">
        <v>291</v>
      </c>
      <c r="B32" s="37">
        <v>7.980585057588032</v>
      </c>
      <c r="C32" s="37">
        <v>8.043642502127211</v>
      </c>
      <c r="D32" s="38" t="s">
        <v>170</v>
      </c>
      <c r="E32" s="38" t="s">
        <v>292</v>
      </c>
      <c r="F32" s="38" t="s">
        <v>3534</v>
      </c>
      <c r="G32" s="38" t="s">
        <v>293</v>
      </c>
      <c r="H32" s="38" t="s">
        <v>294</v>
      </c>
      <c r="I32" s="38" t="s">
        <v>170</v>
      </c>
      <c r="J32" s="37">
        <v>5.2</v>
      </c>
      <c r="K32" s="38" t="s">
        <v>295</v>
      </c>
      <c r="L32" s="38" t="s">
        <v>296</v>
      </c>
      <c r="M32" s="37">
        <v>5.2</v>
      </c>
      <c r="N32" s="38" t="s">
        <v>115</v>
      </c>
      <c r="O32" s="38" t="s">
        <v>116</v>
      </c>
      <c r="P32" s="38" t="s">
        <v>262</v>
      </c>
      <c r="Q32" s="38" t="s">
        <v>52</v>
      </c>
      <c r="R32" s="38" t="s">
        <v>263</v>
      </c>
      <c r="S32" s="38" t="s">
        <v>297</v>
      </c>
      <c r="T32" s="38" t="s">
        <v>55</v>
      </c>
      <c r="U32" s="38" t="s">
        <v>56</v>
      </c>
      <c r="V32" s="38" t="s">
        <v>71</v>
      </c>
      <c r="W32" s="37">
        <v>6.25E8</v>
      </c>
      <c r="X32" s="38" t="s">
        <v>58</v>
      </c>
      <c r="Y32" s="38" t="s">
        <v>279</v>
      </c>
      <c r="Z32" s="38" t="s">
        <v>60</v>
      </c>
      <c r="AA32" s="38" t="s">
        <v>61</v>
      </c>
      <c r="AB32" s="38" t="s">
        <v>280</v>
      </c>
      <c r="AC32" s="38" t="s">
        <v>281</v>
      </c>
      <c r="AD32" s="38" t="s">
        <v>3535</v>
      </c>
      <c r="AE32" s="37">
        <v>5.064</v>
      </c>
      <c r="AF32" s="37">
        <v>5.2</v>
      </c>
    </row>
    <row r="33">
      <c r="A33" s="38" t="s">
        <v>291</v>
      </c>
      <c r="B33" s="37">
        <v>7.9907395081545</v>
      </c>
      <c r="C33" s="37">
        <v>8.05658488842811</v>
      </c>
      <c r="D33" s="38" t="s">
        <v>170</v>
      </c>
      <c r="E33" s="38" t="s">
        <v>300</v>
      </c>
      <c r="F33" s="38" t="s">
        <v>3536</v>
      </c>
      <c r="G33" s="38" t="s">
        <v>301</v>
      </c>
      <c r="H33" s="38" t="s">
        <v>294</v>
      </c>
      <c r="I33" s="38" t="s">
        <v>170</v>
      </c>
      <c r="J33" s="37">
        <v>5.2</v>
      </c>
      <c r="K33" s="38" t="s">
        <v>295</v>
      </c>
      <c r="L33" s="38" t="s">
        <v>296</v>
      </c>
      <c r="M33" s="37">
        <v>5.2</v>
      </c>
      <c r="N33" s="38" t="s">
        <v>115</v>
      </c>
      <c r="O33" s="38" t="s">
        <v>116</v>
      </c>
      <c r="P33" s="38" t="s">
        <v>271</v>
      </c>
      <c r="Q33" s="38" t="s">
        <v>52</v>
      </c>
      <c r="R33" s="38" t="s">
        <v>263</v>
      </c>
      <c r="S33" s="38" t="s">
        <v>297</v>
      </c>
      <c r="T33" s="38" t="s">
        <v>55</v>
      </c>
      <c r="U33" s="38" t="s">
        <v>56</v>
      </c>
      <c r="V33" s="38" t="s">
        <v>71</v>
      </c>
      <c r="W33" s="37">
        <v>6.25E8</v>
      </c>
      <c r="X33" s="38" t="s">
        <v>58</v>
      </c>
      <c r="Y33" s="38" t="s">
        <v>279</v>
      </c>
      <c r="Z33" s="38" t="s">
        <v>60</v>
      </c>
      <c r="AA33" s="38" t="s">
        <v>61</v>
      </c>
      <c r="AB33" s="38" t="s">
        <v>280</v>
      </c>
      <c r="AC33" s="38" t="s">
        <v>281</v>
      </c>
      <c r="AD33" s="38" t="s">
        <v>3537</v>
      </c>
      <c r="AE33" s="37">
        <v>5.034</v>
      </c>
      <c r="AF33" s="37">
        <v>5.2</v>
      </c>
    </row>
    <row r="34">
      <c r="A34" s="38" t="s">
        <v>303</v>
      </c>
      <c r="B34" s="38" t="s">
        <v>54</v>
      </c>
      <c r="C34" s="38" t="s">
        <v>54</v>
      </c>
      <c r="D34" s="38" t="s">
        <v>45</v>
      </c>
      <c r="E34" s="38" t="s">
        <v>304</v>
      </c>
      <c r="F34" s="38" t="s">
        <v>174</v>
      </c>
      <c r="G34" s="38" t="s">
        <v>305</v>
      </c>
      <c r="H34" s="38" t="s">
        <v>306</v>
      </c>
      <c r="I34" s="38" t="s">
        <v>45</v>
      </c>
      <c r="J34" s="37">
        <v>0.0</v>
      </c>
      <c r="K34" s="38" t="s">
        <v>307</v>
      </c>
      <c r="L34" s="38" t="s">
        <v>308</v>
      </c>
      <c r="M34" s="38" t="s">
        <v>54</v>
      </c>
      <c r="N34" s="38" t="s">
        <v>49</v>
      </c>
      <c r="O34" s="38" t="s">
        <v>50</v>
      </c>
      <c r="P34" s="38" t="s">
        <v>51</v>
      </c>
      <c r="Q34" s="38" t="s">
        <v>52</v>
      </c>
      <c r="R34" s="38" t="s">
        <v>53</v>
      </c>
      <c r="S34" s="38" t="s">
        <v>54</v>
      </c>
      <c r="T34" s="38" t="s">
        <v>55</v>
      </c>
      <c r="U34" s="38" t="s">
        <v>56</v>
      </c>
      <c r="V34" s="38" t="s">
        <v>57</v>
      </c>
      <c r="W34" s="37">
        <v>3.5982E8</v>
      </c>
      <c r="X34" s="38" t="s">
        <v>309</v>
      </c>
      <c r="Y34" s="38" t="s">
        <v>310</v>
      </c>
      <c r="Z34" s="38" t="s">
        <v>60</v>
      </c>
      <c r="AA34" s="38" t="s">
        <v>61</v>
      </c>
      <c r="AB34" s="38" t="s">
        <v>136</v>
      </c>
      <c r="AC34" s="38" t="s">
        <v>311</v>
      </c>
      <c r="AD34" s="38" t="s">
        <v>3538</v>
      </c>
      <c r="AE34" s="38" t="s">
        <v>54</v>
      </c>
      <c r="AF34" s="38" t="s">
        <v>54</v>
      </c>
    </row>
    <row r="35">
      <c r="A35" s="38" t="s">
        <v>303</v>
      </c>
      <c r="B35" s="38" t="s">
        <v>54</v>
      </c>
      <c r="C35" s="38" t="s">
        <v>54</v>
      </c>
      <c r="D35" s="38" t="s">
        <v>45</v>
      </c>
      <c r="E35" s="38" t="s">
        <v>314</v>
      </c>
      <c r="F35" s="38" t="s">
        <v>174</v>
      </c>
      <c r="G35" s="38" t="s">
        <v>315</v>
      </c>
      <c r="H35" s="38" t="s">
        <v>306</v>
      </c>
      <c r="I35" s="38" t="s">
        <v>45</v>
      </c>
      <c r="J35" s="37">
        <v>0.0</v>
      </c>
      <c r="K35" s="38" t="s">
        <v>307</v>
      </c>
      <c r="L35" s="38" t="s">
        <v>316</v>
      </c>
      <c r="M35" s="38" t="s">
        <v>54</v>
      </c>
      <c r="N35" s="38" t="s">
        <v>49</v>
      </c>
      <c r="O35" s="38" t="s">
        <v>50</v>
      </c>
      <c r="P35" s="38" t="s">
        <v>69</v>
      </c>
      <c r="Q35" s="38" t="s">
        <v>52</v>
      </c>
      <c r="R35" s="38" t="s">
        <v>53</v>
      </c>
      <c r="S35" s="38" t="s">
        <v>54</v>
      </c>
      <c r="T35" s="38" t="s">
        <v>55</v>
      </c>
      <c r="U35" s="38" t="s">
        <v>70</v>
      </c>
      <c r="V35" s="38" t="s">
        <v>71</v>
      </c>
      <c r="W35" s="37">
        <v>3.5982E8</v>
      </c>
      <c r="X35" s="38" t="s">
        <v>309</v>
      </c>
      <c r="Y35" s="38" t="s">
        <v>310</v>
      </c>
      <c r="Z35" s="38" t="s">
        <v>60</v>
      </c>
      <c r="AA35" s="38" t="s">
        <v>61</v>
      </c>
      <c r="AB35" s="38" t="s">
        <v>136</v>
      </c>
      <c r="AC35" s="38" t="s">
        <v>311</v>
      </c>
      <c r="AD35" s="38" t="s">
        <v>3539</v>
      </c>
      <c r="AE35" s="38" t="s">
        <v>54</v>
      </c>
      <c r="AF35" s="38" t="s">
        <v>54</v>
      </c>
    </row>
    <row r="36">
      <c r="A36" s="38" t="s">
        <v>303</v>
      </c>
      <c r="B36" s="38" t="s">
        <v>54</v>
      </c>
      <c r="C36" s="38" t="s">
        <v>54</v>
      </c>
      <c r="D36" s="38" t="s">
        <v>45</v>
      </c>
      <c r="E36" s="38" t="s">
        <v>318</v>
      </c>
      <c r="F36" s="38" t="s">
        <v>174</v>
      </c>
      <c r="G36" s="38" t="s">
        <v>319</v>
      </c>
      <c r="H36" s="38" t="s">
        <v>306</v>
      </c>
      <c r="I36" s="38" t="s">
        <v>45</v>
      </c>
      <c r="J36" s="37">
        <v>0.0</v>
      </c>
      <c r="K36" s="38" t="s">
        <v>307</v>
      </c>
      <c r="L36" s="38" t="s">
        <v>320</v>
      </c>
      <c r="M36" s="38" t="s">
        <v>54</v>
      </c>
      <c r="N36" s="38" t="s">
        <v>49</v>
      </c>
      <c r="O36" s="38" t="s">
        <v>50</v>
      </c>
      <c r="P36" s="38" t="s">
        <v>76</v>
      </c>
      <c r="Q36" s="38" t="s">
        <v>52</v>
      </c>
      <c r="R36" s="38" t="s">
        <v>53</v>
      </c>
      <c r="S36" s="38" t="s">
        <v>54</v>
      </c>
      <c r="T36" s="38" t="s">
        <v>55</v>
      </c>
      <c r="U36" s="38" t="s">
        <v>70</v>
      </c>
      <c r="V36" s="38" t="s">
        <v>71</v>
      </c>
      <c r="W36" s="37">
        <v>3.5982E8</v>
      </c>
      <c r="X36" s="38" t="s">
        <v>309</v>
      </c>
      <c r="Y36" s="38" t="s">
        <v>310</v>
      </c>
      <c r="Z36" s="38" t="s">
        <v>60</v>
      </c>
      <c r="AA36" s="38" t="s">
        <v>61</v>
      </c>
      <c r="AB36" s="38" t="s">
        <v>136</v>
      </c>
      <c r="AC36" s="38" t="s">
        <v>311</v>
      </c>
      <c r="AD36" s="38" t="s">
        <v>3540</v>
      </c>
      <c r="AE36" s="38" t="s">
        <v>54</v>
      </c>
      <c r="AF36" s="38" t="s">
        <v>54</v>
      </c>
    </row>
    <row r="37">
      <c r="A37" s="38" t="s">
        <v>303</v>
      </c>
      <c r="B37" s="38" t="s">
        <v>54</v>
      </c>
      <c r="C37" s="38" t="s">
        <v>54</v>
      </c>
      <c r="D37" s="38" t="s">
        <v>45</v>
      </c>
      <c r="E37" s="38" t="s">
        <v>321</v>
      </c>
      <c r="F37" s="38" t="s">
        <v>174</v>
      </c>
      <c r="G37" s="38" t="s">
        <v>322</v>
      </c>
      <c r="H37" s="38" t="s">
        <v>306</v>
      </c>
      <c r="I37" s="38" t="s">
        <v>45</v>
      </c>
      <c r="J37" s="37">
        <v>0.0</v>
      </c>
      <c r="K37" s="38" t="s">
        <v>307</v>
      </c>
      <c r="L37" s="38" t="s">
        <v>323</v>
      </c>
      <c r="M37" s="38" t="s">
        <v>54</v>
      </c>
      <c r="N37" s="38" t="s">
        <v>49</v>
      </c>
      <c r="O37" s="38" t="s">
        <v>50</v>
      </c>
      <c r="P37" s="38" t="s">
        <v>145</v>
      </c>
      <c r="Q37" s="38" t="s">
        <v>52</v>
      </c>
      <c r="R37" s="38" t="s">
        <v>53</v>
      </c>
      <c r="S37" s="38" t="s">
        <v>54</v>
      </c>
      <c r="T37" s="38" t="s">
        <v>55</v>
      </c>
      <c r="U37" s="38" t="s">
        <v>70</v>
      </c>
      <c r="V37" s="38" t="s">
        <v>71</v>
      </c>
      <c r="W37" s="37">
        <v>3.5982E8</v>
      </c>
      <c r="X37" s="38" t="s">
        <v>309</v>
      </c>
      <c r="Y37" s="38" t="s">
        <v>310</v>
      </c>
      <c r="Z37" s="38" t="s">
        <v>60</v>
      </c>
      <c r="AA37" s="38" t="s">
        <v>61</v>
      </c>
      <c r="AB37" s="38" t="s">
        <v>136</v>
      </c>
      <c r="AC37" s="38" t="s">
        <v>311</v>
      </c>
      <c r="AD37" s="38" t="s">
        <v>3541</v>
      </c>
      <c r="AE37" s="38" t="s">
        <v>54</v>
      </c>
      <c r="AF37" s="38" t="s">
        <v>54</v>
      </c>
    </row>
    <row r="38">
      <c r="A38" s="38" t="s">
        <v>324</v>
      </c>
      <c r="B38" s="37">
        <v>8.012496145950362</v>
      </c>
      <c r="C38" s="37">
        <v>8.075434597991048</v>
      </c>
      <c r="D38" s="38" t="s">
        <v>170</v>
      </c>
      <c r="E38" s="38" t="s">
        <v>325</v>
      </c>
      <c r="F38" s="38" t="s">
        <v>3542</v>
      </c>
      <c r="G38" s="38" t="s">
        <v>326</v>
      </c>
      <c r="H38" s="38" t="s">
        <v>327</v>
      </c>
      <c r="I38" s="38" t="s">
        <v>170</v>
      </c>
      <c r="J38" s="37">
        <v>5.25</v>
      </c>
      <c r="K38" s="38" t="s">
        <v>328</v>
      </c>
      <c r="L38" s="38" t="s">
        <v>329</v>
      </c>
      <c r="M38" s="37">
        <v>5.25</v>
      </c>
      <c r="N38" s="38" t="s">
        <v>115</v>
      </c>
      <c r="O38" s="38" t="s">
        <v>116</v>
      </c>
      <c r="P38" s="38" t="s">
        <v>262</v>
      </c>
      <c r="Q38" s="38" t="s">
        <v>52</v>
      </c>
      <c r="R38" s="38" t="s">
        <v>263</v>
      </c>
      <c r="S38" s="38" t="s">
        <v>297</v>
      </c>
      <c r="T38" s="38" t="s">
        <v>55</v>
      </c>
      <c r="U38" s="38" t="s">
        <v>56</v>
      </c>
      <c r="V38" s="38" t="s">
        <v>71</v>
      </c>
      <c r="W38" s="37">
        <v>8.0E8</v>
      </c>
      <c r="X38" s="38" t="s">
        <v>134</v>
      </c>
      <c r="Y38" s="38" t="s">
        <v>330</v>
      </c>
      <c r="Z38" s="38" t="s">
        <v>60</v>
      </c>
      <c r="AA38" s="38" t="s">
        <v>61</v>
      </c>
      <c r="AB38" s="38" t="s">
        <v>280</v>
      </c>
      <c r="AC38" s="38" t="s">
        <v>281</v>
      </c>
      <c r="AD38" s="38" t="s">
        <v>3543</v>
      </c>
      <c r="AE38" s="37">
        <v>5.212</v>
      </c>
      <c r="AF38" s="37">
        <v>5.25</v>
      </c>
    </row>
    <row r="39">
      <c r="A39" s="38" t="s">
        <v>324</v>
      </c>
      <c r="B39" s="37">
        <v>7.996405592563297</v>
      </c>
      <c r="C39" s="37">
        <v>8.078162610646835</v>
      </c>
      <c r="D39" s="38" t="s">
        <v>170</v>
      </c>
      <c r="E39" s="38" t="s">
        <v>333</v>
      </c>
      <c r="F39" s="38" t="s">
        <v>3544</v>
      </c>
      <c r="G39" s="38" t="s">
        <v>334</v>
      </c>
      <c r="H39" s="38" t="s">
        <v>327</v>
      </c>
      <c r="I39" s="38" t="s">
        <v>170</v>
      </c>
      <c r="J39" s="37">
        <v>5.25</v>
      </c>
      <c r="K39" s="38" t="s">
        <v>328</v>
      </c>
      <c r="L39" s="38" t="s">
        <v>329</v>
      </c>
      <c r="M39" s="37">
        <v>5.25</v>
      </c>
      <c r="N39" s="38" t="s">
        <v>115</v>
      </c>
      <c r="O39" s="38" t="s">
        <v>116</v>
      </c>
      <c r="P39" s="38" t="s">
        <v>271</v>
      </c>
      <c r="Q39" s="38" t="s">
        <v>52</v>
      </c>
      <c r="R39" s="38" t="s">
        <v>263</v>
      </c>
      <c r="S39" s="38" t="s">
        <v>297</v>
      </c>
      <c r="T39" s="38" t="s">
        <v>55</v>
      </c>
      <c r="U39" s="38" t="s">
        <v>56</v>
      </c>
      <c r="V39" s="38" t="s">
        <v>71</v>
      </c>
      <c r="W39" s="37">
        <v>8.0E8</v>
      </c>
      <c r="X39" s="38" t="s">
        <v>134</v>
      </c>
      <c r="Y39" s="38" t="s">
        <v>330</v>
      </c>
      <c r="Z39" s="38" t="s">
        <v>60</v>
      </c>
      <c r="AA39" s="38" t="s">
        <v>61</v>
      </c>
      <c r="AB39" s="38" t="s">
        <v>280</v>
      </c>
      <c r="AC39" s="38" t="s">
        <v>281</v>
      </c>
      <c r="AD39" s="38" t="s">
        <v>3545</v>
      </c>
      <c r="AE39" s="37">
        <v>5.187</v>
      </c>
      <c r="AF39" s="37">
        <v>5.25</v>
      </c>
    </row>
    <row r="40">
      <c r="A40" s="38" t="s">
        <v>336</v>
      </c>
      <c r="B40" s="37">
        <v>8.828105466507983</v>
      </c>
      <c r="C40" s="37">
        <v>8.88388116551319</v>
      </c>
      <c r="D40" s="38" t="s">
        <v>45</v>
      </c>
      <c r="E40" s="38" t="s">
        <v>337</v>
      </c>
      <c r="F40" s="38" t="s">
        <v>3546</v>
      </c>
      <c r="G40" s="38" t="s">
        <v>338</v>
      </c>
      <c r="H40" s="38" t="s">
        <v>339</v>
      </c>
      <c r="I40" s="38" t="s">
        <v>45</v>
      </c>
      <c r="J40" s="37">
        <v>4.0</v>
      </c>
      <c r="K40" s="38" t="s">
        <v>340</v>
      </c>
      <c r="L40" s="38" t="s">
        <v>174</v>
      </c>
      <c r="M40" s="37">
        <v>4.0</v>
      </c>
      <c r="N40" s="38" t="s">
        <v>341</v>
      </c>
      <c r="O40" s="38" t="s">
        <v>116</v>
      </c>
      <c r="P40" s="38" t="s">
        <v>174</v>
      </c>
      <c r="Q40" s="38" t="s">
        <v>342</v>
      </c>
      <c r="R40" s="38" t="s">
        <v>53</v>
      </c>
      <c r="S40" s="38" t="s">
        <v>54</v>
      </c>
      <c r="T40" s="38" t="s">
        <v>55</v>
      </c>
      <c r="U40" s="38" t="s">
        <v>343</v>
      </c>
      <c r="V40" s="38" t="s">
        <v>57</v>
      </c>
      <c r="W40" s="37">
        <v>1.82193E8</v>
      </c>
      <c r="X40" s="38" t="s">
        <v>58</v>
      </c>
      <c r="Y40" s="38" t="s">
        <v>59</v>
      </c>
      <c r="Z40" s="38" t="s">
        <v>60</v>
      </c>
      <c r="AA40" s="38" t="s">
        <v>61</v>
      </c>
      <c r="AB40" s="38" t="s">
        <v>177</v>
      </c>
      <c r="AC40" s="38" t="s">
        <v>192</v>
      </c>
      <c r="AD40" s="38" t="s">
        <v>3547</v>
      </c>
      <c r="AE40" s="37">
        <v>8.437</v>
      </c>
      <c r="AF40" s="37">
        <v>4.0</v>
      </c>
    </row>
    <row r="41">
      <c r="A41" s="38" t="s">
        <v>345</v>
      </c>
      <c r="B41" s="37">
        <v>6.301325442303812</v>
      </c>
      <c r="C41" s="37">
        <v>6.363904580189362</v>
      </c>
      <c r="D41" s="38" t="s">
        <v>185</v>
      </c>
      <c r="E41" s="38" t="s">
        <v>346</v>
      </c>
      <c r="F41" s="38" t="s">
        <v>3548</v>
      </c>
      <c r="G41" s="38" t="s">
        <v>347</v>
      </c>
      <c r="H41" s="38" t="s">
        <v>348</v>
      </c>
      <c r="I41" s="38" t="s">
        <v>185</v>
      </c>
      <c r="J41" s="37">
        <v>3.75</v>
      </c>
      <c r="K41" s="38" t="s">
        <v>349</v>
      </c>
      <c r="L41" s="38" t="s">
        <v>350</v>
      </c>
      <c r="M41" s="37">
        <v>3.75</v>
      </c>
      <c r="N41" s="38" t="s">
        <v>115</v>
      </c>
      <c r="O41" s="38" t="s">
        <v>116</v>
      </c>
      <c r="P41" s="38" t="s">
        <v>262</v>
      </c>
      <c r="Q41" s="38" t="s">
        <v>52</v>
      </c>
      <c r="R41" s="38" t="s">
        <v>263</v>
      </c>
      <c r="S41" s="38" t="s">
        <v>351</v>
      </c>
      <c r="T41" s="38" t="s">
        <v>55</v>
      </c>
      <c r="U41" s="38" t="s">
        <v>56</v>
      </c>
      <c r="V41" s="38" t="s">
        <v>71</v>
      </c>
      <c r="W41" s="37">
        <v>5.0E8</v>
      </c>
      <c r="X41" s="38" t="s">
        <v>85</v>
      </c>
      <c r="Y41" s="38" t="s">
        <v>86</v>
      </c>
      <c r="Z41" s="38" t="s">
        <v>60</v>
      </c>
      <c r="AA41" s="38" t="s">
        <v>61</v>
      </c>
      <c r="AB41" s="38" t="s">
        <v>87</v>
      </c>
      <c r="AC41" s="38" t="s">
        <v>88</v>
      </c>
      <c r="AD41" s="38" t="s">
        <v>3549</v>
      </c>
      <c r="AE41" s="37">
        <v>3.686</v>
      </c>
      <c r="AF41" s="37">
        <v>3.75</v>
      </c>
    </row>
    <row r="42">
      <c r="A42" s="38" t="s">
        <v>345</v>
      </c>
      <c r="B42" s="37">
        <v>6.2350931747864875</v>
      </c>
      <c r="C42" s="37">
        <v>6.295810915374589</v>
      </c>
      <c r="D42" s="38" t="s">
        <v>185</v>
      </c>
      <c r="E42" s="38" t="s">
        <v>354</v>
      </c>
      <c r="F42" s="38" t="s">
        <v>3550</v>
      </c>
      <c r="G42" s="38" t="s">
        <v>355</v>
      </c>
      <c r="H42" s="38" t="s">
        <v>348</v>
      </c>
      <c r="I42" s="38" t="s">
        <v>185</v>
      </c>
      <c r="J42" s="37">
        <v>3.75</v>
      </c>
      <c r="K42" s="38" t="s">
        <v>349</v>
      </c>
      <c r="L42" s="38" t="s">
        <v>350</v>
      </c>
      <c r="M42" s="37">
        <v>3.75</v>
      </c>
      <c r="N42" s="38" t="s">
        <v>115</v>
      </c>
      <c r="O42" s="38" t="s">
        <v>116</v>
      </c>
      <c r="P42" s="38" t="s">
        <v>271</v>
      </c>
      <c r="Q42" s="38" t="s">
        <v>52</v>
      </c>
      <c r="R42" s="38" t="s">
        <v>263</v>
      </c>
      <c r="S42" s="38" t="s">
        <v>351</v>
      </c>
      <c r="T42" s="38" t="s">
        <v>55</v>
      </c>
      <c r="U42" s="38" t="s">
        <v>56</v>
      </c>
      <c r="V42" s="38" t="s">
        <v>71</v>
      </c>
      <c r="W42" s="37">
        <v>5.0E8</v>
      </c>
      <c r="X42" s="38" t="s">
        <v>85</v>
      </c>
      <c r="Y42" s="38" t="s">
        <v>86</v>
      </c>
      <c r="Z42" s="38" t="s">
        <v>60</v>
      </c>
      <c r="AA42" s="38" t="s">
        <v>61</v>
      </c>
      <c r="AB42" s="38" t="s">
        <v>87</v>
      </c>
      <c r="AC42" s="38" t="s">
        <v>88</v>
      </c>
      <c r="AD42" s="38" t="s">
        <v>3551</v>
      </c>
      <c r="AE42" s="37">
        <v>3.716</v>
      </c>
      <c r="AF42" s="37">
        <v>3.75</v>
      </c>
    </row>
    <row r="43">
      <c r="A43" s="38" t="s">
        <v>357</v>
      </c>
      <c r="B43" s="37">
        <v>5.216932492932342</v>
      </c>
      <c r="C43" s="37">
        <v>5.624519515159486</v>
      </c>
      <c r="D43" s="38" t="s">
        <v>223</v>
      </c>
      <c r="E43" s="38" t="s">
        <v>358</v>
      </c>
      <c r="F43" s="38" t="s">
        <v>3552</v>
      </c>
      <c r="G43" s="38" t="s">
        <v>359</v>
      </c>
      <c r="H43" s="38" t="s">
        <v>222</v>
      </c>
      <c r="I43" s="38" t="s">
        <v>223</v>
      </c>
      <c r="J43" s="37">
        <v>4.0</v>
      </c>
      <c r="K43" s="38" t="s">
        <v>360</v>
      </c>
      <c r="L43" s="38" t="s">
        <v>361</v>
      </c>
      <c r="M43" s="38" t="s">
        <v>54</v>
      </c>
      <c r="N43" s="38" t="s">
        <v>49</v>
      </c>
      <c r="O43" s="38" t="s">
        <v>50</v>
      </c>
      <c r="P43" s="38" t="s">
        <v>226</v>
      </c>
      <c r="Q43" s="38" t="s">
        <v>52</v>
      </c>
      <c r="R43" s="38" t="s">
        <v>53</v>
      </c>
      <c r="S43" s="38" t="s">
        <v>54</v>
      </c>
      <c r="T43" s="38" t="s">
        <v>55</v>
      </c>
      <c r="U43" s="38" t="s">
        <v>56</v>
      </c>
      <c r="V43" s="38" t="s">
        <v>57</v>
      </c>
      <c r="W43" s="37">
        <v>2.320375E7</v>
      </c>
      <c r="X43" s="38" t="s">
        <v>134</v>
      </c>
      <c r="Y43" s="38" t="s">
        <v>227</v>
      </c>
      <c r="Z43" s="38" t="s">
        <v>60</v>
      </c>
      <c r="AA43" s="38" t="s">
        <v>61</v>
      </c>
      <c r="AB43" s="38" t="s">
        <v>228</v>
      </c>
      <c r="AC43" s="38" t="s">
        <v>229</v>
      </c>
      <c r="AD43" s="38" t="s">
        <v>3553</v>
      </c>
      <c r="AE43" s="38" t="s">
        <v>54</v>
      </c>
      <c r="AF43" s="38" t="s">
        <v>54</v>
      </c>
    </row>
    <row r="44">
      <c r="A44" s="38" t="s">
        <v>363</v>
      </c>
      <c r="B44" s="37">
        <v>2.46775648343871</v>
      </c>
      <c r="C44" s="37">
        <v>2.546266718486316</v>
      </c>
      <c r="D44" s="38" t="s">
        <v>367</v>
      </c>
      <c r="E44" s="38" t="s">
        <v>364</v>
      </c>
      <c r="F44" s="38" t="s">
        <v>3554</v>
      </c>
      <c r="G44" s="38" t="s">
        <v>365</v>
      </c>
      <c r="H44" s="38" t="s">
        <v>366</v>
      </c>
      <c r="I44" s="38" t="s">
        <v>367</v>
      </c>
      <c r="J44" s="37">
        <v>0.25</v>
      </c>
      <c r="K44" s="38" t="s">
        <v>360</v>
      </c>
      <c r="L44" s="38" t="s">
        <v>369</v>
      </c>
      <c r="M44" s="38" t="s">
        <v>54</v>
      </c>
      <c r="N44" s="38" t="s">
        <v>115</v>
      </c>
      <c r="O44" s="38" t="s">
        <v>116</v>
      </c>
      <c r="P44" s="38" t="s">
        <v>226</v>
      </c>
      <c r="Q44" s="38" t="s">
        <v>52</v>
      </c>
      <c r="R44" s="38" t="s">
        <v>53</v>
      </c>
      <c r="S44" s="38" t="s">
        <v>190</v>
      </c>
      <c r="T44" s="38" t="s">
        <v>55</v>
      </c>
      <c r="U44" s="38" t="s">
        <v>56</v>
      </c>
      <c r="V44" s="38" t="s">
        <v>57</v>
      </c>
      <c r="W44" s="37">
        <v>6.10625E8</v>
      </c>
      <c r="X44" s="38" t="s">
        <v>134</v>
      </c>
      <c r="Y44" s="38" t="s">
        <v>330</v>
      </c>
      <c r="Z44" s="38" t="s">
        <v>60</v>
      </c>
      <c r="AA44" s="38" t="s">
        <v>61</v>
      </c>
      <c r="AB44" s="38" t="s">
        <v>136</v>
      </c>
      <c r="AC44" s="38" t="s">
        <v>137</v>
      </c>
      <c r="AD44" s="38" t="s">
        <v>3555</v>
      </c>
      <c r="AE44" s="37">
        <v>0.469</v>
      </c>
      <c r="AF44" s="37">
        <v>0.469</v>
      </c>
    </row>
    <row r="45">
      <c r="A45" s="38" t="s">
        <v>372</v>
      </c>
      <c r="B45" s="38" t="s">
        <v>54</v>
      </c>
      <c r="C45" s="38" t="s">
        <v>54</v>
      </c>
      <c r="D45" s="38" t="s">
        <v>45</v>
      </c>
      <c r="E45" s="38" t="s">
        <v>373</v>
      </c>
      <c r="F45" s="38" t="s">
        <v>174</v>
      </c>
      <c r="G45" s="38" t="s">
        <v>374</v>
      </c>
      <c r="H45" s="38" t="s">
        <v>375</v>
      </c>
      <c r="I45" s="38" t="s">
        <v>45</v>
      </c>
      <c r="J45" s="37">
        <v>0.0</v>
      </c>
      <c r="K45" s="38" t="s">
        <v>376</v>
      </c>
      <c r="L45" s="38" t="s">
        <v>377</v>
      </c>
      <c r="M45" s="38" t="s">
        <v>54</v>
      </c>
      <c r="N45" s="38" t="s">
        <v>49</v>
      </c>
      <c r="O45" s="38" t="s">
        <v>50</v>
      </c>
      <c r="P45" s="38" t="s">
        <v>51</v>
      </c>
      <c r="Q45" s="38" t="s">
        <v>52</v>
      </c>
      <c r="R45" s="38" t="s">
        <v>53</v>
      </c>
      <c r="S45" s="38" t="s">
        <v>54</v>
      </c>
      <c r="T45" s="38" t="s">
        <v>55</v>
      </c>
      <c r="U45" s="38" t="s">
        <v>70</v>
      </c>
      <c r="V45" s="38" t="s">
        <v>71</v>
      </c>
      <c r="W45" s="37">
        <v>4.7E8</v>
      </c>
      <c r="X45" s="38" t="s">
        <v>378</v>
      </c>
      <c r="Y45" s="38" t="s">
        <v>379</v>
      </c>
      <c r="Z45" s="38" t="s">
        <v>60</v>
      </c>
      <c r="AA45" s="38" t="s">
        <v>61</v>
      </c>
      <c r="AB45" s="38" t="s">
        <v>378</v>
      </c>
      <c r="AC45" s="38" t="s">
        <v>378</v>
      </c>
      <c r="AD45" s="38" t="s">
        <v>3556</v>
      </c>
      <c r="AE45" s="38" t="s">
        <v>54</v>
      </c>
      <c r="AF45" s="38" t="s">
        <v>54</v>
      </c>
    </row>
    <row r="46">
      <c r="A46" s="38" t="s">
        <v>372</v>
      </c>
      <c r="B46" s="38" t="s">
        <v>54</v>
      </c>
      <c r="C46" s="38" t="s">
        <v>54</v>
      </c>
      <c r="D46" s="38" t="s">
        <v>45</v>
      </c>
      <c r="E46" s="38" t="s">
        <v>382</v>
      </c>
      <c r="F46" s="38" t="s">
        <v>174</v>
      </c>
      <c r="G46" s="38" t="s">
        <v>383</v>
      </c>
      <c r="H46" s="38" t="s">
        <v>375</v>
      </c>
      <c r="I46" s="38" t="s">
        <v>45</v>
      </c>
      <c r="J46" s="37">
        <v>0.0</v>
      </c>
      <c r="K46" s="38" t="s">
        <v>376</v>
      </c>
      <c r="L46" s="38" t="s">
        <v>384</v>
      </c>
      <c r="M46" s="38" t="s">
        <v>54</v>
      </c>
      <c r="N46" s="38" t="s">
        <v>49</v>
      </c>
      <c r="O46" s="38" t="s">
        <v>50</v>
      </c>
      <c r="P46" s="38" t="s">
        <v>69</v>
      </c>
      <c r="Q46" s="38" t="s">
        <v>52</v>
      </c>
      <c r="R46" s="38" t="s">
        <v>53</v>
      </c>
      <c r="S46" s="38" t="s">
        <v>54</v>
      </c>
      <c r="T46" s="38" t="s">
        <v>55</v>
      </c>
      <c r="U46" s="38" t="s">
        <v>70</v>
      </c>
      <c r="V46" s="38" t="s">
        <v>71</v>
      </c>
      <c r="W46" s="37">
        <v>4.1125E8</v>
      </c>
      <c r="X46" s="38" t="s">
        <v>378</v>
      </c>
      <c r="Y46" s="38" t="s">
        <v>379</v>
      </c>
      <c r="Z46" s="38" t="s">
        <v>60</v>
      </c>
      <c r="AA46" s="38" t="s">
        <v>61</v>
      </c>
      <c r="AB46" s="38" t="s">
        <v>378</v>
      </c>
      <c r="AC46" s="38" t="s">
        <v>378</v>
      </c>
      <c r="AD46" s="38" t="s">
        <v>3557</v>
      </c>
      <c r="AE46" s="38" t="s">
        <v>54</v>
      </c>
      <c r="AF46" s="38" t="s">
        <v>54</v>
      </c>
    </row>
    <row r="47">
      <c r="A47" s="38" t="s">
        <v>372</v>
      </c>
      <c r="B47" s="38" t="s">
        <v>54</v>
      </c>
      <c r="C47" s="38" t="s">
        <v>54</v>
      </c>
      <c r="D47" s="38" t="s">
        <v>45</v>
      </c>
      <c r="E47" s="38" t="s">
        <v>385</v>
      </c>
      <c r="F47" s="38" t="s">
        <v>174</v>
      </c>
      <c r="G47" s="38" t="s">
        <v>386</v>
      </c>
      <c r="H47" s="38" t="s">
        <v>375</v>
      </c>
      <c r="I47" s="38" t="s">
        <v>45</v>
      </c>
      <c r="J47" s="37">
        <v>0.0</v>
      </c>
      <c r="K47" s="38" t="s">
        <v>376</v>
      </c>
      <c r="L47" s="38" t="s">
        <v>387</v>
      </c>
      <c r="M47" s="38" t="s">
        <v>54</v>
      </c>
      <c r="N47" s="38" t="s">
        <v>49</v>
      </c>
      <c r="O47" s="38" t="s">
        <v>50</v>
      </c>
      <c r="P47" s="38" t="s">
        <v>76</v>
      </c>
      <c r="Q47" s="38" t="s">
        <v>52</v>
      </c>
      <c r="R47" s="38" t="s">
        <v>53</v>
      </c>
      <c r="S47" s="38" t="s">
        <v>54</v>
      </c>
      <c r="T47" s="38" t="s">
        <v>55</v>
      </c>
      <c r="U47" s="38" t="s">
        <v>70</v>
      </c>
      <c r="V47" s="38" t="s">
        <v>71</v>
      </c>
      <c r="W47" s="37">
        <v>4.1125E8</v>
      </c>
      <c r="X47" s="38" t="s">
        <v>378</v>
      </c>
      <c r="Y47" s="38" t="s">
        <v>379</v>
      </c>
      <c r="Z47" s="38" t="s">
        <v>60</v>
      </c>
      <c r="AA47" s="38" t="s">
        <v>61</v>
      </c>
      <c r="AB47" s="38" t="s">
        <v>378</v>
      </c>
      <c r="AC47" s="38" t="s">
        <v>378</v>
      </c>
      <c r="AD47" s="38" t="s">
        <v>3558</v>
      </c>
      <c r="AE47" s="38" t="s">
        <v>54</v>
      </c>
      <c r="AF47" s="38" t="s">
        <v>54</v>
      </c>
    </row>
    <row r="48">
      <c r="A48" s="38" t="s">
        <v>372</v>
      </c>
      <c r="B48" s="38" t="s">
        <v>54</v>
      </c>
      <c r="C48" s="38" t="s">
        <v>54</v>
      </c>
      <c r="D48" s="38" t="s">
        <v>45</v>
      </c>
      <c r="E48" s="38" t="s">
        <v>389</v>
      </c>
      <c r="F48" s="38" t="s">
        <v>174</v>
      </c>
      <c r="G48" s="38" t="s">
        <v>390</v>
      </c>
      <c r="H48" s="38" t="s">
        <v>375</v>
      </c>
      <c r="I48" s="38" t="s">
        <v>45</v>
      </c>
      <c r="J48" s="37">
        <v>0.0</v>
      </c>
      <c r="K48" s="38" t="s">
        <v>376</v>
      </c>
      <c r="L48" s="38" t="s">
        <v>387</v>
      </c>
      <c r="M48" s="38" t="s">
        <v>54</v>
      </c>
      <c r="N48" s="38" t="s">
        <v>49</v>
      </c>
      <c r="O48" s="38" t="s">
        <v>50</v>
      </c>
      <c r="P48" s="38" t="s">
        <v>391</v>
      </c>
      <c r="Q48" s="38" t="s">
        <v>52</v>
      </c>
      <c r="R48" s="38" t="s">
        <v>263</v>
      </c>
      <c r="S48" s="38" t="s">
        <v>54</v>
      </c>
      <c r="T48" s="38" t="s">
        <v>55</v>
      </c>
      <c r="U48" s="38" t="s">
        <v>70</v>
      </c>
      <c r="V48" s="38" t="s">
        <v>392</v>
      </c>
      <c r="W48" s="37">
        <v>5.9E7</v>
      </c>
      <c r="X48" s="38" t="s">
        <v>378</v>
      </c>
      <c r="Y48" s="38" t="s">
        <v>379</v>
      </c>
      <c r="Z48" s="38" t="s">
        <v>60</v>
      </c>
      <c r="AA48" s="38" t="s">
        <v>61</v>
      </c>
      <c r="AB48" s="38" t="s">
        <v>378</v>
      </c>
      <c r="AC48" s="38" t="s">
        <v>378</v>
      </c>
      <c r="AD48" s="38" t="s">
        <v>3559</v>
      </c>
      <c r="AE48" s="38" t="s">
        <v>54</v>
      </c>
      <c r="AF48" s="38" t="s">
        <v>54</v>
      </c>
    </row>
    <row r="49">
      <c r="A49" s="38" t="s">
        <v>372</v>
      </c>
      <c r="B49" s="38" t="s">
        <v>54</v>
      </c>
      <c r="C49" s="38" t="s">
        <v>54</v>
      </c>
      <c r="D49" s="38" t="s">
        <v>45</v>
      </c>
      <c r="E49" s="38" t="s">
        <v>394</v>
      </c>
      <c r="F49" s="38" t="s">
        <v>174</v>
      </c>
      <c r="G49" s="38" t="s">
        <v>395</v>
      </c>
      <c r="H49" s="38" t="s">
        <v>375</v>
      </c>
      <c r="I49" s="38" t="s">
        <v>45</v>
      </c>
      <c r="J49" s="37">
        <v>0.0</v>
      </c>
      <c r="K49" s="38" t="s">
        <v>376</v>
      </c>
      <c r="L49" s="38" t="s">
        <v>396</v>
      </c>
      <c r="M49" s="38" t="s">
        <v>54</v>
      </c>
      <c r="N49" s="38" t="s">
        <v>49</v>
      </c>
      <c r="O49" s="38" t="s">
        <v>50</v>
      </c>
      <c r="P49" s="38" t="s">
        <v>145</v>
      </c>
      <c r="Q49" s="38" t="s">
        <v>52</v>
      </c>
      <c r="R49" s="38" t="s">
        <v>53</v>
      </c>
      <c r="S49" s="38" t="s">
        <v>54</v>
      </c>
      <c r="T49" s="38" t="s">
        <v>55</v>
      </c>
      <c r="U49" s="38" t="s">
        <v>70</v>
      </c>
      <c r="V49" s="38" t="s">
        <v>71</v>
      </c>
      <c r="W49" s="37">
        <v>4.1125E8</v>
      </c>
      <c r="X49" s="38" t="s">
        <v>378</v>
      </c>
      <c r="Y49" s="38" t="s">
        <v>379</v>
      </c>
      <c r="Z49" s="38" t="s">
        <v>60</v>
      </c>
      <c r="AA49" s="38" t="s">
        <v>61</v>
      </c>
      <c r="AB49" s="38" t="s">
        <v>378</v>
      </c>
      <c r="AC49" s="38" t="s">
        <v>378</v>
      </c>
      <c r="AD49" s="38" t="s">
        <v>3560</v>
      </c>
      <c r="AE49" s="38" t="s">
        <v>54</v>
      </c>
      <c r="AF49" s="38" t="s">
        <v>54</v>
      </c>
    </row>
    <row r="50">
      <c r="A50" s="38" t="s">
        <v>273</v>
      </c>
      <c r="B50" s="38" t="s">
        <v>54</v>
      </c>
      <c r="C50" s="38" t="s">
        <v>54</v>
      </c>
      <c r="D50" s="38" t="s">
        <v>45</v>
      </c>
      <c r="E50" s="38" t="s">
        <v>397</v>
      </c>
      <c r="F50" s="38" t="s">
        <v>174</v>
      </c>
      <c r="G50" s="38" t="s">
        <v>398</v>
      </c>
      <c r="H50" s="38" t="s">
        <v>276</v>
      </c>
      <c r="I50" s="38" t="s">
        <v>45</v>
      </c>
      <c r="J50" s="37">
        <v>0.0</v>
      </c>
      <c r="K50" s="38" t="s">
        <v>277</v>
      </c>
      <c r="L50" s="38" t="s">
        <v>278</v>
      </c>
      <c r="M50" s="38" t="s">
        <v>54</v>
      </c>
      <c r="N50" s="38" t="s">
        <v>49</v>
      </c>
      <c r="O50" s="38" t="s">
        <v>50</v>
      </c>
      <c r="P50" s="38" t="s">
        <v>101</v>
      </c>
      <c r="Q50" s="38" t="s">
        <v>52</v>
      </c>
      <c r="R50" s="38" t="s">
        <v>53</v>
      </c>
      <c r="S50" s="38" t="s">
        <v>54</v>
      </c>
      <c r="T50" s="38" t="s">
        <v>55</v>
      </c>
      <c r="U50" s="38" t="s">
        <v>56</v>
      </c>
      <c r="V50" s="38" t="s">
        <v>57</v>
      </c>
      <c r="W50" s="37">
        <v>8.44921E8</v>
      </c>
      <c r="X50" s="38" t="s">
        <v>58</v>
      </c>
      <c r="Y50" s="38" t="s">
        <v>279</v>
      </c>
      <c r="Z50" s="38" t="s">
        <v>60</v>
      </c>
      <c r="AA50" s="38" t="s">
        <v>61</v>
      </c>
      <c r="AB50" s="38" t="s">
        <v>280</v>
      </c>
      <c r="AC50" s="38" t="s">
        <v>281</v>
      </c>
      <c r="AD50" s="38" t="s">
        <v>3561</v>
      </c>
      <c r="AE50" s="38" t="s">
        <v>54</v>
      </c>
      <c r="AF50" s="38" t="s">
        <v>54</v>
      </c>
    </row>
    <row r="51">
      <c r="A51" s="38" t="s">
        <v>273</v>
      </c>
      <c r="B51" s="38" t="s">
        <v>54</v>
      </c>
      <c r="C51" s="38" t="s">
        <v>54</v>
      </c>
      <c r="D51" s="38" t="s">
        <v>45</v>
      </c>
      <c r="E51" s="38" t="s">
        <v>399</v>
      </c>
      <c r="F51" s="38" t="s">
        <v>174</v>
      </c>
      <c r="G51" s="38" t="s">
        <v>400</v>
      </c>
      <c r="H51" s="38" t="s">
        <v>276</v>
      </c>
      <c r="I51" s="38" t="s">
        <v>45</v>
      </c>
      <c r="J51" s="37">
        <v>0.0</v>
      </c>
      <c r="K51" s="38" t="s">
        <v>277</v>
      </c>
      <c r="L51" s="38" t="s">
        <v>278</v>
      </c>
      <c r="M51" s="38" t="s">
        <v>54</v>
      </c>
      <c r="N51" s="38" t="s">
        <v>49</v>
      </c>
      <c r="O51" s="38" t="s">
        <v>50</v>
      </c>
      <c r="P51" s="38" t="s">
        <v>104</v>
      </c>
      <c r="Q51" s="38" t="s">
        <v>52</v>
      </c>
      <c r="R51" s="38" t="s">
        <v>53</v>
      </c>
      <c r="S51" s="38" t="s">
        <v>54</v>
      </c>
      <c r="T51" s="38" t="s">
        <v>55</v>
      </c>
      <c r="U51" s="38" t="s">
        <v>56</v>
      </c>
      <c r="V51" s="38" t="s">
        <v>57</v>
      </c>
      <c r="W51" s="37">
        <v>8.44921E8</v>
      </c>
      <c r="X51" s="38" t="s">
        <v>58</v>
      </c>
      <c r="Y51" s="38" t="s">
        <v>279</v>
      </c>
      <c r="Z51" s="38" t="s">
        <v>60</v>
      </c>
      <c r="AA51" s="38" t="s">
        <v>61</v>
      </c>
      <c r="AB51" s="38" t="s">
        <v>280</v>
      </c>
      <c r="AC51" s="38" t="s">
        <v>281</v>
      </c>
      <c r="AD51" s="38" t="s">
        <v>3562</v>
      </c>
      <c r="AE51" s="38" t="s">
        <v>54</v>
      </c>
      <c r="AF51" s="38" t="s">
        <v>54</v>
      </c>
    </row>
    <row r="52">
      <c r="A52" s="38" t="s">
        <v>273</v>
      </c>
      <c r="B52" s="38" t="s">
        <v>54</v>
      </c>
      <c r="C52" s="38" t="s">
        <v>54</v>
      </c>
      <c r="D52" s="38" t="s">
        <v>45</v>
      </c>
      <c r="E52" s="38" t="s">
        <v>401</v>
      </c>
      <c r="F52" s="38" t="s">
        <v>174</v>
      </c>
      <c r="G52" s="38" t="s">
        <v>402</v>
      </c>
      <c r="H52" s="38" t="s">
        <v>276</v>
      </c>
      <c r="I52" s="38" t="s">
        <v>45</v>
      </c>
      <c r="J52" s="37">
        <v>0.0</v>
      </c>
      <c r="K52" s="38" t="s">
        <v>277</v>
      </c>
      <c r="L52" s="38" t="s">
        <v>278</v>
      </c>
      <c r="M52" s="38" t="s">
        <v>54</v>
      </c>
      <c r="N52" s="38" t="s">
        <v>49</v>
      </c>
      <c r="O52" s="38" t="s">
        <v>50</v>
      </c>
      <c r="P52" s="38" t="s">
        <v>107</v>
      </c>
      <c r="Q52" s="38" t="s">
        <v>52</v>
      </c>
      <c r="R52" s="38" t="s">
        <v>53</v>
      </c>
      <c r="S52" s="38" t="s">
        <v>54</v>
      </c>
      <c r="T52" s="38" t="s">
        <v>55</v>
      </c>
      <c r="U52" s="38" t="s">
        <v>56</v>
      </c>
      <c r="V52" s="38" t="s">
        <v>57</v>
      </c>
      <c r="W52" s="37">
        <v>8.44921E8</v>
      </c>
      <c r="X52" s="38" t="s">
        <v>58</v>
      </c>
      <c r="Y52" s="38" t="s">
        <v>279</v>
      </c>
      <c r="Z52" s="38" t="s">
        <v>60</v>
      </c>
      <c r="AA52" s="38" t="s">
        <v>61</v>
      </c>
      <c r="AB52" s="38" t="s">
        <v>280</v>
      </c>
      <c r="AC52" s="38" t="s">
        <v>281</v>
      </c>
      <c r="AD52" s="38" t="s">
        <v>3563</v>
      </c>
      <c r="AE52" s="38" t="s">
        <v>54</v>
      </c>
      <c r="AF52" s="38" t="s">
        <v>54</v>
      </c>
    </row>
    <row r="53">
      <c r="A53" s="38" t="s">
        <v>404</v>
      </c>
      <c r="B53" s="37">
        <v>5.208783763651979</v>
      </c>
      <c r="C53" s="37">
        <v>5.473475510976771</v>
      </c>
      <c r="D53" s="38" t="s">
        <v>408</v>
      </c>
      <c r="E53" s="38" t="s">
        <v>405</v>
      </c>
      <c r="F53" s="38" t="s">
        <v>3564</v>
      </c>
      <c r="G53" s="38" t="s">
        <v>406</v>
      </c>
      <c r="H53" s="38" t="s">
        <v>407</v>
      </c>
      <c r="I53" s="38" t="s">
        <v>408</v>
      </c>
      <c r="J53" s="37">
        <v>3.875</v>
      </c>
      <c r="K53" s="38" t="s">
        <v>409</v>
      </c>
      <c r="L53" s="38" t="s">
        <v>410</v>
      </c>
      <c r="M53" s="37">
        <v>3.875</v>
      </c>
      <c r="N53" s="38" t="s">
        <v>115</v>
      </c>
      <c r="O53" s="38" t="s">
        <v>116</v>
      </c>
      <c r="P53" s="38" t="s">
        <v>174</v>
      </c>
      <c r="Q53" s="38" t="s">
        <v>52</v>
      </c>
      <c r="R53" s="38" t="s">
        <v>53</v>
      </c>
      <c r="S53" s="38" t="s">
        <v>297</v>
      </c>
      <c r="T53" s="38" t="s">
        <v>175</v>
      </c>
      <c r="U53" s="38" t="s">
        <v>56</v>
      </c>
      <c r="V53" s="38" t="s">
        <v>71</v>
      </c>
      <c r="W53" s="37">
        <v>9.2452075E8</v>
      </c>
      <c r="X53" s="38" t="s">
        <v>120</v>
      </c>
      <c r="Y53" s="38" t="s">
        <v>120</v>
      </c>
      <c r="Z53" s="38" t="s">
        <v>203</v>
      </c>
      <c r="AA53" s="38" t="s">
        <v>412</v>
      </c>
      <c r="AB53" s="38" t="s">
        <v>413</v>
      </c>
      <c r="AC53" s="38" t="s">
        <v>413</v>
      </c>
      <c r="AD53" s="38" t="s">
        <v>3565</v>
      </c>
      <c r="AE53" s="37">
        <v>3.449</v>
      </c>
      <c r="AF53" s="37">
        <v>3.875</v>
      </c>
    </row>
    <row r="54">
      <c r="A54" s="38" t="s">
        <v>416</v>
      </c>
      <c r="B54" s="37">
        <v>2.249952731226888</v>
      </c>
      <c r="C54" s="37">
        <v>2.3181809198606067</v>
      </c>
      <c r="D54" s="38" t="s">
        <v>367</v>
      </c>
      <c r="E54" s="38" t="s">
        <v>417</v>
      </c>
      <c r="F54" s="38" t="s">
        <v>3566</v>
      </c>
      <c r="G54" s="38" t="s">
        <v>418</v>
      </c>
      <c r="H54" s="38" t="s">
        <v>419</v>
      </c>
      <c r="I54" s="38" t="s">
        <v>367</v>
      </c>
      <c r="J54" s="37">
        <v>0.375</v>
      </c>
      <c r="K54" s="38" t="s">
        <v>409</v>
      </c>
      <c r="L54" s="38" t="s">
        <v>420</v>
      </c>
      <c r="M54" s="38" t="s">
        <v>54</v>
      </c>
      <c r="N54" s="38" t="s">
        <v>115</v>
      </c>
      <c r="O54" s="38" t="s">
        <v>116</v>
      </c>
      <c r="P54" s="38" t="s">
        <v>174</v>
      </c>
      <c r="Q54" s="38" t="s">
        <v>52</v>
      </c>
      <c r="R54" s="38" t="s">
        <v>53</v>
      </c>
      <c r="S54" s="38" t="s">
        <v>175</v>
      </c>
      <c r="T54" s="38" t="s">
        <v>421</v>
      </c>
      <c r="U54" s="38" t="s">
        <v>56</v>
      </c>
      <c r="V54" s="38" t="s">
        <v>57</v>
      </c>
      <c r="W54" s="37">
        <v>7.15758E8</v>
      </c>
      <c r="X54" s="38" t="s">
        <v>422</v>
      </c>
      <c r="Y54" s="38" t="s">
        <v>423</v>
      </c>
      <c r="Z54" s="38" t="s">
        <v>60</v>
      </c>
      <c r="AA54" s="38" t="s">
        <v>61</v>
      </c>
      <c r="AB54" s="38" t="s">
        <v>228</v>
      </c>
      <c r="AC54" s="38" t="s">
        <v>424</v>
      </c>
      <c r="AD54" s="38" t="s">
        <v>3567</v>
      </c>
      <c r="AE54" s="37">
        <v>0.467</v>
      </c>
      <c r="AF54" s="37">
        <v>0.467</v>
      </c>
    </row>
    <row r="55">
      <c r="A55" s="38" t="s">
        <v>207</v>
      </c>
      <c r="B55" s="37">
        <v>7.594171257654425</v>
      </c>
      <c r="C55" s="37">
        <v>7.701071787228951</v>
      </c>
      <c r="D55" s="38" t="s">
        <v>112</v>
      </c>
      <c r="E55" s="38" t="s">
        <v>427</v>
      </c>
      <c r="F55" s="38" t="s">
        <v>3568</v>
      </c>
      <c r="G55" s="38" t="s">
        <v>428</v>
      </c>
      <c r="H55" s="38" t="s">
        <v>210</v>
      </c>
      <c r="I55" s="38" t="s">
        <v>112</v>
      </c>
      <c r="J55" s="37">
        <v>2.875</v>
      </c>
      <c r="K55" s="38" t="s">
        <v>429</v>
      </c>
      <c r="L55" s="38" t="s">
        <v>430</v>
      </c>
      <c r="M55" s="38" t="s">
        <v>54</v>
      </c>
      <c r="N55" s="38" t="s">
        <v>49</v>
      </c>
      <c r="O55" s="38" t="s">
        <v>50</v>
      </c>
      <c r="P55" s="38" t="s">
        <v>431</v>
      </c>
      <c r="Q55" s="38" t="s">
        <v>52</v>
      </c>
      <c r="R55" s="38" t="s">
        <v>119</v>
      </c>
      <c r="S55" s="38" t="s">
        <v>54</v>
      </c>
      <c r="T55" s="38" t="s">
        <v>175</v>
      </c>
      <c r="U55" s="38" t="s">
        <v>56</v>
      </c>
      <c r="V55" s="38" t="s">
        <v>71</v>
      </c>
      <c r="W55" s="37">
        <v>2.54011E8</v>
      </c>
      <c r="X55" s="38" t="s">
        <v>214</v>
      </c>
      <c r="Y55" s="38" t="s">
        <v>215</v>
      </c>
      <c r="Z55" s="38" t="s">
        <v>60</v>
      </c>
      <c r="AA55" s="38" t="s">
        <v>61</v>
      </c>
      <c r="AB55" s="38" t="s">
        <v>214</v>
      </c>
      <c r="AC55" s="38" t="s">
        <v>216</v>
      </c>
      <c r="AD55" s="38" t="s">
        <v>3569</v>
      </c>
      <c r="AE55" s="37">
        <v>2.875</v>
      </c>
      <c r="AF55" s="37">
        <v>2.875</v>
      </c>
    </row>
    <row r="56">
      <c r="A56" s="38" t="s">
        <v>434</v>
      </c>
      <c r="B56" s="37">
        <v>3.8572393185440577</v>
      </c>
      <c r="C56" s="37">
        <v>4.0159208546797895</v>
      </c>
      <c r="D56" s="38" t="s">
        <v>45</v>
      </c>
      <c r="E56" s="38" t="s">
        <v>435</v>
      </c>
      <c r="F56" s="38" t="s">
        <v>3570</v>
      </c>
      <c r="G56" s="38" t="s">
        <v>436</v>
      </c>
      <c r="H56" s="38" t="s">
        <v>437</v>
      </c>
      <c r="I56" s="38" t="s">
        <v>45</v>
      </c>
      <c r="J56" s="37">
        <v>2.5</v>
      </c>
      <c r="K56" s="38" t="s">
        <v>438</v>
      </c>
      <c r="L56" s="38" t="s">
        <v>439</v>
      </c>
      <c r="M56" s="37">
        <v>2.5</v>
      </c>
      <c r="N56" s="38" t="s">
        <v>115</v>
      </c>
      <c r="O56" s="38" t="s">
        <v>116</v>
      </c>
      <c r="P56" s="38" t="s">
        <v>262</v>
      </c>
      <c r="Q56" s="38" t="s">
        <v>52</v>
      </c>
      <c r="R56" s="38" t="s">
        <v>53</v>
      </c>
      <c r="S56" s="38" t="s">
        <v>297</v>
      </c>
      <c r="T56" s="38" t="s">
        <v>55</v>
      </c>
      <c r="U56" s="38" t="s">
        <v>56</v>
      </c>
      <c r="V56" s="38" t="s">
        <v>71</v>
      </c>
      <c r="W56" s="37">
        <v>3.55671E8</v>
      </c>
      <c r="X56" s="38" t="s">
        <v>58</v>
      </c>
      <c r="Y56" s="38" t="s">
        <v>279</v>
      </c>
      <c r="Z56" s="38" t="s">
        <v>60</v>
      </c>
      <c r="AA56" s="38" t="s">
        <v>61</v>
      </c>
      <c r="AB56" s="38" t="s">
        <v>280</v>
      </c>
      <c r="AC56" s="38" t="s">
        <v>281</v>
      </c>
      <c r="AD56" s="38" t="s">
        <v>3571</v>
      </c>
      <c r="AE56" s="37">
        <v>2.449</v>
      </c>
      <c r="AF56" s="37">
        <v>2.5</v>
      </c>
    </row>
    <row r="57">
      <c r="A57" s="38" t="s">
        <v>441</v>
      </c>
      <c r="B57" s="37">
        <v>2.205092629590986</v>
      </c>
      <c r="C57" s="37">
        <v>2.2642997648140666</v>
      </c>
      <c r="D57" s="38" t="s">
        <v>258</v>
      </c>
      <c r="E57" s="38" t="s">
        <v>442</v>
      </c>
      <c r="F57" s="38" t="s">
        <v>3572</v>
      </c>
      <c r="G57" s="38" t="s">
        <v>443</v>
      </c>
      <c r="H57" s="38" t="s">
        <v>444</v>
      </c>
      <c r="I57" s="38" t="s">
        <v>258</v>
      </c>
      <c r="J57" s="37">
        <v>0.9</v>
      </c>
      <c r="K57" s="38" t="s">
        <v>445</v>
      </c>
      <c r="L57" s="38" t="s">
        <v>446</v>
      </c>
      <c r="M57" s="38" t="s">
        <v>54</v>
      </c>
      <c r="N57" s="38" t="s">
        <v>115</v>
      </c>
      <c r="O57" s="38" t="s">
        <v>116</v>
      </c>
      <c r="P57" s="38" t="s">
        <v>174</v>
      </c>
      <c r="Q57" s="38" t="s">
        <v>52</v>
      </c>
      <c r="R57" s="38" t="s">
        <v>53</v>
      </c>
      <c r="S57" s="38" t="s">
        <v>447</v>
      </c>
      <c r="T57" s="38" t="s">
        <v>133</v>
      </c>
      <c r="U57" s="38" t="s">
        <v>56</v>
      </c>
      <c r="V57" s="38" t="s">
        <v>57</v>
      </c>
      <c r="W57" s="37">
        <v>5.88655E8</v>
      </c>
      <c r="X57" s="38" t="s">
        <v>120</v>
      </c>
      <c r="Y57" s="38" t="s">
        <v>238</v>
      </c>
      <c r="Z57" s="38" t="s">
        <v>203</v>
      </c>
      <c r="AA57" s="38" t="s">
        <v>412</v>
      </c>
      <c r="AB57" s="38" t="s">
        <v>413</v>
      </c>
      <c r="AC57" s="38" t="s">
        <v>413</v>
      </c>
      <c r="AD57" s="38" t="s">
        <v>3573</v>
      </c>
      <c r="AE57" s="37">
        <v>0.883</v>
      </c>
      <c r="AF57" s="37">
        <v>0.883</v>
      </c>
    </row>
    <row r="58">
      <c r="A58" s="38" t="s">
        <v>434</v>
      </c>
      <c r="B58" s="37">
        <v>3.85783371077648</v>
      </c>
      <c r="C58" s="37">
        <v>4.063408326232376</v>
      </c>
      <c r="D58" s="38" t="s">
        <v>45</v>
      </c>
      <c r="E58" s="38" t="s">
        <v>450</v>
      </c>
      <c r="F58" s="38" t="s">
        <v>3574</v>
      </c>
      <c r="G58" s="38" t="s">
        <v>451</v>
      </c>
      <c r="H58" s="38" t="s">
        <v>437</v>
      </c>
      <c r="I58" s="38" t="s">
        <v>45</v>
      </c>
      <c r="J58" s="37">
        <v>2.5</v>
      </c>
      <c r="K58" s="38" t="s">
        <v>438</v>
      </c>
      <c r="L58" s="38" t="s">
        <v>439</v>
      </c>
      <c r="M58" s="37">
        <v>2.5</v>
      </c>
      <c r="N58" s="38" t="s">
        <v>115</v>
      </c>
      <c r="O58" s="38" t="s">
        <v>116</v>
      </c>
      <c r="P58" s="38" t="s">
        <v>271</v>
      </c>
      <c r="Q58" s="38" t="s">
        <v>52</v>
      </c>
      <c r="R58" s="38" t="s">
        <v>53</v>
      </c>
      <c r="S58" s="38" t="s">
        <v>297</v>
      </c>
      <c r="T58" s="38" t="s">
        <v>55</v>
      </c>
      <c r="U58" s="38" t="s">
        <v>56</v>
      </c>
      <c r="V58" s="38" t="s">
        <v>71</v>
      </c>
      <c r="W58" s="37">
        <v>3.55671E8</v>
      </c>
      <c r="X58" s="38" t="s">
        <v>58</v>
      </c>
      <c r="Y58" s="38" t="s">
        <v>279</v>
      </c>
      <c r="Z58" s="38" t="s">
        <v>60</v>
      </c>
      <c r="AA58" s="38" t="s">
        <v>61</v>
      </c>
      <c r="AB58" s="38" t="s">
        <v>280</v>
      </c>
      <c r="AC58" s="38" t="s">
        <v>281</v>
      </c>
      <c r="AD58" s="38" t="s">
        <v>3575</v>
      </c>
      <c r="AE58" s="37">
        <v>2.431</v>
      </c>
      <c r="AF58" s="37">
        <v>2.5</v>
      </c>
    </row>
    <row r="59">
      <c r="A59" s="38" t="s">
        <v>453</v>
      </c>
      <c r="B59" s="37">
        <v>7.012910241855164</v>
      </c>
      <c r="C59" s="37">
        <v>7.2596284626584024</v>
      </c>
      <c r="D59" s="38" t="s">
        <v>45</v>
      </c>
      <c r="E59" s="38" t="s">
        <v>454</v>
      </c>
      <c r="F59" s="38" t="s">
        <v>3576</v>
      </c>
      <c r="G59" s="38" t="s">
        <v>455</v>
      </c>
      <c r="H59" s="38" t="s">
        <v>456</v>
      </c>
      <c r="I59" s="38" t="s">
        <v>45</v>
      </c>
      <c r="J59" s="37">
        <v>4.75</v>
      </c>
      <c r="K59" s="38" t="s">
        <v>457</v>
      </c>
      <c r="L59" s="38" t="s">
        <v>458</v>
      </c>
      <c r="M59" s="38" t="s">
        <v>54</v>
      </c>
      <c r="N59" s="38" t="s">
        <v>115</v>
      </c>
      <c r="O59" s="38" t="s">
        <v>116</v>
      </c>
      <c r="P59" s="38" t="s">
        <v>262</v>
      </c>
      <c r="Q59" s="38" t="s">
        <v>459</v>
      </c>
      <c r="R59" s="38" t="s">
        <v>53</v>
      </c>
      <c r="S59" s="38" t="s">
        <v>351</v>
      </c>
      <c r="T59" s="38" t="s">
        <v>55</v>
      </c>
      <c r="U59" s="38" t="s">
        <v>56</v>
      </c>
      <c r="V59" s="38" t="s">
        <v>71</v>
      </c>
      <c r="W59" s="37">
        <v>4.80348E8</v>
      </c>
      <c r="X59" s="38" t="s">
        <v>85</v>
      </c>
      <c r="Y59" s="38" t="s">
        <v>176</v>
      </c>
      <c r="Z59" s="38" t="s">
        <v>60</v>
      </c>
      <c r="AA59" s="38" t="s">
        <v>61</v>
      </c>
      <c r="AB59" s="38" t="s">
        <v>177</v>
      </c>
      <c r="AC59" s="38" t="s">
        <v>178</v>
      </c>
      <c r="AD59" s="38" t="s">
        <v>3577</v>
      </c>
      <c r="AE59" s="37">
        <v>4.595</v>
      </c>
      <c r="AF59" s="37">
        <v>4.595</v>
      </c>
    </row>
    <row r="60">
      <c r="A60" s="38" t="s">
        <v>453</v>
      </c>
      <c r="B60" s="37">
        <v>5.478444883498093</v>
      </c>
      <c r="C60" s="37">
        <v>5.720161449307982</v>
      </c>
      <c r="D60" s="38" t="s">
        <v>45</v>
      </c>
      <c r="E60" s="38" t="s">
        <v>462</v>
      </c>
      <c r="F60" s="38" t="s">
        <v>3578</v>
      </c>
      <c r="G60" s="38" t="s">
        <v>463</v>
      </c>
      <c r="H60" s="38" t="s">
        <v>456</v>
      </c>
      <c r="I60" s="38" t="s">
        <v>45</v>
      </c>
      <c r="J60" s="37">
        <v>4.75</v>
      </c>
      <c r="K60" s="38" t="s">
        <v>457</v>
      </c>
      <c r="L60" s="38" t="s">
        <v>458</v>
      </c>
      <c r="M60" s="38" t="s">
        <v>54</v>
      </c>
      <c r="N60" s="38" t="s">
        <v>115</v>
      </c>
      <c r="O60" s="38" t="s">
        <v>116</v>
      </c>
      <c r="P60" s="38" t="s">
        <v>262</v>
      </c>
      <c r="Q60" s="38" t="s">
        <v>459</v>
      </c>
      <c r="R60" s="38" t="s">
        <v>53</v>
      </c>
      <c r="S60" s="38" t="s">
        <v>351</v>
      </c>
      <c r="T60" s="38" t="s">
        <v>55</v>
      </c>
      <c r="U60" s="38" t="s">
        <v>70</v>
      </c>
      <c r="V60" s="38" t="s">
        <v>392</v>
      </c>
      <c r="W60" s="37">
        <v>4.203045E8</v>
      </c>
      <c r="X60" s="38" t="s">
        <v>85</v>
      </c>
      <c r="Y60" s="38" t="s">
        <v>176</v>
      </c>
      <c r="Z60" s="38" t="s">
        <v>60</v>
      </c>
      <c r="AA60" s="38" t="s">
        <v>61</v>
      </c>
      <c r="AB60" s="38" t="s">
        <v>177</v>
      </c>
      <c r="AC60" s="38" t="s">
        <v>178</v>
      </c>
      <c r="AD60" s="38" t="s">
        <v>3579</v>
      </c>
      <c r="AE60" s="37">
        <v>4.57</v>
      </c>
      <c r="AF60" s="37">
        <v>4.57</v>
      </c>
    </row>
    <row r="61">
      <c r="A61" s="38" t="s">
        <v>453</v>
      </c>
      <c r="B61" s="37">
        <v>6.977077261212066</v>
      </c>
      <c r="C61" s="37">
        <v>7.2921328538826335</v>
      </c>
      <c r="D61" s="38" t="s">
        <v>45</v>
      </c>
      <c r="E61" s="38" t="s">
        <v>464</v>
      </c>
      <c r="F61" s="38" t="s">
        <v>3580</v>
      </c>
      <c r="G61" s="38" t="s">
        <v>465</v>
      </c>
      <c r="H61" s="38" t="s">
        <v>456</v>
      </c>
      <c r="I61" s="38" t="s">
        <v>45</v>
      </c>
      <c r="J61" s="37">
        <v>4.75</v>
      </c>
      <c r="K61" s="38" t="s">
        <v>457</v>
      </c>
      <c r="L61" s="38" t="s">
        <v>458</v>
      </c>
      <c r="M61" s="38" t="s">
        <v>54</v>
      </c>
      <c r="N61" s="38" t="s">
        <v>115</v>
      </c>
      <c r="O61" s="38" t="s">
        <v>116</v>
      </c>
      <c r="P61" s="38" t="s">
        <v>271</v>
      </c>
      <c r="Q61" s="38" t="s">
        <v>459</v>
      </c>
      <c r="R61" s="38" t="s">
        <v>53</v>
      </c>
      <c r="S61" s="38" t="s">
        <v>351</v>
      </c>
      <c r="T61" s="38" t="s">
        <v>55</v>
      </c>
      <c r="U61" s="38" t="s">
        <v>56</v>
      </c>
      <c r="V61" s="38" t="s">
        <v>71</v>
      </c>
      <c r="W61" s="37">
        <v>4.80348E8</v>
      </c>
      <c r="X61" s="38" t="s">
        <v>85</v>
      </c>
      <c r="Y61" s="38" t="s">
        <v>176</v>
      </c>
      <c r="Z61" s="38" t="s">
        <v>60</v>
      </c>
      <c r="AA61" s="38" t="s">
        <v>61</v>
      </c>
      <c r="AB61" s="38" t="s">
        <v>177</v>
      </c>
      <c r="AC61" s="38" t="s">
        <v>178</v>
      </c>
      <c r="AD61" s="38" t="s">
        <v>3581</v>
      </c>
      <c r="AE61" s="37">
        <v>4.629</v>
      </c>
      <c r="AF61" s="37">
        <v>4.629</v>
      </c>
    </row>
    <row r="62">
      <c r="A62" s="38" t="s">
        <v>453</v>
      </c>
      <c r="B62" s="37">
        <v>5.455724012864079</v>
      </c>
      <c r="C62" s="37">
        <v>5.7326578384053795</v>
      </c>
      <c r="D62" s="38" t="s">
        <v>45</v>
      </c>
      <c r="E62" s="38" t="s">
        <v>467</v>
      </c>
      <c r="F62" s="38" t="s">
        <v>3582</v>
      </c>
      <c r="G62" s="38" t="s">
        <v>468</v>
      </c>
      <c r="H62" s="38" t="s">
        <v>456</v>
      </c>
      <c r="I62" s="38" t="s">
        <v>45</v>
      </c>
      <c r="J62" s="37">
        <v>4.75</v>
      </c>
      <c r="K62" s="38" t="s">
        <v>457</v>
      </c>
      <c r="L62" s="38" t="s">
        <v>458</v>
      </c>
      <c r="M62" s="38" t="s">
        <v>54</v>
      </c>
      <c r="N62" s="38" t="s">
        <v>115</v>
      </c>
      <c r="O62" s="38" t="s">
        <v>116</v>
      </c>
      <c r="P62" s="38" t="s">
        <v>271</v>
      </c>
      <c r="Q62" s="38" t="s">
        <v>459</v>
      </c>
      <c r="R62" s="38" t="s">
        <v>53</v>
      </c>
      <c r="S62" s="38" t="s">
        <v>351</v>
      </c>
      <c r="T62" s="38" t="s">
        <v>55</v>
      </c>
      <c r="U62" s="38" t="s">
        <v>70</v>
      </c>
      <c r="V62" s="38" t="s">
        <v>392</v>
      </c>
      <c r="W62" s="37">
        <v>4.203045E8</v>
      </c>
      <c r="X62" s="38" t="s">
        <v>85</v>
      </c>
      <c r="Y62" s="38" t="s">
        <v>176</v>
      </c>
      <c r="Z62" s="38" t="s">
        <v>60</v>
      </c>
      <c r="AA62" s="38" t="s">
        <v>61</v>
      </c>
      <c r="AB62" s="38" t="s">
        <v>177</v>
      </c>
      <c r="AC62" s="38" t="s">
        <v>178</v>
      </c>
      <c r="AD62" s="38" t="s">
        <v>3583</v>
      </c>
      <c r="AE62" s="37">
        <v>4.614</v>
      </c>
      <c r="AF62" s="37">
        <v>4.614</v>
      </c>
    </row>
    <row r="63">
      <c r="A63" s="38" t="s">
        <v>469</v>
      </c>
      <c r="B63" s="37">
        <v>2.696965012711571</v>
      </c>
      <c r="C63" s="37">
        <v>2.8482188329655616</v>
      </c>
      <c r="D63" s="38" t="s">
        <v>258</v>
      </c>
      <c r="E63" s="38" t="s">
        <v>470</v>
      </c>
      <c r="F63" s="38" t="s">
        <v>3584</v>
      </c>
      <c r="G63" s="38" t="s">
        <v>471</v>
      </c>
      <c r="H63" s="38" t="s">
        <v>472</v>
      </c>
      <c r="I63" s="38" t="s">
        <v>258</v>
      </c>
      <c r="J63" s="37">
        <v>1.15</v>
      </c>
      <c r="K63" s="38" t="s">
        <v>473</v>
      </c>
      <c r="L63" s="38" t="s">
        <v>474</v>
      </c>
      <c r="M63" s="37">
        <v>1.224</v>
      </c>
      <c r="N63" s="38" t="s">
        <v>49</v>
      </c>
      <c r="O63" s="38" t="s">
        <v>50</v>
      </c>
      <c r="P63" s="38" t="s">
        <v>174</v>
      </c>
      <c r="Q63" s="38" t="s">
        <v>52</v>
      </c>
      <c r="R63" s="38" t="s">
        <v>53</v>
      </c>
      <c r="S63" s="38" t="s">
        <v>54</v>
      </c>
      <c r="T63" s="38" t="s">
        <v>55</v>
      </c>
      <c r="U63" s="38" t="s">
        <v>56</v>
      </c>
      <c r="V63" s="38" t="s">
        <v>57</v>
      </c>
      <c r="W63" s="37">
        <v>1.437672E8</v>
      </c>
      <c r="X63" s="38" t="s">
        <v>120</v>
      </c>
      <c r="Y63" s="38" t="s">
        <v>120</v>
      </c>
      <c r="Z63" s="38" t="s">
        <v>203</v>
      </c>
      <c r="AA63" s="38" t="s">
        <v>204</v>
      </c>
      <c r="AB63" s="38" t="s">
        <v>204</v>
      </c>
      <c r="AC63" s="38" t="s">
        <v>204</v>
      </c>
      <c r="AD63" s="38" t="s">
        <v>3585</v>
      </c>
      <c r="AE63" s="37">
        <v>1.296</v>
      </c>
      <c r="AF63" s="37">
        <v>1.224</v>
      </c>
    </row>
    <row r="64">
      <c r="A64" s="38" t="s">
        <v>477</v>
      </c>
      <c r="B64" s="37">
        <v>2.2259916028622375</v>
      </c>
      <c r="C64" s="37">
        <v>2.309047887558129</v>
      </c>
      <c r="D64" s="38" t="s">
        <v>45</v>
      </c>
      <c r="E64" s="38" t="s">
        <v>478</v>
      </c>
      <c r="F64" s="38" t="s">
        <v>3586</v>
      </c>
      <c r="G64" s="38" t="s">
        <v>479</v>
      </c>
      <c r="H64" s="38" t="s">
        <v>480</v>
      </c>
      <c r="I64" s="38" t="s">
        <v>45</v>
      </c>
      <c r="J64" s="37">
        <v>0.375</v>
      </c>
      <c r="K64" s="38" t="s">
        <v>481</v>
      </c>
      <c r="L64" s="38" t="s">
        <v>482</v>
      </c>
      <c r="M64" s="38" t="s">
        <v>54</v>
      </c>
      <c r="N64" s="38" t="s">
        <v>49</v>
      </c>
      <c r="O64" s="38" t="s">
        <v>50</v>
      </c>
      <c r="P64" s="38" t="s">
        <v>226</v>
      </c>
      <c r="Q64" s="38" t="s">
        <v>483</v>
      </c>
      <c r="R64" s="38" t="s">
        <v>53</v>
      </c>
      <c r="S64" s="38" t="s">
        <v>484</v>
      </c>
      <c r="T64" s="38" t="s">
        <v>55</v>
      </c>
      <c r="U64" s="38" t="s">
        <v>56</v>
      </c>
      <c r="V64" s="38" t="s">
        <v>57</v>
      </c>
      <c r="W64" s="37">
        <v>6.01385E8</v>
      </c>
      <c r="X64" s="38" t="s">
        <v>485</v>
      </c>
      <c r="Y64" s="38" t="s">
        <v>486</v>
      </c>
      <c r="Z64" s="38" t="s">
        <v>60</v>
      </c>
      <c r="AA64" s="38" t="s">
        <v>487</v>
      </c>
      <c r="AB64" s="38" t="s">
        <v>488</v>
      </c>
      <c r="AC64" s="38" t="s">
        <v>488</v>
      </c>
      <c r="AD64" s="38" t="s">
        <v>3587</v>
      </c>
      <c r="AE64" s="37">
        <v>0.392</v>
      </c>
      <c r="AF64" s="37">
        <v>0.392</v>
      </c>
    </row>
    <row r="65">
      <c r="A65" s="38" t="s">
        <v>491</v>
      </c>
      <c r="B65" s="37">
        <v>3.6698005497134742</v>
      </c>
      <c r="C65" s="37">
        <v>3.771853198399961</v>
      </c>
      <c r="D65" s="38" t="s">
        <v>200</v>
      </c>
      <c r="E65" s="38" t="s">
        <v>492</v>
      </c>
      <c r="F65" s="38" t="s">
        <v>3588</v>
      </c>
      <c r="G65" s="38" t="s">
        <v>493</v>
      </c>
      <c r="H65" s="38" t="s">
        <v>494</v>
      </c>
      <c r="I65" s="38" t="s">
        <v>200</v>
      </c>
      <c r="J65" s="37">
        <v>1.75</v>
      </c>
      <c r="K65" s="38" t="s">
        <v>495</v>
      </c>
      <c r="L65" s="38" t="s">
        <v>496</v>
      </c>
      <c r="M65" s="38" t="s">
        <v>54</v>
      </c>
      <c r="N65" s="38" t="s">
        <v>115</v>
      </c>
      <c r="O65" s="38" t="s">
        <v>116</v>
      </c>
      <c r="P65" s="38" t="s">
        <v>226</v>
      </c>
      <c r="Q65" s="38" t="s">
        <v>52</v>
      </c>
      <c r="R65" s="38" t="s">
        <v>53</v>
      </c>
      <c r="S65" s="38" t="s">
        <v>497</v>
      </c>
      <c r="T65" s="38" t="s">
        <v>55</v>
      </c>
      <c r="U65" s="38" t="s">
        <v>56</v>
      </c>
      <c r="V65" s="38" t="s">
        <v>57</v>
      </c>
      <c r="W65" s="37">
        <v>6.01335E8</v>
      </c>
      <c r="X65" s="38" t="s">
        <v>58</v>
      </c>
      <c r="Y65" s="38" t="s">
        <v>279</v>
      </c>
      <c r="Z65" s="38" t="s">
        <v>60</v>
      </c>
      <c r="AA65" s="38" t="s">
        <v>61</v>
      </c>
      <c r="AB65" s="38" t="s">
        <v>280</v>
      </c>
      <c r="AC65" s="38" t="s">
        <v>281</v>
      </c>
      <c r="AD65" s="38" t="s">
        <v>3589</v>
      </c>
      <c r="AE65" s="37">
        <v>1.763</v>
      </c>
      <c r="AF65" s="37">
        <v>1.763</v>
      </c>
    </row>
    <row r="66">
      <c r="A66" s="38" t="s">
        <v>500</v>
      </c>
      <c r="B66" s="37">
        <v>3.6248454848125284</v>
      </c>
      <c r="C66" s="37">
        <v>3.7995491699754202</v>
      </c>
      <c r="D66" s="38" t="s">
        <v>185</v>
      </c>
      <c r="E66" s="38" t="s">
        <v>501</v>
      </c>
      <c r="F66" s="38" t="s">
        <v>3590</v>
      </c>
      <c r="G66" s="38" t="s">
        <v>502</v>
      </c>
      <c r="H66" s="38" t="s">
        <v>503</v>
      </c>
      <c r="I66" s="38" t="s">
        <v>185</v>
      </c>
      <c r="J66" s="37">
        <v>2.125</v>
      </c>
      <c r="K66" s="38" t="s">
        <v>504</v>
      </c>
      <c r="L66" s="38" t="s">
        <v>505</v>
      </c>
      <c r="M66" s="38" t="s">
        <v>54</v>
      </c>
      <c r="N66" s="38" t="s">
        <v>115</v>
      </c>
      <c r="O66" s="38" t="s">
        <v>116</v>
      </c>
      <c r="P66" s="38" t="s">
        <v>174</v>
      </c>
      <c r="Q66" s="38" t="s">
        <v>52</v>
      </c>
      <c r="R66" s="38" t="s">
        <v>53</v>
      </c>
      <c r="S66" s="38" t="s">
        <v>297</v>
      </c>
      <c r="T66" s="38" t="s">
        <v>55</v>
      </c>
      <c r="U66" s="38" t="s">
        <v>56</v>
      </c>
      <c r="V66" s="38" t="s">
        <v>71</v>
      </c>
      <c r="W66" s="37">
        <v>4.79752E8</v>
      </c>
      <c r="X66" s="38" t="s">
        <v>58</v>
      </c>
      <c r="Y66" s="38" t="s">
        <v>506</v>
      </c>
      <c r="Z66" s="38" t="s">
        <v>60</v>
      </c>
      <c r="AA66" s="38" t="s">
        <v>61</v>
      </c>
      <c r="AB66" s="38" t="s">
        <v>177</v>
      </c>
      <c r="AC66" s="38" t="s">
        <v>192</v>
      </c>
      <c r="AD66" s="38" t="s">
        <v>3591</v>
      </c>
      <c r="AE66" s="37">
        <v>1.859</v>
      </c>
      <c r="AF66" s="37">
        <v>1.859</v>
      </c>
    </row>
    <row r="67">
      <c r="A67" s="38" t="s">
        <v>509</v>
      </c>
      <c r="B67" s="37">
        <v>6.917405629086873</v>
      </c>
      <c r="C67" s="37">
        <v>6.9623149794371875</v>
      </c>
      <c r="D67" s="38" t="s">
        <v>170</v>
      </c>
      <c r="E67" s="38" t="s">
        <v>510</v>
      </c>
      <c r="F67" s="38" t="s">
        <v>3592</v>
      </c>
      <c r="G67" s="38" t="s">
        <v>511</v>
      </c>
      <c r="H67" s="38" t="s">
        <v>512</v>
      </c>
      <c r="I67" s="38" t="s">
        <v>170</v>
      </c>
      <c r="J67" s="37">
        <v>4.75</v>
      </c>
      <c r="K67" s="38" t="s">
        <v>513</v>
      </c>
      <c r="L67" s="38" t="s">
        <v>514</v>
      </c>
      <c r="M67" s="37">
        <v>4.75</v>
      </c>
      <c r="N67" s="38" t="s">
        <v>115</v>
      </c>
      <c r="O67" s="38" t="s">
        <v>116</v>
      </c>
      <c r="P67" s="38" t="s">
        <v>262</v>
      </c>
      <c r="Q67" s="38" t="s">
        <v>459</v>
      </c>
      <c r="R67" s="38" t="s">
        <v>263</v>
      </c>
      <c r="S67" s="38" t="s">
        <v>351</v>
      </c>
      <c r="T67" s="38" t="s">
        <v>55</v>
      </c>
      <c r="U67" s="38" t="s">
        <v>56</v>
      </c>
      <c r="V67" s="38" t="s">
        <v>71</v>
      </c>
      <c r="W67" s="37">
        <v>3.5E8</v>
      </c>
      <c r="X67" s="38" t="s">
        <v>85</v>
      </c>
      <c r="Y67" s="38" t="s">
        <v>515</v>
      </c>
      <c r="Z67" s="38" t="s">
        <v>60</v>
      </c>
      <c r="AA67" s="38" t="s">
        <v>61</v>
      </c>
      <c r="AB67" s="38" t="s">
        <v>87</v>
      </c>
      <c r="AC67" s="38" t="s">
        <v>515</v>
      </c>
      <c r="AD67" s="38" t="s">
        <v>3593</v>
      </c>
      <c r="AE67" s="37">
        <v>4.624</v>
      </c>
      <c r="AF67" s="37">
        <v>4.75</v>
      </c>
    </row>
    <row r="68">
      <c r="A68" s="38" t="s">
        <v>518</v>
      </c>
      <c r="B68" s="37">
        <v>8.648606193079779</v>
      </c>
      <c r="C68" s="37">
        <v>8.879406424827422</v>
      </c>
      <c r="D68" s="38" t="s">
        <v>170</v>
      </c>
      <c r="E68" s="38" t="s">
        <v>519</v>
      </c>
      <c r="F68" s="38" t="s">
        <v>3594</v>
      </c>
      <c r="G68" s="38" t="s">
        <v>520</v>
      </c>
      <c r="H68" s="38" t="s">
        <v>512</v>
      </c>
      <c r="I68" s="38" t="s">
        <v>170</v>
      </c>
      <c r="J68" s="37">
        <v>5.25</v>
      </c>
      <c r="K68" s="38" t="s">
        <v>513</v>
      </c>
      <c r="L68" s="38" t="s">
        <v>521</v>
      </c>
      <c r="M68" s="37">
        <v>5.25</v>
      </c>
      <c r="N68" s="38" t="s">
        <v>115</v>
      </c>
      <c r="O68" s="38" t="s">
        <v>116</v>
      </c>
      <c r="P68" s="38" t="s">
        <v>262</v>
      </c>
      <c r="Q68" s="38" t="s">
        <v>52</v>
      </c>
      <c r="R68" s="38" t="s">
        <v>53</v>
      </c>
      <c r="S68" s="38" t="s">
        <v>522</v>
      </c>
      <c r="T68" s="38" t="s">
        <v>55</v>
      </c>
      <c r="U68" s="38" t="s">
        <v>56</v>
      </c>
      <c r="V68" s="38" t="s">
        <v>71</v>
      </c>
      <c r="W68" s="37">
        <v>5.582974E8</v>
      </c>
      <c r="X68" s="38" t="s">
        <v>85</v>
      </c>
      <c r="Y68" s="38" t="s">
        <v>515</v>
      </c>
      <c r="Z68" s="38" t="s">
        <v>60</v>
      </c>
      <c r="AA68" s="38" t="s">
        <v>61</v>
      </c>
      <c r="AB68" s="38" t="s">
        <v>87</v>
      </c>
      <c r="AC68" s="38" t="s">
        <v>515</v>
      </c>
      <c r="AD68" s="38" t="s">
        <v>3595</v>
      </c>
      <c r="AE68" s="37">
        <v>5.421</v>
      </c>
      <c r="AF68" s="37">
        <v>5.25</v>
      </c>
    </row>
    <row r="69">
      <c r="A69" s="38" t="s">
        <v>509</v>
      </c>
      <c r="B69" s="37">
        <v>6.909273291204899</v>
      </c>
      <c r="C69" s="37">
        <v>6.954160642473869</v>
      </c>
      <c r="D69" s="38" t="s">
        <v>170</v>
      </c>
      <c r="E69" s="38" t="s">
        <v>524</v>
      </c>
      <c r="F69" s="38" t="s">
        <v>3596</v>
      </c>
      <c r="G69" s="38" t="s">
        <v>525</v>
      </c>
      <c r="H69" s="38" t="s">
        <v>512</v>
      </c>
      <c r="I69" s="38" t="s">
        <v>170</v>
      </c>
      <c r="J69" s="37">
        <v>4.75</v>
      </c>
      <c r="K69" s="38" t="s">
        <v>513</v>
      </c>
      <c r="L69" s="38" t="s">
        <v>514</v>
      </c>
      <c r="M69" s="37">
        <v>4.75</v>
      </c>
      <c r="N69" s="38" t="s">
        <v>115</v>
      </c>
      <c r="O69" s="38" t="s">
        <v>116</v>
      </c>
      <c r="P69" s="38" t="s">
        <v>271</v>
      </c>
      <c r="Q69" s="38" t="s">
        <v>459</v>
      </c>
      <c r="R69" s="38" t="s">
        <v>263</v>
      </c>
      <c r="S69" s="38" t="s">
        <v>351</v>
      </c>
      <c r="T69" s="38" t="s">
        <v>55</v>
      </c>
      <c r="U69" s="38" t="s">
        <v>56</v>
      </c>
      <c r="V69" s="38" t="s">
        <v>71</v>
      </c>
      <c r="W69" s="37">
        <v>3.5E8</v>
      </c>
      <c r="X69" s="38" t="s">
        <v>85</v>
      </c>
      <c r="Y69" s="38" t="s">
        <v>515</v>
      </c>
      <c r="Z69" s="38" t="s">
        <v>60</v>
      </c>
      <c r="AA69" s="38" t="s">
        <v>61</v>
      </c>
      <c r="AB69" s="38" t="s">
        <v>87</v>
      </c>
      <c r="AC69" s="38" t="s">
        <v>515</v>
      </c>
      <c r="AD69" s="38" t="s">
        <v>3597</v>
      </c>
      <c r="AE69" s="37">
        <v>4.641</v>
      </c>
      <c r="AF69" s="37">
        <v>4.75</v>
      </c>
    </row>
    <row r="70">
      <c r="A70" s="38" t="s">
        <v>518</v>
      </c>
      <c r="B70" s="37">
        <v>8.632927564616377</v>
      </c>
      <c r="C70" s="37">
        <v>8.872290910227445</v>
      </c>
      <c r="D70" s="38" t="s">
        <v>170</v>
      </c>
      <c r="E70" s="38" t="s">
        <v>526</v>
      </c>
      <c r="F70" s="38" t="s">
        <v>3598</v>
      </c>
      <c r="G70" s="38" t="s">
        <v>527</v>
      </c>
      <c r="H70" s="38" t="s">
        <v>512</v>
      </c>
      <c r="I70" s="38" t="s">
        <v>170</v>
      </c>
      <c r="J70" s="37">
        <v>5.25</v>
      </c>
      <c r="K70" s="38" t="s">
        <v>513</v>
      </c>
      <c r="L70" s="38" t="s">
        <v>521</v>
      </c>
      <c r="M70" s="37">
        <v>5.25</v>
      </c>
      <c r="N70" s="38" t="s">
        <v>115</v>
      </c>
      <c r="O70" s="38" t="s">
        <v>116</v>
      </c>
      <c r="P70" s="38" t="s">
        <v>271</v>
      </c>
      <c r="Q70" s="38" t="s">
        <v>52</v>
      </c>
      <c r="R70" s="38" t="s">
        <v>53</v>
      </c>
      <c r="S70" s="38" t="s">
        <v>522</v>
      </c>
      <c r="T70" s="38" t="s">
        <v>55</v>
      </c>
      <c r="U70" s="38" t="s">
        <v>56</v>
      </c>
      <c r="V70" s="38" t="s">
        <v>71</v>
      </c>
      <c r="W70" s="37">
        <v>5.582974E8</v>
      </c>
      <c r="X70" s="38" t="s">
        <v>85</v>
      </c>
      <c r="Y70" s="38" t="s">
        <v>515</v>
      </c>
      <c r="Z70" s="38" t="s">
        <v>60</v>
      </c>
      <c r="AA70" s="38" t="s">
        <v>61</v>
      </c>
      <c r="AB70" s="38" t="s">
        <v>87</v>
      </c>
      <c r="AC70" s="38" t="s">
        <v>515</v>
      </c>
      <c r="AD70" s="38" t="s">
        <v>3599</v>
      </c>
      <c r="AE70" s="37">
        <v>5.44</v>
      </c>
      <c r="AF70" s="37">
        <v>5.25</v>
      </c>
    </row>
    <row r="71">
      <c r="A71" s="38" t="s">
        <v>529</v>
      </c>
      <c r="B71" s="37">
        <v>3.451431669896095</v>
      </c>
      <c r="C71" s="37">
        <v>4.191269257784346</v>
      </c>
      <c r="D71" s="38" t="s">
        <v>258</v>
      </c>
      <c r="E71" s="38" t="s">
        <v>530</v>
      </c>
      <c r="F71" s="38" t="s">
        <v>3600</v>
      </c>
      <c r="G71" s="38" t="s">
        <v>531</v>
      </c>
      <c r="H71" s="38" t="s">
        <v>532</v>
      </c>
      <c r="I71" s="38" t="s">
        <v>258</v>
      </c>
      <c r="J71" s="37">
        <v>3.125</v>
      </c>
      <c r="K71" s="38" t="s">
        <v>533</v>
      </c>
      <c r="L71" s="38" t="s">
        <v>534</v>
      </c>
      <c r="M71" s="38" t="s">
        <v>54</v>
      </c>
      <c r="N71" s="38" t="s">
        <v>49</v>
      </c>
      <c r="O71" s="38" t="s">
        <v>50</v>
      </c>
      <c r="P71" s="38" t="s">
        <v>174</v>
      </c>
      <c r="Q71" s="38" t="s">
        <v>52</v>
      </c>
      <c r="R71" s="38" t="s">
        <v>53</v>
      </c>
      <c r="S71" s="38" t="s">
        <v>54</v>
      </c>
      <c r="T71" s="38" t="s">
        <v>55</v>
      </c>
      <c r="U71" s="38" t="s">
        <v>56</v>
      </c>
      <c r="V71" s="38" t="s">
        <v>57</v>
      </c>
      <c r="W71" s="37">
        <v>1.82463E8</v>
      </c>
      <c r="X71" s="38" t="s">
        <v>134</v>
      </c>
      <c r="Y71" s="38" t="s">
        <v>535</v>
      </c>
      <c r="Z71" s="38" t="s">
        <v>60</v>
      </c>
      <c r="AA71" s="38" t="s">
        <v>61</v>
      </c>
      <c r="AB71" s="38" t="s">
        <v>62</v>
      </c>
      <c r="AC71" s="38" t="s">
        <v>62</v>
      </c>
      <c r="AD71" s="38" t="s">
        <v>3601</v>
      </c>
      <c r="AE71" s="37">
        <v>2.666</v>
      </c>
      <c r="AF71" s="37">
        <v>2.666</v>
      </c>
    </row>
    <row r="72">
      <c r="A72" s="38" t="s">
        <v>538</v>
      </c>
      <c r="B72" s="37">
        <v>7.457019512031211</v>
      </c>
      <c r="C72" s="37">
        <v>7.502943439792069</v>
      </c>
      <c r="D72" s="38" t="s">
        <v>258</v>
      </c>
      <c r="E72" s="38" t="s">
        <v>539</v>
      </c>
      <c r="F72" s="38" t="s">
        <v>3602</v>
      </c>
      <c r="G72" s="38" t="s">
        <v>540</v>
      </c>
      <c r="H72" s="38" t="s">
        <v>541</v>
      </c>
      <c r="I72" s="38" t="s">
        <v>258</v>
      </c>
      <c r="J72" s="37">
        <v>5.0</v>
      </c>
      <c r="K72" s="38" t="s">
        <v>542</v>
      </c>
      <c r="L72" s="38" t="s">
        <v>543</v>
      </c>
      <c r="M72" s="37">
        <v>5.25</v>
      </c>
      <c r="N72" s="38" t="s">
        <v>115</v>
      </c>
      <c r="O72" s="38" t="s">
        <v>116</v>
      </c>
      <c r="P72" s="38" t="s">
        <v>262</v>
      </c>
      <c r="Q72" s="38" t="s">
        <v>52</v>
      </c>
      <c r="R72" s="38" t="s">
        <v>263</v>
      </c>
      <c r="S72" s="38" t="s">
        <v>297</v>
      </c>
      <c r="T72" s="38" t="s">
        <v>55</v>
      </c>
      <c r="U72" s="38" t="s">
        <v>56</v>
      </c>
      <c r="V72" s="38" t="s">
        <v>71</v>
      </c>
      <c r="W72" s="37">
        <v>4.0E8</v>
      </c>
      <c r="X72" s="38" t="s">
        <v>134</v>
      </c>
      <c r="Y72" s="38" t="s">
        <v>544</v>
      </c>
      <c r="Z72" s="38" t="s">
        <v>60</v>
      </c>
      <c r="AA72" s="38" t="s">
        <v>61</v>
      </c>
      <c r="AB72" s="38" t="s">
        <v>136</v>
      </c>
      <c r="AC72" s="38" t="s">
        <v>545</v>
      </c>
      <c r="AD72" s="38" t="s">
        <v>3603</v>
      </c>
      <c r="AE72" s="37">
        <v>5.434</v>
      </c>
      <c r="AF72" s="37">
        <v>5.25</v>
      </c>
    </row>
    <row r="73">
      <c r="A73" s="38" t="s">
        <v>538</v>
      </c>
      <c r="B73" s="37">
        <v>7.451146707969575</v>
      </c>
      <c r="C73" s="37">
        <v>7.4979603801522465</v>
      </c>
      <c r="D73" s="38" t="s">
        <v>258</v>
      </c>
      <c r="E73" s="38" t="s">
        <v>548</v>
      </c>
      <c r="F73" s="38" t="s">
        <v>3604</v>
      </c>
      <c r="G73" s="38" t="s">
        <v>549</v>
      </c>
      <c r="H73" s="38" t="s">
        <v>541</v>
      </c>
      <c r="I73" s="38" t="s">
        <v>258</v>
      </c>
      <c r="J73" s="37">
        <v>5.0</v>
      </c>
      <c r="K73" s="38" t="s">
        <v>542</v>
      </c>
      <c r="L73" s="38" t="s">
        <v>543</v>
      </c>
      <c r="M73" s="37">
        <v>5.25</v>
      </c>
      <c r="N73" s="38" t="s">
        <v>115</v>
      </c>
      <c r="O73" s="38" t="s">
        <v>116</v>
      </c>
      <c r="P73" s="38" t="s">
        <v>271</v>
      </c>
      <c r="Q73" s="38" t="s">
        <v>52</v>
      </c>
      <c r="R73" s="38" t="s">
        <v>263</v>
      </c>
      <c r="S73" s="38" t="s">
        <v>297</v>
      </c>
      <c r="T73" s="38" t="s">
        <v>55</v>
      </c>
      <c r="U73" s="38" t="s">
        <v>56</v>
      </c>
      <c r="V73" s="38" t="s">
        <v>71</v>
      </c>
      <c r="W73" s="37">
        <v>4.0E8</v>
      </c>
      <c r="X73" s="38" t="s">
        <v>134</v>
      </c>
      <c r="Y73" s="38" t="s">
        <v>544</v>
      </c>
      <c r="Z73" s="38" t="s">
        <v>60</v>
      </c>
      <c r="AA73" s="38" t="s">
        <v>61</v>
      </c>
      <c r="AB73" s="38" t="s">
        <v>136</v>
      </c>
      <c r="AC73" s="38" t="s">
        <v>545</v>
      </c>
      <c r="AD73" s="38" t="s">
        <v>3605</v>
      </c>
      <c r="AE73" s="37">
        <v>5.392</v>
      </c>
      <c r="AF73" s="37">
        <v>5.25</v>
      </c>
    </row>
    <row r="74">
      <c r="A74" s="38" t="s">
        <v>529</v>
      </c>
      <c r="B74" s="37">
        <v>10.601347165858071</v>
      </c>
      <c r="C74" s="37">
        <v>10.91732767178145</v>
      </c>
      <c r="D74" s="38" t="s">
        <v>258</v>
      </c>
      <c r="E74" s="38" t="s">
        <v>551</v>
      </c>
      <c r="F74" s="38" t="s">
        <v>3606</v>
      </c>
      <c r="G74" s="38" t="s">
        <v>552</v>
      </c>
      <c r="H74" s="38" t="s">
        <v>532</v>
      </c>
      <c r="I74" s="38" t="s">
        <v>258</v>
      </c>
      <c r="J74" s="37">
        <v>5.5</v>
      </c>
      <c r="K74" s="38" t="s">
        <v>553</v>
      </c>
      <c r="L74" s="38" t="s">
        <v>174</v>
      </c>
      <c r="M74" s="38" t="s">
        <v>54</v>
      </c>
      <c r="N74" s="38" t="s">
        <v>341</v>
      </c>
      <c r="O74" s="38" t="s">
        <v>116</v>
      </c>
      <c r="P74" s="38" t="s">
        <v>554</v>
      </c>
      <c r="Q74" s="38" t="s">
        <v>555</v>
      </c>
      <c r="R74" s="38" t="s">
        <v>53</v>
      </c>
      <c r="S74" s="38" t="s">
        <v>54</v>
      </c>
      <c r="T74" s="38" t="s">
        <v>55</v>
      </c>
      <c r="U74" s="38" t="s">
        <v>343</v>
      </c>
      <c r="V74" s="38" t="s">
        <v>57</v>
      </c>
      <c r="W74" s="37">
        <v>1.18745E8</v>
      </c>
      <c r="X74" s="38" t="s">
        <v>134</v>
      </c>
      <c r="Y74" s="38" t="s">
        <v>535</v>
      </c>
      <c r="Z74" s="38" t="s">
        <v>60</v>
      </c>
      <c r="AA74" s="38" t="s">
        <v>61</v>
      </c>
      <c r="AB74" s="38" t="s">
        <v>62</v>
      </c>
      <c r="AC74" s="38" t="s">
        <v>62</v>
      </c>
      <c r="AD74" s="38" t="s">
        <v>3607</v>
      </c>
      <c r="AE74" s="37">
        <v>9.726</v>
      </c>
      <c r="AF74" s="37">
        <v>9.726</v>
      </c>
    </row>
    <row r="75">
      <c r="A75" s="38" t="s">
        <v>558</v>
      </c>
      <c r="B75" s="37">
        <v>3.3281192352513287</v>
      </c>
      <c r="C75" s="37">
        <v>3.420594353608604</v>
      </c>
      <c r="D75" s="38" t="s">
        <v>368</v>
      </c>
      <c r="E75" s="38" t="s">
        <v>559</v>
      </c>
      <c r="F75" s="38" t="s">
        <v>3608</v>
      </c>
      <c r="G75" s="38" t="s">
        <v>560</v>
      </c>
      <c r="H75" s="38" t="s">
        <v>561</v>
      </c>
      <c r="I75" s="38" t="s">
        <v>368</v>
      </c>
      <c r="J75" s="37">
        <v>0.875</v>
      </c>
      <c r="K75" s="38" t="s">
        <v>513</v>
      </c>
      <c r="L75" s="38" t="s">
        <v>562</v>
      </c>
      <c r="M75" s="38" t="s">
        <v>54</v>
      </c>
      <c r="N75" s="38" t="s">
        <v>115</v>
      </c>
      <c r="O75" s="38" t="s">
        <v>116</v>
      </c>
      <c r="P75" s="38" t="s">
        <v>174</v>
      </c>
      <c r="Q75" s="38" t="s">
        <v>52</v>
      </c>
      <c r="R75" s="38" t="s">
        <v>53</v>
      </c>
      <c r="S75" s="38" t="s">
        <v>190</v>
      </c>
      <c r="T75" s="38" t="s">
        <v>421</v>
      </c>
      <c r="U75" s="38" t="s">
        <v>56</v>
      </c>
      <c r="V75" s="38" t="s">
        <v>57</v>
      </c>
      <c r="W75" s="37">
        <v>6.06845E8</v>
      </c>
      <c r="X75" s="38" t="s">
        <v>485</v>
      </c>
      <c r="Y75" s="38" t="s">
        <v>563</v>
      </c>
      <c r="Z75" s="38" t="s">
        <v>60</v>
      </c>
      <c r="AA75" s="38" t="s">
        <v>487</v>
      </c>
      <c r="AB75" s="38" t="s">
        <v>564</v>
      </c>
      <c r="AC75" s="38" t="s">
        <v>564</v>
      </c>
      <c r="AD75" s="38" t="s">
        <v>3609</v>
      </c>
      <c r="AE75" s="37">
        <v>1.016</v>
      </c>
      <c r="AF75" s="37">
        <v>1.016</v>
      </c>
    </row>
    <row r="76">
      <c r="A76" s="38" t="s">
        <v>567</v>
      </c>
      <c r="B76" s="37">
        <v>3.2334240054455203</v>
      </c>
      <c r="C76" s="37">
        <v>3.3538367594560023</v>
      </c>
      <c r="D76" s="38" t="s">
        <v>185</v>
      </c>
      <c r="E76" s="38" t="s">
        <v>568</v>
      </c>
      <c r="F76" s="38" t="s">
        <v>3610</v>
      </c>
      <c r="G76" s="38" t="s">
        <v>569</v>
      </c>
      <c r="H76" s="38" t="s">
        <v>570</v>
      </c>
      <c r="I76" s="38" t="s">
        <v>185</v>
      </c>
      <c r="J76" s="37">
        <v>1.0</v>
      </c>
      <c r="K76" s="38" t="s">
        <v>513</v>
      </c>
      <c r="L76" s="38" t="s">
        <v>571</v>
      </c>
      <c r="M76" s="38" t="s">
        <v>54</v>
      </c>
      <c r="N76" s="38" t="s">
        <v>115</v>
      </c>
      <c r="O76" s="38" t="s">
        <v>116</v>
      </c>
      <c r="P76" s="38" t="s">
        <v>174</v>
      </c>
      <c r="Q76" s="38" t="s">
        <v>52</v>
      </c>
      <c r="R76" s="38" t="s">
        <v>53</v>
      </c>
      <c r="S76" s="38" t="s">
        <v>497</v>
      </c>
      <c r="T76" s="38" t="s">
        <v>55</v>
      </c>
      <c r="U76" s="38" t="s">
        <v>56</v>
      </c>
      <c r="V76" s="38" t="s">
        <v>57</v>
      </c>
      <c r="W76" s="37">
        <v>3.64107E8</v>
      </c>
      <c r="X76" s="38" t="s">
        <v>85</v>
      </c>
      <c r="Y76" s="38" t="s">
        <v>515</v>
      </c>
      <c r="Z76" s="38" t="s">
        <v>60</v>
      </c>
      <c r="AA76" s="38" t="s">
        <v>61</v>
      </c>
      <c r="AB76" s="38" t="s">
        <v>177</v>
      </c>
      <c r="AC76" s="38" t="s">
        <v>178</v>
      </c>
      <c r="AD76" s="38" t="s">
        <v>3611</v>
      </c>
      <c r="AE76" s="37">
        <v>1.149</v>
      </c>
      <c r="AF76" s="37">
        <v>1.149</v>
      </c>
    </row>
    <row r="77">
      <c r="A77" s="38" t="s">
        <v>574</v>
      </c>
      <c r="B77" s="37">
        <v>3.4445830523562355</v>
      </c>
      <c r="C77" s="37">
        <v>3.63005216341246</v>
      </c>
      <c r="D77" s="38" t="s">
        <v>185</v>
      </c>
      <c r="E77" s="38" t="s">
        <v>575</v>
      </c>
      <c r="F77" s="38" t="s">
        <v>3612</v>
      </c>
      <c r="G77" s="38" t="s">
        <v>576</v>
      </c>
      <c r="H77" s="38" t="s">
        <v>577</v>
      </c>
      <c r="I77" s="38" t="s">
        <v>185</v>
      </c>
      <c r="J77" s="37">
        <v>1.625</v>
      </c>
      <c r="K77" s="38" t="s">
        <v>513</v>
      </c>
      <c r="L77" s="38" t="s">
        <v>578</v>
      </c>
      <c r="M77" s="38" t="s">
        <v>54</v>
      </c>
      <c r="N77" s="38" t="s">
        <v>115</v>
      </c>
      <c r="O77" s="38" t="s">
        <v>116</v>
      </c>
      <c r="P77" s="38" t="s">
        <v>174</v>
      </c>
      <c r="Q77" s="38" t="s">
        <v>52</v>
      </c>
      <c r="R77" s="38" t="s">
        <v>53</v>
      </c>
      <c r="S77" s="38" t="s">
        <v>190</v>
      </c>
      <c r="T77" s="38" t="s">
        <v>55</v>
      </c>
      <c r="U77" s="38" t="s">
        <v>56</v>
      </c>
      <c r="V77" s="38" t="s">
        <v>57</v>
      </c>
      <c r="W77" s="37">
        <v>6.06845E8</v>
      </c>
      <c r="X77" s="38" t="s">
        <v>85</v>
      </c>
      <c r="Y77" s="38" t="s">
        <v>265</v>
      </c>
      <c r="Z77" s="38" t="s">
        <v>60</v>
      </c>
      <c r="AA77" s="38" t="s">
        <v>61</v>
      </c>
      <c r="AB77" s="38" t="s">
        <v>177</v>
      </c>
      <c r="AC77" s="38" t="s">
        <v>579</v>
      </c>
      <c r="AD77" s="38" t="s">
        <v>3613</v>
      </c>
      <c r="AE77" s="37">
        <v>1.533</v>
      </c>
      <c r="AF77" s="37">
        <v>1.533</v>
      </c>
    </row>
    <row r="78">
      <c r="A78" s="38" t="s">
        <v>345</v>
      </c>
      <c r="B78" s="37">
        <v>5.279060050331217</v>
      </c>
      <c r="C78" s="37">
        <v>5.451582836664639</v>
      </c>
      <c r="D78" s="38" t="s">
        <v>185</v>
      </c>
      <c r="E78" s="38" t="s">
        <v>582</v>
      </c>
      <c r="F78" s="38" t="s">
        <v>3614</v>
      </c>
      <c r="G78" s="38" t="s">
        <v>583</v>
      </c>
      <c r="H78" s="38" t="s">
        <v>348</v>
      </c>
      <c r="I78" s="38" t="s">
        <v>185</v>
      </c>
      <c r="J78" s="37">
        <v>3.125</v>
      </c>
      <c r="K78" s="38" t="s">
        <v>584</v>
      </c>
      <c r="L78" s="38" t="s">
        <v>585</v>
      </c>
      <c r="M78" s="37">
        <v>3.125</v>
      </c>
      <c r="N78" s="38" t="s">
        <v>115</v>
      </c>
      <c r="O78" s="38" t="s">
        <v>116</v>
      </c>
      <c r="P78" s="38" t="s">
        <v>262</v>
      </c>
      <c r="Q78" s="38" t="s">
        <v>52</v>
      </c>
      <c r="R78" s="38" t="s">
        <v>53</v>
      </c>
      <c r="S78" s="38" t="s">
        <v>351</v>
      </c>
      <c r="T78" s="38" t="s">
        <v>55</v>
      </c>
      <c r="U78" s="38" t="s">
        <v>56</v>
      </c>
      <c r="V78" s="38" t="s">
        <v>71</v>
      </c>
      <c r="W78" s="37">
        <v>3.66363E8</v>
      </c>
      <c r="X78" s="38" t="s">
        <v>85</v>
      </c>
      <c r="Y78" s="38" t="s">
        <v>86</v>
      </c>
      <c r="Z78" s="38" t="s">
        <v>60</v>
      </c>
      <c r="AA78" s="38" t="s">
        <v>61</v>
      </c>
      <c r="AB78" s="38" t="s">
        <v>87</v>
      </c>
      <c r="AC78" s="38" t="s">
        <v>88</v>
      </c>
      <c r="AD78" s="38" t="s">
        <v>3615</v>
      </c>
      <c r="AE78" s="37">
        <v>3.064</v>
      </c>
      <c r="AF78" s="37">
        <v>3.125</v>
      </c>
    </row>
    <row r="79">
      <c r="A79" s="38" t="s">
        <v>345</v>
      </c>
      <c r="B79" s="37">
        <v>5.251851550545153</v>
      </c>
      <c r="C79" s="37">
        <v>5.441222518135635</v>
      </c>
      <c r="D79" s="38" t="s">
        <v>185</v>
      </c>
      <c r="E79" s="38" t="s">
        <v>588</v>
      </c>
      <c r="F79" s="38" t="s">
        <v>3616</v>
      </c>
      <c r="G79" s="38" t="s">
        <v>589</v>
      </c>
      <c r="H79" s="38" t="s">
        <v>348</v>
      </c>
      <c r="I79" s="38" t="s">
        <v>185</v>
      </c>
      <c r="J79" s="37">
        <v>3.125</v>
      </c>
      <c r="K79" s="38" t="s">
        <v>584</v>
      </c>
      <c r="L79" s="38" t="s">
        <v>585</v>
      </c>
      <c r="M79" s="37">
        <v>3.125</v>
      </c>
      <c r="N79" s="38" t="s">
        <v>115</v>
      </c>
      <c r="O79" s="38" t="s">
        <v>116</v>
      </c>
      <c r="P79" s="38" t="s">
        <v>271</v>
      </c>
      <c r="Q79" s="38" t="s">
        <v>52</v>
      </c>
      <c r="R79" s="38" t="s">
        <v>53</v>
      </c>
      <c r="S79" s="38" t="s">
        <v>351</v>
      </c>
      <c r="T79" s="38" t="s">
        <v>55</v>
      </c>
      <c r="U79" s="38" t="s">
        <v>56</v>
      </c>
      <c r="V79" s="38" t="s">
        <v>71</v>
      </c>
      <c r="W79" s="37">
        <v>3.66363E8</v>
      </c>
      <c r="X79" s="38" t="s">
        <v>85</v>
      </c>
      <c r="Y79" s="38" t="s">
        <v>86</v>
      </c>
      <c r="Z79" s="38" t="s">
        <v>60</v>
      </c>
      <c r="AA79" s="38" t="s">
        <v>61</v>
      </c>
      <c r="AB79" s="38" t="s">
        <v>87</v>
      </c>
      <c r="AC79" s="38" t="s">
        <v>88</v>
      </c>
      <c r="AD79" s="38" t="s">
        <v>3617</v>
      </c>
      <c r="AE79" s="37">
        <v>3.064</v>
      </c>
      <c r="AF79" s="37">
        <v>3.125</v>
      </c>
    </row>
    <row r="80">
      <c r="A80" s="38" t="s">
        <v>591</v>
      </c>
      <c r="B80" s="37">
        <v>4.193738806121339</v>
      </c>
      <c r="C80" s="37">
        <v>4.293343144581542</v>
      </c>
      <c r="D80" s="38" t="s">
        <v>595</v>
      </c>
      <c r="E80" s="38" t="s">
        <v>592</v>
      </c>
      <c r="F80" s="38" t="s">
        <v>3618</v>
      </c>
      <c r="G80" s="38" t="s">
        <v>593</v>
      </c>
      <c r="H80" s="38" t="s">
        <v>594</v>
      </c>
      <c r="I80" s="38" t="s">
        <v>595</v>
      </c>
      <c r="J80" s="37">
        <v>1.75</v>
      </c>
      <c r="K80" s="38" t="s">
        <v>597</v>
      </c>
      <c r="L80" s="38" t="s">
        <v>598</v>
      </c>
      <c r="M80" s="38" t="s">
        <v>54</v>
      </c>
      <c r="N80" s="38" t="s">
        <v>115</v>
      </c>
      <c r="O80" s="38" t="s">
        <v>116</v>
      </c>
      <c r="P80" s="38" t="s">
        <v>174</v>
      </c>
      <c r="Q80" s="38" t="s">
        <v>52</v>
      </c>
      <c r="R80" s="38" t="s">
        <v>53</v>
      </c>
      <c r="S80" s="38" t="s">
        <v>175</v>
      </c>
      <c r="T80" s="38" t="s">
        <v>55</v>
      </c>
      <c r="U80" s="38" t="s">
        <v>56</v>
      </c>
      <c r="V80" s="38" t="s">
        <v>57</v>
      </c>
      <c r="W80" s="37">
        <v>8.48428E8</v>
      </c>
      <c r="X80" s="38" t="s">
        <v>485</v>
      </c>
      <c r="Y80" s="38" t="s">
        <v>599</v>
      </c>
      <c r="Z80" s="38" t="s">
        <v>60</v>
      </c>
      <c r="AA80" s="38" t="s">
        <v>487</v>
      </c>
      <c r="AB80" s="38" t="s">
        <v>600</v>
      </c>
      <c r="AC80" s="38" t="s">
        <v>601</v>
      </c>
      <c r="AD80" s="38" t="s">
        <v>3619</v>
      </c>
      <c r="AE80" s="37">
        <v>1.85</v>
      </c>
      <c r="AF80" s="37">
        <v>1.85</v>
      </c>
    </row>
    <row r="81">
      <c r="A81" s="38" t="s">
        <v>604</v>
      </c>
      <c r="B81" s="37">
        <v>6.073071839404098</v>
      </c>
      <c r="C81" s="37">
        <v>6.688238758249189</v>
      </c>
      <c r="D81" s="38" t="s">
        <v>368</v>
      </c>
      <c r="E81" s="38" t="s">
        <v>605</v>
      </c>
      <c r="F81" s="38" t="s">
        <v>3620</v>
      </c>
      <c r="G81" s="38" t="s">
        <v>606</v>
      </c>
      <c r="H81" s="38" t="s">
        <v>607</v>
      </c>
      <c r="I81" s="38" t="s">
        <v>368</v>
      </c>
      <c r="J81" s="37">
        <v>6.79</v>
      </c>
      <c r="K81" s="38" t="s">
        <v>608</v>
      </c>
      <c r="L81" s="38" t="s">
        <v>609</v>
      </c>
      <c r="M81" s="38" t="s">
        <v>54</v>
      </c>
      <c r="N81" s="38" t="s">
        <v>115</v>
      </c>
      <c r="O81" s="38" t="s">
        <v>116</v>
      </c>
      <c r="P81" s="38" t="s">
        <v>174</v>
      </c>
      <c r="Q81" s="38" t="s">
        <v>459</v>
      </c>
      <c r="R81" s="38" t="s">
        <v>610</v>
      </c>
      <c r="S81" s="38" t="s">
        <v>54</v>
      </c>
      <c r="T81" s="38" t="s">
        <v>55</v>
      </c>
      <c r="U81" s="38" t="s">
        <v>70</v>
      </c>
      <c r="V81" s="38" t="s">
        <v>392</v>
      </c>
      <c r="W81" s="37">
        <v>1.1481225E8</v>
      </c>
      <c r="X81" s="38" t="s">
        <v>58</v>
      </c>
      <c r="Y81" s="38" t="s">
        <v>59</v>
      </c>
      <c r="Z81" s="38" t="s">
        <v>60</v>
      </c>
      <c r="AA81" s="38" t="s">
        <v>61</v>
      </c>
      <c r="AB81" s="38" t="s">
        <v>177</v>
      </c>
      <c r="AC81" s="38" t="s">
        <v>192</v>
      </c>
      <c r="AD81" s="38" t="s">
        <v>3621</v>
      </c>
      <c r="AE81" s="38" t="s">
        <v>54</v>
      </c>
      <c r="AF81" s="38" t="s">
        <v>54</v>
      </c>
    </row>
    <row r="82">
      <c r="A82" s="38" t="s">
        <v>614</v>
      </c>
      <c r="B82" s="37">
        <v>2.0988466615968084</v>
      </c>
      <c r="C82" s="37">
        <v>2.1519236700504125</v>
      </c>
      <c r="D82" s="38" t="s">
        <v>200</v>
      </c>
      <c r="E82" s="38" t="s">
        <v>615</v>
      </c>
      <c r="F82" s="38" t="s">
        <v>3622</v>
      </c>
      <c r="G82" s="38" t="s">
        <v>616</v>
      </c>
      <c r="H82" s="38" t="s">
        <v>617</v>
      </c>
      <c r="I82" s="38" t="s">
        <v>200</v>
      </c>
      <c r="J82" s="37">
        <v>0.375</v>
      </c>
      <c r="K82" s="38" t="s">
        <v>618</v>
      </c>
      <c r="L82" s="38" t="s">
        <v>619</v>
      </c>
      <c r="M82" s="38" t="s">
        <v>54</v>
      </c>
      <c r="N82" s="38" t="s">
        <v>49</v>
      </c>
      <c r="O82" s="38" t="s">
        <v>50</v>
      </c>
      <c r="P82" s="38" t="s">
        <v>226</v>
      </c>
      <c r="Q82" s="38" t="s">
        <v>52</v>
      </c>
      <c r="R82" s="38" t="s">
        <v>53</v>
      </c>
      <c r="S82" s="38" t="s">
        <v>620</v>
      </c>
      <c r="T82" s="38" t="s">
        <v>117</v>
      </c>
      <c r="U82" s="38" t="s">
        <v>56</v>
      </c>
      <c r="V82" s="38" t="s">
        <v>57</v>
      </c>
      <c r="W82" s="37">
        <v>1.21222E9</v>
      </c>
      <c r="X82" s="38" t="s">
        <v>214</v>
      </c>
      <c r="Y82" s="38" t="s">
        <v>621</v>
      </c>
      <c r="Z82" s="38" t="s">
        <v>60</v>
      </c>
      <c r="AA82" s="38" t="s">
        <v>61</v>
      </c>
      <c r="AB82" s="38" t="s">
        <v>214</v>
      </c>
      <c r="AC82" s="38" t="s">
        <v>622</v>
      </c>
      <c r="AD82" s="38" t="s">
        <v>3623</v>
      </c>
      <c r="AE82" s="37">
        <v>0.294</v>
      </c>
      <c r="AF82" s="37">
        <v>0.294</v>
      </c>
    </row>
    <row r="83">
      <c r="A83" s="38" t="s">
        <v>625</v>
      </c>
      <c r="B83" s="38" t="s">
        <v>54</v>
      </c>
      <c r="C83" s="38" t="s">
        <v>54</v>
      </c>
      <c r="D83" s="38" t="s">
        <v>45</v>
      </c>
      <c r="E83" s="38" t="s">
        <v>626</v>
      </c>
      <c r="F83" s="38" t="s">
        <v>174</v>
      </c>
      <c r="G83" s="38" t="s">
        <v>627</v>
      </c>
      <c r="H83" s="38" t="s">
        <v>628</v>
      </c>
      <c r="I83" s="38" t="s">
        <v>45</v>
      </c>
      <c r="J83" s="37">
        <v>0.0</v>
      </c>
      <c r="K83" s="38" t="s">
        <v>629</v>
      </c>
      <c r="L83" s="38" t="s">
        <v>630</v>
      </c>
      <c r="M83" s="38" t="s">
        <v>54</v>
      </c>
      <c r="N83" s="38" t="s">
        <v>49</v>
      </c>
      <c r="O83" s="38" t="s">
        <v>50</v>
      </c>
      <c r="P83" s="38" t="s">
        <v>162</v>
      </c>
      <c r="Q83" s="38" t="s">
        <v>52</v>
      </c>
      <c r="R83" s="38" t="s">
        <v>53</v>
      </c>
      <c r="S83" s="38" t="s">
        <v>54</v>
      </c>
      <c r="T83" s="38" t="s">
        <v>55</v>
      </c>
      <c r="U83" s="38" t="s">
        <v>70</v>
      </c>
      <c r="V83" s="38" t="s">
        <v>71</v>
      </c>
      <c r="W83" s="37">
        <v>4.135145E8</v>
      </c>
      <c r="X83" s="38" t="s">
        <v>134</v>
      </c>
      <c r="Y83" s="38" t="s">
        <v>544</v>
      </c>
      <c r="Z83" s="38" t="s">
        <v>60</v>
      </c>
      <c r="AA83" s="38" t="s">
        <v>61</v>
      </c>
      <c r="AB83" s="38" t="s">
        <v>136</v>
      </c>
      <c r="AC83" s="38" t="s">
        <v>545</v>
      </c>
      <c r="AD83" s="38" t="s">
        <v>3624</v>
      </c>
      <c r="AE83" s="38" t="s">
        <v>54</v>
      </c>
      <c r="AF83" s="38" t="s">
        <v>54</v>
      </c>
    </row>
    <row r="84">
      <c r="A84" s="38" t="s">
        <v>625</v>
      </c>
      <c r="B84" s="38" t="s">
        <v>54</v>
      </c>
      <c r="C84" s="38" t="s">
        <v>54</v>
      </c>
      <c r="D84" s="38" t="s">
        <v>45</v>
      </c>
      <c r="E84" s="38" t="s">
        <v>633</v>
      </c>
      <c r="F84" s="38" t="s">
        <v>174</v>
      </c>
      <c r="G84" s="38" t="s">
        <v>634</v>
      </c>
      <c r="H84" s="38" t="s">
        <v>628</v>
      </c>
      <c r="I84" s="38" t="s">
        <v>45</v>
      </c>
      <c r="J84" s="37">
        <v>0.0</v>
      </c>
      <c r="K84" s="38" t="s">
        <v>629</v>
      </c>
      <c r="L84" s="38" t="s">
        <v>635</v>
      </c>
      <c r="M84" s="38" t="s">
        <v>54</v>
      </c>
      <c r="N84" s="38" t="s">
        <v>49</v>
      </c>
      <c r="O84" s="38" t="s">
        <v>50</v>
      </c>
      <c r="P84" s="38" t="s">
        <v>76</v>
      </c>
      <c r="Q84" s="38" t="s">
        <v>52</v>
      </c>
      <c r="R84" s="38" t="s">
        <v>53</v>
      </c>
      <c r="S84" s="38" t="s">
        <v>54</v>
      </c>
      <c r="T84" s="38" t="s">
        <v>55</v>
      </c>
      <c r="U84" s="38" t="s">
        <v>70</v>
      </c>
      <c r="V84" s="38" t="s">
        <v>71</v>
      </c>
      <c r="W84" s="37">
        <v>4.135145E8</v>
      </c>
      <c r="X84" s="38" t="s">
        <v>134</v>
      </c>
      <c r="Y84" s="38" t="s">
        <v>544</v>
      </c>
      <c r="Z84" s="38" t="s">
        <v>60</v>
      </c>
      <c r="AA84" s="38" t="s">
        <v>61</v>
      </c>
      <c r="AB84" s="38" t="s">
        <v>136</v>
      </c>
      <c r="AC84" s="38" t="s">
        <v>545</v>
      </c>
      <c r="AD84" s="38" t="s">
        <v>3625</v>
      </c>
      <c r="AE84" s="38" t="s">
        <v>54</v>
      </c>
      <c r="AF84" s="38" t="s">
        <v>54</v>
      </c>
    </row>
    <row r="85">
      <c r="A85" s="38" t="s">
        <v>625</v>
      </c>
      <c r="B85" s="38" t="s">
        <v>54</v>
      </c>
      <c r="C85" s="38" t="s">
        <v>54</v>
      </c>
      <c r="D85" s="38" t="s">
        <v>45</v>
      </c>
      <c r="E85" s="38" t="s">
        <v>636</v>
      </c>
      <c r="F85" s="38" t="s">
        <v>174</v>
      </c>
      <c r="G85" s="38" t="s">
        <v>637</v>
      </c>
      <c r="H85" s="38" t="s">
        <v>628</v>
      </c>
      <c r="I85" s="38" t="s">
        <v>45</v>
      </c>
      <c r="J85" s="37">
        <v>0.0</v>
      </c>
      <c r="K85" s="38" t="s">
        <v>629</v>
      </c>
      <c r="L85" s="38" t="s">
        <v>638</v>
      </c>
      <c r="M85" s="38" t="s">
        <v>54</v>
      </c>
      <c r="N85" s="38" t="s">
        <v>49</v>
      </c>
      <c r="O85" s="38" t="s">
        <v>50</v>
      </c>
      <c r="P85" s="38" t="s">
        <v>69</v>
      </c>
      <c r="Q85" s="38" t="s">
        <v>52</v>
      </c>
      <c r="R85" s="38" t="s">
        <v>53</v>
      </c>
      <c r="S85" s="38" t="s">
        <v>54</v>
      </c>
      <c r="T85" s="38" t="s">
        <v>55</v>
      </c>
      <c r="U85" s="38" t="s">
        <v>70</v>
      </c>
      <c r="V85" s="38" t="s">
        <v>71</v>
      </c>
      <c r="W85" s="37">
        <v>4.135145E8</v>
      </c>
      <c r="X85" s="38" t="s">
        <v>134</v>
      </c>
      <c r="Y85" s="38" t="s">
        <v>544</v>
      </c>
      <c r="Z85" s="38" t="s">
        <v>60</v>
      </c>
      <c r="AA85" s="38" t="s">
        <v>61</v>
      </c>
      <c r="AB85" s="38" t="s">
        <v>136</v>
      </c>
      <c r="AC85" s="38" t="s">
        <v>545</v>
      </c>
      <c r="AD85" s="38" t="s">
        <v>3626</v>
      </c>
      <c r="AE85" s="38" t="s">
        <v>54</v>
      </c>
      <c r="AF85" s="38" t="s">
        <v>54</v>
      </c>
    </row>
    <row r="86">
      <c r="A86" s="38" t="s">
        <v>625</v>
      </c>
      <c r="B86" s="38" t="s">
        <v>54</v>
      </c>
      <c r="C86" s="38" t="s">
        <v>54</v>
      </c>
      <c r="D86" s="38" t="s">
        <v>45</v>
      </c>
      <c r="E86" s="38" t="s">
        <v>639</v>
      </c>
      <c r="F86" s="38" t="s">
        <v>174</v>
      </c>
      <c r="G86" s="38" t="s">
        <v>640</v>
      </c>
      <c r="H86" s="38" t="s">
        <v>628</v>
      </c>
      <c r="I86" s="38" t="s">
        <v>45</v>
      </c>
      <c r="J86" s="37">
        <v>0.0</v>
      </c>
      <c r="K86" s="38" t="s">
        <v>629</v>
      </c>
      <c r="L86" s="38" t="s">
        <v>641</v>
      </c>
      <c r="M86" s="38" t="s">
        <v>54</v>
      </c>
      <c r="N86" s="38" t="s">
        <v>49</v>
      </c>
      <c r="O86" s="38" t="s">
        <v>50</v>
      </c>
      <c r="P86" s="38" t="s">
        <v>51</v>
      </c>
      <c r="Q86" s="38" t="s">
        <v>52</v>
      </c>
      <c r="R86" s="38" t="s">
        <v>53</v>
      </c>
      <c r="S86" s="38" t="s">
        <v>54</v>
      </c>
      <c r="T86" s="38" t="s">
        <v>55</v>
      </c>
      <c r="U86" s="38" t="s">
        <v>56</v>
      </c>
      <c r="V86" s="38" t="s">
        <v>57</v>
      </c>
      <c r="W86" s="37">
        <v>4.135145E8</v>
      </c>
      <c r="X86" s="38" t="s">
        <v>134</v>
      </c>
      <c r="Y86" s="38" t="s">
        <v>544</v>
      </c>
      <c r="Z86" s="38" t="s">
        <v>60</v>
      </c>
      <c r="AA86" s="38" t="s">
        <v>61</v>
      </c>
      <c r="AB86" s="38" t="s">
        <v>136</v>
      </c>
      <c r="AC86" s="38" t="s">
        <v>545</v>
      </c>
      <c r="AD86" s="38" t="s">
        <v>3627</v>
      </c>
      <c r="AE86" s="38" t="s">
        <v>54</v>
      </c>
      <c r="AF86" s="38" t="s">
        <v>54</v>
      </c>
    </row>
    <row r="87">
      <c r="A87" s="38" t="s">
        <v>642</v>
      </c>
      <c r="B87" s="37">
        <v>1.9229293388013158</v>
      </c>
      <c r="C87" s="37">
        <v>1.9876319190867076</v>
      </c>
      <c r="D87" s="38" t="s">
        <v>367</v>
      </c>
      <c r="E87" s="38" t="s">
        <v>643</v>
      </c>
      <c r="F87" s="38" t="s">
        <v>3628</v>
      </c>
      <c r="G87" s="38" t="s">
        <v>644</v>
      </c>
      <c r="H87" s="38" t="s">
        <v>645</v>
      </c>
      <c r="I87" s="38" t="s">
        <v>367</v>
      </c>
      <c r="J87" s="37">
        <v>0.0</v>
      </c>
      <c r="K87" s="38" t="s">
        <v>646</v>
      </c>
      <c r="L87" s="38" t="s">
        <v>647</v>
      </c>
      <c r="M87" s="38" t="s">
        <v>54</v>
      </c>
      <c r="N87" s="38" t="s">
        <v>115</v>
      </c>
      <c r="O87" s="38" t="s">
        <v>116</v>
      </c>
      <c r="P87" s="38" t="s">
        <v>226</v>
      </c>
      <c r="Q87" s="38" t="s">
        <v>52</v>
      </c>
      <c r="R87" s="38" t="s">
        <v>53</v>
      </c>
      <c r="S87" s="38" t="s">
        <v>620</v>
      </c>
      <c r="T87" s="38" t="s">
        <v>55</v>
      </c>
      <c r="U87" s="38" t="s">
        <v>56</v>
      </c>
      <c r="V87" s="38" t="s">
        <v>57</v>
      </c>
      <c r="W87" s="37">
        <v>1.18961E9</v>
      </c>
      <c r="X87" s="38" t="s">
        <v>120</v>
      </c>
      <c r="Y87" s="38" t="s">
        <v>120</v>
      </c>
      <c r="Z87" s="38" t="s">
        <v>60</v>
      </c>
      <c r="AA87" s="38" t="s">
        <v>121</v>
      </c>
      <c r="AB87" s="38" t="s">
        <v>122</v>
      </c>
      <c r="AC87" s="38" t="s">
        <v>122</v>
      </c>
      <c r="AD87" s="38" t="s">
        <v>3629</v>
      </c>
      <c r="AE87" s="37">
        <v>0.166</v>
      </c>
      <c r="AF87" s="37">
        <v>0.166</v>
      </c>
    </row>
    <row r="88">
      <c r="A88" s="38" t="s">
        <v>642</v>
      </c>
      <c r="B88" s="37">
        <v>2.4499038128506228</v>
      </c>
      <c r="C88" s="37">
        <v>2.5100697007086104</v>
      </c>
      <c r="D88" s="38" t="s">
        <v>367</v>
      </c>
      <c r="E88" s="38" t="s">
        <v>650</v>
      </c>
      <c r="F88" s="38" t="s">
        <v>3630</v>
      </c>
      <c r="G88" s="38" t="s">
        <v>651</v>
      </c>
      <c r="H88" s="38" t="s">
        <v>645</v>
      </c>
      <c r="I88" s="38" t="s">
        <v>367</v>
      </c>
      <c r="J88" s="37">
        <v>0.5</v>
      </c>
      <c r="K88" s="38" t="s">
        <v>646</v>
      </c>
      <c r="L88" s="38" t="s">
        <v>652</v>
      </c>
      <c r="M88" s="38" t="s">
        <v>54</v>
      </c>
      <c r="N88" s="38" t="s">
        <v>115</v>
      </c>
      <c r="O88" s="38" t="s">
        <v>116</v>
      </c>
      <c r="P88" s="38" t="s">
        <v>226</v>
      </c>
      <c r="Q88" s="38" t="s">
        <v>52</v>
      </c>
      <c r="R88" s="38" t="s">
        <v>53</v>
      </c>
      <c r="S88" s="38" t="s">
        <v>620</v>
      </c>
      <c r="T88" s="38" t="s">
        <v>55</v>
      </c>
      <c r="U88" s="38" t="s">
        <v>56</v>
      </c>
      <c r="V88" s="38" t="s">
        <v>57</v>
      </c>
      <c r="W88" s="37">
        <v>1.4870125E9</v>
      </c>
      <c r="X88" s="38" t="s">
        <v>120</v>
      </c>
      <c r="Y88" s="38" t="s">
        <v>120</v>
      </c>
      <c r="Z88" s="38" t="s">
        <v>60</v>
      </c>
      <c r="AA88" s="38" t="s">
        <v>121</v>
      </c>
      <c r="AB88" s="38" t="s">
        <v>122</v>
      </c>
      <c r="AC88" s="38" t="s">
        <v>122</v>
      </c>
      <c r="AD88" s="38" t="s">
        <v>3631</v>
      </c>
      <c r="AE88" s="37">
        <v>0.494</v>
      </c>
      <c r="AF88" s="37">
        <v>0.494</v>
      </c>
    </row>
    <row r="89">
      <c r="A89" s="38" t="s">
        <v>642</v>
      </c>
      <c r="B89" s="37">
        <v>2.9294723955847854</v>
      </c>
      <c r="C89" s="37">
        <v>2.993363734045538</v>
      </c>
      <c r="D89" s="38" t="s">
        <v>367</v>
      </c>
      <c r="E89" s="38" t="s">
        <v>654</v>
      </c>
      <c r="F89" s="38" t="s">
        <v>3632</v>
      </c>
      <c r="G89" s="38" t="s">
        <v>655</v>
      </c>
      <c r="H89" s="38" t="s">
        <v>645</v>
      </c>
      <c r="I89" s="38" t="s">
        <v>367</v>
      </c>
      <c r="J89" s="37">
        <v>0.875</v>
      </c>
      <c r="K89" s="38" t="s">
        <v>646</v>
      </c>
      <c r="L89" s="38" t="s">
        <v>656</v>
      </c>
      <c r="M89" s="38" t="s">
        <v>54</v>
      </c>
      <c r="N89" s="38" t="s">
        <v>115</v>
      </c>
      <c r="O89" s="38" t="s">
        <v>116</v>
      </c>
      <c r="P89" s="38" t="s">
        <v>226</v>
      </c>
      <c r="Q89" s="38" t="s">
        <v>52</v>
      </c>
      <c r="R89" s="38" t="s">
        <v>53</v>
      </c>
      <c r="S89" s="38" t="s">
        <v>620</v>
      </c>
      <c r="T89" s="38" t="s">
        <v>55</v>
      </c>
      <c r="U89" s="38" t="s">
        <v>56</v>
      </c>
      <c r="V89" s="38" t="s">
        <v>57</v>
      </c>
      <c r="W89" s="37">
        <v>1.18961E9</v>
      </c>
      <c r="X89" s="38" t="s">
        <v>120</v>
      </c>
      <c r="Y89" s="38" t="s">
        <v>120</v>
      </c>
      <c r="Z89" s="38" t="s">
        <v>60</v>
      </c>
      <c r="AA89" s="38" t="s">
        <v>121</v>
      </c>
      <c r="AB89" s="38" t="s">
        <v>122</v>
      </c>
      <c r="AC89" s="38" t="s">
        <v>122</v>
      </c>
      <c r="AD89" s="38" t="s">
        <v>3633</v>
      </c>
      <c r="AE89" s="37">
        <v>0.921</v>
      </c>
      <c r="AF89" s="37">
        <v>0.921</v>
      </c>
    </row>
    <row r="90">
      <c r="A90" s="38" t="s">
        <v>658</v>
      </c>
      <c r="B90" s="37">
        <v>5.835817338004493</v>
      </c>
      <c r="C90" s="37">
        <v>5.890867164645074</v>
      </c>
      <c r="D90" s="38" t="s">
        <v>170</v>
      </c>
      <c r="E90" s="38" t="s">
        <v>659</v>
      </c>
      <c r="F90" s="38" t="s">
        <v>3634</v>
      </c>
      <c r="G90" s="38" t="s">
        <v>660</v>
      </c>
      <c r="H90" s="38" t="s">
        <v>661</v>
      </c>
      <c r="I90" s="38" t="s">
        <v>170</v>
      </c>
      <c r="J90" s="37">
        <v>3.625</v>
      </c>
      <c r="K90" s="38" t="s">
        <v>662</v>
      </c>
      <c r="L90" s="38" t="s">
        <v>663</v>
      </c>
      <c r="M90" s="37">
        <v>3.75</v>
      </c>
      <c r="N90" s="38" t="s">
        <v>115</v>
      </c>
      <c r="O90" s="38" t="s">
        <v>116</v>
      </c>
      <c r="P90" s="38" t="s">
        <v>262</v>
      </c>
      <c r="Q90" s="38" t="s">
        <v>52</v>
      </c>
      <c r="R90" s="38" t="s">
        <v>263</v>
      </c>
      <c r="S90" s="38" t="s">
        <v>497</v>
      </c>
      <c r="T90" s="38" t="s">
        <v>55</v>
      </c>
      <c r="U90" s="38" t="s">
        <v>56</v>
      </c>
      <c r="V90" s="38" t="s">
        <v>71</v>
      </c>
      <c r="W90" s="37">
        <v>1.0E9</v>
      </c>
      <c r="X90" s="38" t="s">
        <v>422</v>
      </c>
      <c r="Y90" s="38" t="s">
        <v>664</v>
      </c>
      <c r="Z90" s="38" t="s">
        <v>60</v>
      </c>
      <c r="AA90" s="38" t="s">
        <v>61</v>
      </c>
      <c r="AB90" s="38" t="s">
        <v>228</v>
      </c>
      <c r="AC90" s="38" t="s">
        <v>665</v>
      </c>
      <c r="AD90" s="38" t="s">
        <v>3635</v>
      </c>
      <c r="AE90" s="37">
        <v>3.689</v>
      </c>
      <c r="AF90" s="37">
        <v>3.75</v>
      </c>
    </row>
    <row r="91">
      <c r="A91" s="38" t="s">
        <v>658</v>
      </c>
      <c r="B91" s="37">
        <v>5.784670469423013</v>
      </c>
      <c r="C91" s="37">
        <v>5.889190221451605</v>
      </c>
      <c r="D91" s="38" t="s">
        <v>170</v>
      </c>
      <c r="E91" s="38" t="s">
        <v>668</v>
      </c>
      <c r="F91" s="38" t="s">
        <v>3636</v>
      </c>
      <c r="G91" s="38" t="s">
        <v>669</v>
      </c>
      <c r="H91" s="38" t="s">
        <v>661</v>
      </c>
      <c r="I91" s="38" t="s">
        <v>170</v>
      </c>
      <c r="J91" s="37">
        <v>3.625</v>
      </c>
      <c r="K91" s="38" t="s">
        <v>662</v>
      </c>
      <c r="L91" s="38" t="s">
        <v>663</v>
      </c>
      <c r="M91" s="37">
        <v>3.75</v>
      </c>
      <c r="N91" s="38" t="s">
        <v>115</v>
      </c>
      <c r="O91" s="38" t="s">
        <v>116</v>
      </c>
      <c r="P91" s="38" t="s">
        <v>271</v>
      </c>
      <c r="Q91" s="38" t="s">
        <v>52</v>
      </c>
      <c r="R91" s="38" t="s">
        <v>263</v>
      </c>
      <c r="S91" s="38" t="s">
        <v>497</v>
      </c>
      <c r="T91" s="38" t="s">
        <v>55</v>
      </c>
      <c r="U91" s="38" t="s">
        <v>56</v>
      </c>
      <c r="V91" s="38" t="s">
        <v>71</v>
      </c>
      <c r="W91" s="37">
        <v>1.0E9</v>
      </c>
      <c r="X91" s="38" t="s">
        <v>422</v>
      </c>
      <c r="Y91" s="38" t="s">
        <v>664</v>
      </c>
      <c r="Z91" s="38" t="s">
        <v>60</v>
      </c>
      <c r="AA91" s="38" t="s">
        <v>61</v>
      </c>
      <c r="AB91" s="38" t="s">
        <v>228</v>
      </c>
      <c r="AC91" s="38" t="s">
        <v>665</v>
      </c>
      <c r="AD91" s="38" t="s">
        <v>3637</v>
      </c>
      <c r="AE91" s="37">
        <v>3.711</v>
      </c>
      <c r="AF91" s="37">
        <v>3.75</v>
      </c>
    </row>
    <row r="92">
      <c r="A92" s="38" t="s">
        <v>671</v>
      </c>
      <c r="B92" s="37">
        <v>0.0037916180889885354</v>
      </c>
      <c r="C92" s="37">
        <v>0.1816231446519101</v>
      </c>
      <c r="D92" s="38" t="s">
        <v>185</v>
      </c>
      <c r="E92" s="38" t="s">
        <v>672</v>
      </c>
      <c r="F92" s="38" t="s">
        <v>3638</v>
      </c>
      <c r="G92" s="38" t="s">
        <v>673</v>
      </c>
      <c r="H92" s="38" t="s">
        <v>674</v>
      </c>
      <c r="I92" s="38" t="s">
        <v>185</v>
      </c>
      <c r="J92" s="37">
        <v>0.0</v>
      </c>
      <c r="K92" s="38" t="s">
        <v>618</v>
      </c>
      <c r="L92" s="38" t="s">
        <v>619</v>
      </c>
      <c r="M92" s="37">
        <v>-0.12</v>
      </c>
      <c r="N92" s="38" t="s">
        <v>189</v>
      </c>
      <c r="O92" s="38" t="s">
        <v>50</v>
      </c>
      <c r="P92" s="38" t="s">
        <v>675</v>
      </c>
      <c r="Q92" s="38" t="s">
        <v>52</v>
      </c>
      <c r="R92" s="38" t="s">
        <v>53</v>
      </c>
      <c r="S92" s="38" t="s">
        <v>54</v>
      </c>
      <c r="T92" s="38" t="s">
        <v>421</v>
      </c>
      <c r="U92" s="38" t="s">
        <v>676</v>
      </c>
      <c r="V92" s="38" t="s">
        <v>174</v>
      </c>
      <c r="W92" s="37">
        <v>4.84887980217E8</v>
      </c>
      <c r="X92" s="38" t="s">
        <v>134</v>
      </c>
      <c r="Y92" s="38" t="s">
        <v>677</v>
      </c>
      <c r="Z92" s="38" t="s">
        <v>60</v>
      </c>
      <c r="AA92" s="38" t="s">
        <v>61</v>
      </c>
      <c r="AB92" s="38" t="s">
        <v>136</v>
      </c>
      <c r="AC92" s="38" t="s">
        <v>311</v>
      </c>
      <c r="AD92" s="38" t="s">
        <v>3639</v>
      </c>
      <c r="AE92" s="37">
        <v>-0.318</v>
      </c>
      <c r="AF92" s="37">
        <v>-0.12</v>
      </c>
    </row>
    <row r="93">
      <c r="A93" s="38" t="s">
        <v>680</v>
      </c>
      <c r="B93" s="37">
        <v>1.3388609971171446</v>
      </c>
      <c r="C93" s="37">
        <v>1.5112065142929898</v>
      </c>
      <c r="D93" s="38" t="s">
        <v>368</v>
      </c>
      <c r="E93" s="38" t="s">
        <v>681</v>
      </c>
      <c r="F93" s="38" t="s">
        <v>3640</v>
      </c>
      <c r="G93" s="38" t="s">
        <v>682</v>
      </c>
      <c r="H93" s="38" t="s">
        <v>683</v>
      </c>
      <c r="I93" s="38" t="s">
        <v>368</v>
      </c>
      <c r="J93" s="37">
        <v>1.8960000000000001</v>
      </c>
      <c r="K93" s="38" t="s">
        <v>684</v>
      </c>
      <c r="L93" s="38" t="s">
        <v>685</v>
      </c>
      <c r="M93" s="38" t="s">
        <v>54</v>
      </c>
      <c r="N93" s="38" t="s">
        <v>49</v>
      </c>
      <c r="O93" s="38" t="s">
        <v>50</v>
      </c>
      <c r="P93" s="38" t="s">
        <v>686</v>
      </c>
      <c r="Q93" s="38" t="s">
        <v>52</v>
      </c>
      <c r="R93" s="38" t="s">
        <v>687</v>
      </c>
      <c r="S93" s="38" t="s">
        <v>54</v>
      </c>
      <c r="T93" s="38" t="s">
        <v>55</v>
      </c>
      <c r="U93" s="38" t="s">
        <v>70</v>
      </c>
      <c r="V93" s="38" t="s">
        <v>392</v>
      </c>
      <c r="W93" s="37">
        <v>2.39118E8</v>
      </c>
      <c r="X93" s="38" t="s">
        <v>85</v>
      </c>
      <c r="Y93" s="38" t="s">
        <v>86</v>
      </c>
      <c r="Z93" s="38" t="s">
        <v>60</v>
      </c>
      <c r="AA93" s="38" t="s">
        <v>61</v>
      </c>
      <c r="AB93" s="38" t="s">
        <v>87</v>
      </c>
      <c r="AC93" s="38" t="s">
        <v>88</v>
      </c>
      <c r="AD93" s="38" t="s">
        <v>3641</v>
      </c>
      <c r="AE93" s="37">
        <v>1.66</v>
      </c>
      <c r="AF93" s="37">
        <v>1.66</v>
      </c>
    </row>
    <row r="94">
      <c r="A94" s="38" t="s">
        <v>690</v>
      </c>
      <c r="B94" s="38" t="s">
        <v>54</v>
      </c>
      <c r="C94" s="38" t="s">
        <v>54</v>
      </c>
      <c r="D94" s="38" t="s">
        <v>258</v>
      </c>
      <c r="E94" s="38" t="s">
        <v>691</v>
      </c>
      <c r="F94" s="38" t="s">
        <v>174</v>
      </c>
      <c r="G94" s="38" t="s">
        <v>692</v>
      </c>
      <c r="H94" s="38" t="s">
        <v>693</v>
      </c>
      <c r="I94" s="38" t="s">
        <v>258</v>
      </c>
      <c r="J94" s="37">
        <v>0.0</v>
      </c>
      <c r="K94" s="38" t="s">
        <v>694</v>
      </c>
      <c r="L94" s="38" t="s">
        <v>695</v>
      </c>
      <c r="M94" s="38" t="s">
        <v>54</v>
      </c>
      <c r="N94" s="38" t="s">
        <v>49</v>
      </c>
      <c r="O94" s="38" t="s">
        <v>50</v>
      </c>
      <c r="P94" s="38" t="s">
        <v>69</v>
      </c>
      <c r="Q94" s="38" t="s">
        <v>52</v>
      </c>
      <c r="R94" s="38" t="s">
        <v>53</v>
      </c>
      <c r="S94" s="38" t="s">
        <v>54</v>
      </c>
      <c r="T94" s="38" t="s">
        <v>55</v>
      </c>
      <c r="U94" s="38" t="s">
        <v>70</v>
      </c>
      <c r="V94" s="38" t="s">
        <v>71</v>
      </c>
      <c r="W94" s="37">
        <v>4.7352E8</v>
      </c>
      <c r="X94" s="38" t="s">
        <v>85</v>
      </c>
      <c r="Y94" s="38" t="s">
        <v>265</v>
      </c>
      <c r="Z94" s="38" t="s">
        <v>60</v>
      </c>
      <c r="AA94" s="38" t="s">
        <v>61</v>
      </c>
      <c r="AB94" s="38" t="s">
        <v>177</v>
      </c>
      <c r="AC94" s="38" t="s">
        <v>579</v>
      </c>
      <c r="AD94" s="38" t="s">
        <v>3642</v>
      </c>
      <c r="AE94" s="38" t="s">
        <v>54</v>
      </c>
      <c r="AF94" s="38" t="s">
        <v>54</v>
      </c>
    </row>
    <row r="95">
      <c r="A95" s="38" t="s">
        <v>690</v>
      </c>
      <c r="B95" s="38" t="s">
        <v>54</v>
      </c>
      <c r="C95" s="38" t="s">
        <v>54</v>
      </c>
      <c r="D95" s="38" t="s">
        <v>258</v>
      </c>
      <c r="E95" s="38" t="s">
        <v>698</v>
      </c>
      <c r="F95" s="38" t="s">
        <v>174</v>
      </c>
      <c r="G95" s="38" t="s">
        <v>699</v>
      </c>
      <c r="H95" s="38" t="s">
        <v>693</v>
      </c>
      <c r="I95" s="38" t="s">
        <v>258</v>
      </c>
      <c r="J95" s="37">
        <v>0.0</v>
      </c>
      <c r="K95" s="38" t="s">
        <v>694</v>
      </c>
      <c r="L95" s="38" t="s">
        <v>700</v>
      </c>
      <c r="M95" s="38" t="s">
        <v>54</v>
      </c>
      <c r="N95" s="38" t="s">
        <v>49</v>
      </c>
      <c r="O95" s="38" t="s">
        <v>50</v>
      </c>
      <c r="P95" s="38" t="s">
        <v>76</v>
      </c>
      <c r="Q95" s="38" t="s">
        <v>52</v>
      </c>
      <c r="R95" s="38" t="s">
        <v>53</v>
      </c>
      <c r="S95" s="38" t="s">
        <v>54</v>
      </c>
      <c r="T95" s="38" t="s">
        <v>55</v>
      </c>
      <c r="U95" s="38" t="s">
        <v>70</v>
      </c>
      <c r="V95" s="38" t="s">
        <v>71</v>
      </c>
      <c r="W95" s="37">
        <v>4.7352E8</v>
      </c>
      <c r="X95" s="38" t="s">
        <v>85</v>
      </c>
      <c r="Y95" s="38" t="s">
        <v>265</v>
      </c>
      <c r="Z95" s="38" t="s">
        <v>60</v>
      </c>
      <c r="AA95" s="38" t="s">
        <v>61</v>
      </c>
      <c r="AB95" s="38" t="s">
        <v>177</v>
      </c>
      <c r="AC95" s="38" t="s">
        <v>579</v>
      </c>
      <c r="AD95" s="38" t="s">
        <v>3643</v>
      </c>
      <c r="AE95" s="38" t="s">
        <v>54</v>
      </c>
      <c r="AF95" s="38" t="s">
        <v>54</v>
      </c>
    </row>
    <row r="96">
      <c r="A96" s="38" t="s">
        <v>690</v>
      </c>
      <c r="B96" s="38" t="s">
        <v>54</v>
      </c>
      <c r="C96" s="38" t="s">
        <v>54</v>
      </c>
      <c r="D96" s="38" t="s">
        <v>258</v>
      </c>
      <c r="E96" s="38" t="s">
        <v>701</v>
      </c>
      <c r="F96" s="38" t="s">
        <v>174</v>
      </c>
      <c r="G96" s="38" t="s">
        <v>702</v>
      </c>
      <c r="H96" s="38" t="s">
        <v>693</v>
      </c>
      <c r="I96" s="38" t="s">
        <v>258</v>
      </c>
      <c r="J96" s="37">
        <v>0.0</v>
      </c>
      <c r="K96" s="38" t="s">
        <v>694</v>
      </c>
      <c r="L96" s="38" t="s">
        <v>703</v>
      </c>
      <c r="M96" s="38" t="s">
        <v>54</v>
      </c>
      <c r="N96" s="38" t="s">
        <v>49</v>
      </c>
      <c r="O96" s="38" t="s">
        <v>50</v>
      </c>
      <c r="P96" s="38" t="s">
        <v>145</v>
      </c>
      <c r="Q96" s="38" t="s">
        <v>52</v>
      </c>
      <c r="R96" s="38" t="s">
        <v>53</v>
      </c>
      <c r="S96" s="38" t="s">
        <v>54</v>
      </c>
      <c r="T96" s="38" t="s">
        <v>55</v>
      </c>
      <c r="U96" s="38" t="s">
        <v>70</v>
      </c>
      <c r="V96" s="38" t="s">
        <v>71</v>
      </c>
      <c r="W96" s="37">
        <v>4.7352E8</v>
      </c>
      <c r="X96" s="38" t="s">
        <v>85</v>
      </c>
      <c r="Y96" s="38" t="s">
        <v>265</v>
      </c>
      <c r="Z96" s="38" t="s">
        <v>60</v>
      </c>
      <c r="AA96" s="38" t="s">
        <v>61</v>
      </c>
      <c r="AB96" s="38" t="s">
        <v>177</v>
      </c>
      <c r="AC96" s="38" t="s">
        <v>579</v>
      </c>
      <c r="AD96" s="38" t="s">
        <v>3644</v>
      </c>
      <c r="AE96" s="38" t="s">
        <v>54</v>
      </c>
      <c r="AF96" s="38" t="s">
        <v>54</v>
      </c>
    </row>
    <row r="97">
      <c r="A97" s="38" t="s">
        <v>704</v>
      </c>
      <c r="B97" s="37">
        <v>6.830694952964006</v>
      </c>
      <c r="C97" s="37">
        <v>7.152459156374828</v>
      </c>
      <c r="D97" s="38" t="s">
        <v>367</v>
      </c>
      <c r="E97" s="38" t="s">
        <v>705</v>
      </c>
      <c r="F97" s="38" t="s">
        <v>3645</v>
      </c>
      <c r="G97" s="38" t="s">
        <v>706</v>
      </c>
      <c r="H97" s="38" t="s">
        <v>707</v>
      </c>
      <c r="I97" s="38" t="s">
        <v>367</v>
      </c>
      <c r="J97" s="37">
        <v>3.625</v>
      </c>
      <c r="K97" s="38" t="s">
        <v>708</v>
      </c>
      <c r="L97" s="38" t="s">
        <v>709</v>
      </c>
      <c r="M97" s="37">
        <v>3.625</v>
      </c>
      <c r="N97" s="38" t="s">
        <v>115</v>
      </c>
      <c r="O97" s="38" t="s">
        <v>116</v>
      </c>
      <c r="P97" s="38" t="s">
        <v>262</v>
      </c>
      <c r="Q97" s="38" t="s">
        <v>459</v>
      </c>
      <c r="R97" s="38" t="s">
        <v>53</v>
      </c>
      <c r="S97" s="38" t="s">
        <v>351</v>
      </c>
      <c r="T97" s="38" t="s">
        <v>55</v>
      </c>
      <c r="U97" s="38" t="s">
        <v>56</v>
      </c>
      <c r="V97" s="38" t="s">
        <v>71</v>
      </c>
      <c r="W97" s="37">
        <v>6.2208825E8</v>
      </c>
      <c r="X97" s="38" t="s">
        <v>85</v>
      </c>
      <c r="Y97" s="38" t="s">
        <v>515</v>
      </c>
      <c r="Z97" s="38" t="s">
        <v>60</v>
      </c>
      <c r="AA97" s="38" t="s">
        <v>61</v>
      </c>
      <c r="AB97" s="38" t="s">
        <v>87</v>
      </c>
      <c r="AC97" s="38" t="s">
        <v>515</v>
      </c>
      <c r="AD97" s="38" t="s">
        <v>3646</v>
      </c>
      <c r="AE97" s="37">
        <v>3.601</v>
      </c>
      <c r="AF97" s="37">
        <v>3.625</v>
      </c>
    </row>
    <row r="98">
      <c r="A98" s="38" t="s">
        <v>704</v>
      </c>
      <c r="B98" s="37">
        <v>6.8456570153678244</v>
      </c>
      <c r="C98" s="37">
        <v>7.208663784924125</v>
      </c>
      <c r="D98" s="38" t="s">
        <v>367</v>
      </c>
      <c r="E98" s="38" t="s">
        <v>712</v>
      </c>
      <c r="F98" s="38" t="s">
        <v>3647</v>
      </c>
      <c r="G98" s="38" t="s">
        <v>713</v>
      </c>
      <c r="H98" s="38" t="s">
        <v>707</v>
      </c>
      <c r="I98" s="38" t="s">
        <v>367</v>
      </c>
      <c r="J98" s="37">
        <v>3.625</v>
      </c>
      <c r="K98" s="38" t="s">
        <v>708</v>
      </c>
      <c r="L98" s="38" t="s">
        <v>709</v>
      </c>
      <c r="M98" s="37">
        <v>3.625</v>
      </c>
      <c r="N98" s="38" t="s">
        <v>115</v>
      </c>
      <c r="O98" s="38" t="s">
        <v>116</v>
      </c>
      <c r="P98" s="38" t="s">
        <v>271</v>
      </c>
      <c r="Q98" s="38" t="s">
        <v>459</v>
      </c>
      <c r="R98" s="38" t="s">
        <v>53</v>
      </c>
      <c r="S98" s="38" t="s">
        <v>351</v>
      </c>
      <c r="T98" s="38" t="s">
        <v>55</v>
      </c>
      <c r="U98" s="38" t="s">
        <v>56</v>
      </c>
      <c r="V98" s="38" t="s">
        <v>71</v>
      </c>
      <c r="W98" s="37">
        <v>6.2208825E8</v>
      </c>
      <c r="X98" s="38" t="s">
        <v>85</v>
      </c>
      <c r="Y98" s="38" t="s">
        <v>515</v>
      </c>
      <c r="Z98" s="38" t="s">
        <v>60</v>
      </c>
      <c r="AA98" s="38" t="s">
        <v>61</v>
      </c>
      <c r="AB98" s="38" t="s">
        <v>87</v>
      </c>
      <c r="AC98" s="38" t="s">
        <v>515</v>
      </c>
      <c r="AD98" s="38" t="s">
        <v>3648</v>
      </c>
      <c r="AE98" s="37">
        <v>3.596</v>
      </c>
      <c r="AF98" s="37">
        <v>3.625</v>
      </c>
    </row>
    <row r="99">
      <c r="A99" s="38" t="s">
        <v>715</v>
      </c>
      <c r="B99" s="38" t="s">
        <v>54</v>
      </c>
      <c r="C99" s="38" t="s">
        <v>54</v>
      </c>
      <c r="D99" s="38" t="s">
        <v>45</v>
      </c>
      <c r="E99" s="38" t="s">
        <v>716</v>
      </c>
      <c r="F99" s="38" t="s">
        <v>174</v>
      </c>
      <c r="G99" s="38" t="s">
        <v>717</v>
      </c>
      <c r="H99" s="38" t="s">
        <v>718</v>
      </c>
      <c r="I99" s="38" t="s">
        <v>45</v>
      </c>
      <c r="J99" s="37">
        <v>0.0</v>
      </c>
      <c r="K99" s="38" t="s">
        <v>719</v>
      </c>
      <c r="L99" s="38" t="s">
        <v>720</v>
      </c>
      <c r="M99" s="38" t="s">
        <v>54</v>
      </c>
      <c r="N99" s="38" t="s">
        <v>49</v>
      </c>
      <c r="O99" s="38" t="s">
        <v>50</v>
      </c>
      <c r="P99" s="38" t="s">
        <v>51</v>
      </c>
      <c r="Q99" s="38" t="s">
        <v>52</v>
      </c>
      <c r="R99" s="38" t="s">
        <v>53</v>
      </c>
      <c r="S99" s="38" t="s">
        <v>54</v>
      </c>
      <c r="T99" s="38" t="s">
        <v>55</v>
      </c>
      <c r="U99" s="38" t="s">
        <v>56</v>
      </c>
      <c r="V99" s="38" t="s">
        <v>57</v>
      </c>
      <c r="W99" s="37">
        <v>5.87805E7</v>
      </c>
      <c r="X99" s="38" t="s">
        <v>58</v>
      </c>
      <c r="Y99" s="38" t="s">
        <v>506</v>
      </c>
      <c r="Z99" s="38" t="s">
        <v>60</v>
      </c>
      <c r="AA99" s="38" t="s">
        <v>61</v>
      </c>
      <c r="AB99" s="38" t="s">
        <v>177</v>
      </c>
      <c r="AC99" s="38" t="s">
        <v>721</v>
      </c>
      <c r="AD99" s="38" t="s">
        <v>3649</v>
      </c>
      <c r="AE99" s="38" t="s">
        <v>54</v>
      </c>
      <c r="AF99" s="38" t="s">
        <v>54</v>
      </c>
    </row>
    <row r="100">
      <c r="A100" s="38" t="s">
        <v>715</v>
      </c>
      <c r="B100" s="38" t="s">
        <v>54</v>
      </c>
      <c r="C100" s="38" t="s">
        <v>54</v>
      </c>
      <c r="D100" s="38" t="s">
        <v>45</v>
      </c>
      <c r="E100" s="38" t="s">
        <v>724</v>
      </c>
      <c r="F100" s="38" t="s">
        <v>174</v>
      </c>
      <c r="G100" s="38" t="s">
        <v>725</v>
      </c>
      <c r="H100" s="38" t="s">
        <v>718</v>
      </c>
      <c r="I100" s="38" t="s">
        <v>45</v>
      </c>
      <c r="J100" s="37">
        <v>0.0</v>
      </c>
      <c r="K100" s="38" t="s">
        <v>719</v>
      </c>
      <c r="L100" s="38" t="s">
        <v>726</v>
      </c>
      <c r="M100" s="38" t="s">
        <v>54</v>
      </c>
      <c r="N100" s="38" t="s">
        <v>49</v>
      </c>
      <c r="O100" s="38" t="s">
        <v>50</v>
      </c>
      <c r="P100" s="38" t="s">
        <v>69</v>
      </c>
      <c r="Q100" s="38" t="s">
        <v>52</v>
      </c>
      <c r="R100" s="38" t="s">
        <v>53</v>
      </c>
      <c r="S100" s="38" t="s">
        <v>54</v>
      </c>
      <c r="T100" s="38" t="s">
        <v>55</v>
      </c>
      <c r="U100" s="38" t="s">
        <v>56</v>
      </c>
      <c r="V100" s="38" t="s">
        <v>57</v>
      </c>
      <c r="W100" s="37">
        <v>5.87805E7</v>
      </c>
      <c r="X100" s="38" t="s">
        <v>58</v>
      </c>
      <c r="Y100" s="38" t="s">
        <v>506</v>
      </c>
      <c r="Z100" s="38" t="s">
        <v>60</v>
      </c>
      <c r="AA100" s="38" t="s">
        <v>61</v>
      </c>
      <c r="AB100" s="38" t="s">
        <v>177</v>
      </c>
      <c r="AC100" s="38" t="s">
        <v>721</v>
      </c>
      <c r="AD100" s="38" t="s">
        <v>3650</v>
      </c>
      <c r="AE100" s="38" t="s">
        <v>54</v>
      </c>
      <c r="AF100" s="38" t="s">
        <v>54</v>
      </c>
    </row>
    <row r="101">
      <c r="A101" s="38" t="s">
        <v>727</v>
      </c>
      <c r="B101" s="37">
        <v>5.723474904013152</v>
      </c>
      <c r="C101" s="37">
        <v>5.952988705558031</v>
      </c>
      <c r="D101" s="38" t="s">
        <v>185</v>
      </c>
      <c r="E101" s="38" t="s">
        <v>728</v>
      </c>
      <c r="F101" s="38" t="s">
        <v>3651</v>
      </c>
      <c r="G101" s="38" t="s">
        <v>729</v>
      </c>
      <c r="H101" s="38" t="s">
        <v>730</v>
      </c>
      <c r="I101" s="38" t="s">
        <v>185</v>
      </c>
      <c r="J101" s="37">
        <v>3.875</v>
      </c>
      <c r="K101" s="38" t="s">
        <v>731</v>
      </c>
      <c r="L101" s="38" t="s">
        <v>732</v>
      </c>
      <c r="M101" s="38" t="s">
        <v>54</v>
      </c>
      <c r="N101" s="38" t="s">
        <v>115</v>
      </c>
      <c r="O101" s="38" t="s">
        <v>116</v>
      </c>
      <c r="P101" s="38" t="s">
        <v>262</v>
      </c>
      <c r="Q101" s="38" t="s">
        <v>459</v>
      </c>
      <c r="R101" s="38" t="s">
        <v>53</v>
      </c>
      <c r="S101" s="38" t="s">
        <v>351</v>
      </c>
      <c r="T101" s="38" t="s">
        <v>55</v>
      </c>
      <c r="U101" s="38" t="s">
        <v>56</v>
      </c>
      <c r="V101" s="38" t="s">
        <v>71</v>
      </c>
      <c r="W101" s="37">
        <v>8.850225E8</v>
      </c>
      <c r="X101" s="38" t="s">
        <v>422</v>
      </c>
      <c r="Y101" s="38" t="s">
        <v>423</v>
      </c>
      <c r="Z101" s="38" t="s">
        <v>60</v>
      </c>
      <c r="AA101" s="38" t="s">
        <v>61</v>
      </c>
      <c r="AB101" s="38" t="s">
        <v>228</v>
      </c>
      <c r="AC101" s="38" t="s">
        <v>665</v>
      </c>
      <c r="AD101" s="38" t="s">
        <v>3652</v>
      </c>
      <c r="AE101" s="37">
        <v>3.706</v>
      </c>
      <c r="AF101" s="37">
        <v>3.706</v>
      </c>
    </row>
    <row r="102">
      <c r="A102" s="38" t="s">
        <v>735</v>
      </c>
      <c r="B102" s="37">
        <v>4.454967613915355</v>
      </c>
      <c r="C102" s="37">
        <v>4.525583000284598</v>
      </c>
      <c r="D102" s="38" t="s">
        <v>170</v>
      </c>
      <c r="E102" s="38" t="s">
        <v>736</v>
      </c>
      <c r="F102" s="38" t="s">
        <v>3653</v>
      </c>
      <c r="G102" s="38" t="s">
        <v>737</v>
      </c>
      <c r="H102" s="38" t="s">
        <v>730</v>
      </c>
      <c r="I102" s="38" t="s">
        <v>170</v>
      </c>
      <c r="J102" s="37">
        <v>4.0</v>
      </c>
      <c r="K102" s="38" t="s">
        <v>731</v>
      </c>
      <c r="L102" s="38" t="s">
        <v>732</v>
      </c>
      <c r="M102" s="38" t="s">
        <v>54</v>
      </c>
      <c r="N102" s="38" t="s">
        <v>115</v>
      </c>
      <c r="O102" s="38" t="s">
        <v>116</v>
      </c>
      <c r="P102" s="38" t="s">
        <v>262</v>
      </c>
      <c r="Q102" s="38" t="s">
        <v>459</v>
      </c>
      <c r="R102" s="38" t="s">
        <v>53</v>
      </c>
      <c r="S102" s="38" t="s">
        <v>351</v>
      </c>
      <c r="T102" s="38" t="s">
        <v>55</v>
      </c>
      <c r="U102" s="38" t="s">
        <v>70</v>
      </c>
      <c r="V102" s="38" t="s">
        <v>392</v>
      </c>
      <c r="W102" s="37">
        <v>7.670195E8</v>
      </c>
      <c r="X102" s="38" t="s">
        <v>134</v>
      </c>
      <c r="Y102" s="38" t="s">
        <v>738</v>
      </c>
      <c r="Z102" s="38" t="s">
        <v>60</v>
      </c>
      <c r="AA102" s="38" t="s">
        <v>61</v>
      </c>
      <c r="AB102" s="38" t="s">
        <v>136</v>
      </c>
      <c r="AC102" s="38" t="s">
        <v>738</v>
      </c>
      <c r="AD102" s="38" t="s">
        <v>3654</v>
      </c>
      <c r="AE102" s="37">
        <v>3.756</v>
      </c>
      <c r="AF102" s="37">
        <v>3.756</v>
      </c>
    </row>
    <row r="103">
      <c r="A103" s="38" t="s">
        <v>741</v>
      </c>
      <c r="B103" s="37">
        <v>7.715717677262113</v>
      </c>
      <c r="C103" s="37">
        <v>7.961167832289622</v>
      </c>
      <c r="D103" s="38" t="s">
        <v>170</v>
      </c>
      <c r="E103" s="38" t="s">
        <v>742</v>
      </c>
      <c r="F103" s="38" t="s">
        <v>3655</v>
      </c>
      <c r="G103" s="38" t="s">
        <v>743</v>
      </c>
      <c r="H103" s="38" t="s">
        <v>730</v>
      </c>
      <c r="I103" s="38" t="s">
        <v>170</v>
      </c>
      <c r="J103" s="37">
        <v>5.375</v>
      </c>
      <c r="K103" s="38" t="s">
        <v>731</v>
      </c>
      <c r="L103" s="38" t="s">
        <v>744</v>
      </c>
      <c r="M103" s="38" t="s">
        <v>54</v>
      </c>
      <c r="N103" s="38" t="s">
        <v>115</v>
      </c>
      <c r="O103" s="38" t="s">
        <v>116</v>
      </c>
      <c r="P103" s="38" t="s">
        <v>262</v>
      </c>
      <c r="Q103" s="38" t="s">
        <v>52</v>
      </c>
      <c r="R103" s="38" t="s">
        <v>53</v>
      </c>
      <c r="S103" s="38" t="s">
        <v>745</v>
      </c>
      <c r="T103" s="38" t="s">
        <v>55</v>
      </c>
      <c r="U103" s="38" t="s">
        <v>56</v>
      </c>
      <c r="V103" s="38" t="s">
        <v>71</v>
      </c>
      <c r="W103" s="37">
        <v>3.658093E8</v>
      </c>
      <c r="X103" s="38" t="s">
        <v>422</v>
      </c>
      <c r="Y103" s="38" t="s">
        <v>423</v>
      </c>
      <c r="Z103" s="38" t="s">
        <v>60</v>
      </c>
      <c r="AA103" s="38" t="s">
        <v>61</v>
      </c>
      <c r="AB103" s="38" t="s">
        <v>228</v>
      </c>
      <c r="AC103" s="38" t="s">
        <v>665</v>
      </c>
      <c r="AD103" s="38" t="s">
        <v>3656</v>
      </c>
      <c r="AE103" s="37">
        <v>5.31</v>
      </c>
      <c r="AF103" s="37">
        <v>5.31</v>
      </c>
    </row>
    <row r="104">
      <c r="A104" s="38" t="s">
        <v>727</v>
      </c>
      <c r="B104" s="37">
        <v>5.730326619853768</v>
      </c>
      <c r="C104" s="37">
        <v>5.989638570517489</v>
      </c>
      <c r="D104" s="38" t="s">
        <v>185</v>
      </c>
      <c r="E104" s="38" t="s">
        <v>747</v>
      </c>
      <c r="F104" s="38" t="s">
        <v>3657</v>
      </c>
      <c r="G104" s="38" t="s">
        <v>748</v>
      </c>
      <c r="H104" s="38" t="s">
        <v>730</v>
      </c>
      <c r="I104" s="38" t="s">
        <v>185</v>
      </c>
      <c r="J104" s="37">
        <v>3.875</v>
      </c>
      <c r="K104" s="38" t="s">
        <v>731</v>
      </c>
      <c r="L104" s="38" t="s">
        <v>732</v>
      </c>
      <c r="M104" s="38" t="s">
        <v>54</v>
      </c>
      <c r="N104" s="38" t="s">
        <v>115</v>
      </c>
      <c r="O104" s="38" t="s">
        <v>116</v>
      </c>
      <c r="P104" s="38" t="s">
        <v>271</v>
      </c>
      <c r="Q104" s="38" t="s">
        <v>459</v>
      </c>
      <c r="R104" s="38" t="s">
        <v>53</v>
      </c>
      <c r="S104" s="38" t="s">
        <v>351</v>
      </c>
      <c r="T104" s="38" t="s">
        <v>55</v>
      </c>
      <c r="U104" s="38" t="s">
        <v>56</v>
      </c>
      <c r="V104" s="38" t="s">
        <v>71</v>
      </c>
      <c r="W104" s="37">
        <v>8.850225E8</v>
      </c>
      <c r="X104" s="38" t="s">
        <v>422</v>
      </c>
      <c r="Y104" s="38" t="s">
        <v>423</v>
      </c>
      <c r="Z104" s="38" t="s">
        <v>60</v>
      </c>
      <c r="AA104" s="38" t="s">
        <v>61</v>
      </c>
      <c r="AB104" s="38" t="s">
        <v>228</v>
      </c>
      <c r="AC104" s="38" t="s">
        <v>424</v>
      </c>
      <c r="AD104" s="38" t="s">
        <v>3658</v>
      </c>
      <c r="AE104" s="37">
        <v>3.7</v>
      </c>
      <c r="AF104" s="37">
        <v>3.7</v>
      </c>
    </row>
    <row r="105">
      <c r="A105" s="38" t="s">
        <v>735</v>
      </c>
      <c r="B105" s="37">
        <v>4.39747008604884</v>
      </c>
      <c r="C105" s="37">
        <v>4.613423389589324</v>
      </c>
      <c r="D105" s="38" t="s">
        <v>170</v>
      </c>
      <c r="E105" s="38" t="s">
        <v>750</v>
      </c>
      <c r="F105" s="38" t="s">
        <v>3659</v>
      </c>
      <c r="G105" s="38" t="s">
        <v>751</v>
      </c>
      <c r="H105" s="38" t="s">
        <v>730</v>
      </c>
      <c r="I105" s="38" t="s">
        <v>170</v>
      </c>
      <c r="J105" s="37">
        <v>4.0</v>
      </c>
      <c r="K105" s="38" t="s">
        <v>731</v>
      </c>
      <c r="L105" s="38" t="s">
        <v>732</v>
      </c>
      <c r="M105" s="38" t="s">
        <v>54</v>
      </c>
      <c r="N105" s="38" t="s">
        <v>115</v>
      </c>
      <c r="O105" s="38" t="s">
        <v>116</v>
      </c>
      <c r="P105" s="38" t="s">
        <v>271</v>
      </c>
      <c r="Q105" s="38" t="s">
        <v>459</v>
      </c>
      <c r="R105" s="38" t="s">
        <v>53</v>
      </c>
      <c r="S105" s="38" t="s">
        <v>351</v>
      </c>
      <c r="T105" s="38" t="s">
        <v>55</v>
      </c>
      <c r="U105" s="38" t="s">
        <v>70</v>
      </c>
      <c r="V105" s="38" t="s">
        <v>392</v>
      </c>
      <c r="W105" s="37">
        <v>7.670195E8</v>
      </c>
      <c r="X105" s="38" t="s">
        <v>134</v>
      </c>
      <c r="Y105" s="38" t="s">
        <v>738</v>
      </c>
      <c r="Z105" s="38" t="s">
        <v>60</v>
      </c>
      <c r="AA105" s="38" t="s">
        <v>61</v>
      </c>
      <c r="AB105" s="38" t="s">
        <v>136</v>
      </c>
      <c r="AC105" s="38" t="s">
        <v>738</v>
      </c>
      <c r="AD105" s="38" t="s">
        <v>3660</v>
      </c>
      <c r="AE105" s="37">
        <v>3.745</v>
      </c>
      <c r="AF105" s="37">
        <v>3.745</v>
      </c>
    </row>
    <row r="106">
      <c r="A106" s="38" t="s">
        <v>741</v>
      </c>
      <c r="B106" s="37">
        <v>7.7012421794485535</v>
      </c>
      <c r="C106" s="37">
        <v>7.95344990654187</v>
      </c>
      <c r="D106" s="38" t="s">
        <v>170</v>
      </c>
      <c r="E106" s="38" t="s">
        <v>753</v>
      </c>
      <c r="F106" s="38" t="s">
        <v>3661</v>
      </c>
      <c r="G106" s="38" t="s">
        <v>754</v>
      </c>
      <c r="H106" s="38" t="s">
        <v>730</v>
      </c>
      <c r="I106" s="38" t="s">
        <v>170</v>
      </c>
      <c r="J106" s="37">
        <v>5.375</v>
      </c>
      <c r="K106" s="38" t="s">
        <v>731</v>
      </c>
      <c r="L106" s="38" t="s">
        <v>744</v>
      </c>
      <c r="M106" s="38" t="s">
        <v>54</v>
      </c>
      <c r="N106" s="38" t="s">
        <v>115</v>
      </c>
      <c r="O106" s="38" t="s">
        <v>116</v>
      </c>
      <c r="P106" s="38" t="s">
        <v>271</v>
      </c>
      <c r="Q106" s="38" t="s">
        <v>52</v>
      </c>
      <c r="R106" s="38" t="s">
        <v>53</v>
      </c>
      <c r="S106" s="38" t="s">
        <v>745</v>
      </c>
      <c r="T106" s="38" t="s">
        <v>55</v>
      </c>
      <c r="U106" s="38" t="s">
        <v>56</v>
      </c>
      <c r="V106" s="38" t="s">
        <v>71</v>
      </c>
      <c r="W106" s="37">
        <v>3.658093E8</v>
      </c>
      <c r="X106" s="38" t="s">
        <v>422</v>
      </c>
      <c r="Y106" s="38" t="s">
        <v>423</v>
      </c>
      <c r="Z106" s="38" t="s">
        <v>60</v>
      </c>
      <c r="AA106" s="38" t="s">
        <v>61</v>
      </c>
      <c r="AB106" s="38" t="s">
        <v>228</v>
      </c>
      <c r="AC106" s="38" t="s">
        <v>665</v>
      </c>
      <c r="AD106" s="38" t="s">
        <v>3662</v>
      </c>
      <c r="AE106" s="37">
        <v>5.329</v>
      </c>
      <c r="AF106" s="37">
        <v>5.329</v>
      </c>
    </row>
    <row r="107">
      <c r="A107" s="38" t="s">
        <v>755</v>
      </c>
      <c r="B107" s="37">
        <v>5.749866301340778</v>
      </c>
      <c r="C107" s="37">
        <v>5.809608918660752</v>
      </c>
      <c r="D107" s="38" t="s">
        <v>258</v>
      </c>
      <c r="E107" s="38" t="s">
        <v>756</v>
      </c>
      <c r="F107" s="38" t="s">
        <v>3663</v>
      </c>
      <c r="G107" s="38" t="s">
        <v>757</v>
      </c>
      <c r="H107" s="38" t="s">
        <v>758</v>
      </c>
      <c r="I107" s="38" t="s">
        <v>258</v>
      </c>
      <c r="J107" s="37">
        <v>3.125</v>
      </c>
      <c r="K107" s="38" t="s">
        <v>708</v>
      </c>
      <c r="L107" s="38" t="s">
        <v>663</v>
      </c>
      <c r="M107" s="37">
        <v>3.28</v>
      </c>
      <c r="N107" s="38" t="s">
        <v>115</v>
      </c>
      <c r="O107" s="38" t="s">
        <v>116</v>
      </c>
      <c r="P107" s="38" t="s">
        <v>759</v>
      </c>
      <c r="Q107" s="38" t="s">
        <v>52</v>
      </c>
      <c r="R107" s="38" t="s">
        <v>263</v>
      </c>
      <c r="S107" s="38" t="s">
        <v>497</v>
      </c>
      <c r="T107" s="38" t="s">
        <v>55</v>
      </c>
      <c r="U107" s="38" t="s">
        <v>56</v>
      </c>
      <c r="V107" s="38" t="s">
        <v>71</v>
      </c>
      <c r="W107" s="37">
        <v>1.0E9</v>
      </c>
      <c r="X107" s="38" t="s">
        <v>85</v>
      </c>
      <c r="Y107" s="38" t="s">
        <v>760</v>
      </c>
      <c r="Z107" s="38" t="s">
        <v>60</v>
      </c>
      <c r="AA107" s="38" t="s">
        <v>61</v>
      </c>
      <c r="AB107" s="38" t="s">
        <v>87</v>
      </c>
      <c r="AC107" s="38" t="s">
        <v>266</v>
      </c>
      <c r="AD107" s="38" t="s">
        <v>3664</v>
      </c>
      <c r="AE107" s="37">
        <v>3.233</v>
      </c>
      <c r="AF107" s="37">
        <v>3.28</v>
      </c>
    </row>
    <row r="108">
      <c r="A108" s="38" t="s">
        <v>763</v>
      </c>
      <c r="B108" s="37">
        <v>2.1394116262407437</v>
      </c>
      <c r="C108" s="37">
        <v>2.2015961300203424</v>
      </c>
      <c r="D108" s="38" t="s">
        <v>170</v>
      </c>
      <c r="E108" s="38" t="s">
        <v>764</v>
      </c>
      <c r="F108" s="38" t="s">
        <v>3665</v>
      </c>
      <c r="G108" s="38" t="s">
        <v>765</v>
      </c>
      <c r="H108" s="38" t="s">
        <v>766</v>
      </c>
      <c r="I108" s="38" t="s">
        <v>170</v>
      </c>
      <c r="J108" s="37">
        <v>0.375</v>
      </c>
      <c r="K108" s="38" t="s">
        <v>629</v>
      </c>
      <c r="L108" s="38" t="s">
        <v>767</v>
      </c>
      <c r="M108" s="38" t="s">
        <v>54</v>
      </c>
      <c r="N108" s="38" t="s">
        <v>115</v>
      </c>
      <c r="O108" s="38" t="s">
        <v>116</v>
      </c>
      <c r="P108" s="38" t="s">
        <v>226</v>
      </c>
      <c r="Q108" s="38" t="s">
        <v>52</v>
      </c>
      <c r="R108" s="38" t="s">
        <v>53</v>
      </c>
      <c r="S108" s="38" t="s">
        <v>175</v>
      </c>
      <c r="T108" s="38" t="s">
        <v>55</v>
      </c>
      <c r="U108" s="38" t="s">
        <v>56</v>
      </c>
      <c r="V108" s="38" t="s">
        <v>57</v>
      </c>
      <c r="W108" s="37">
        <v>7.679555E8</v>
      </c>
      <c r="X108" s="38" t="s">
        <v>214</v>
      </c>
      <c r="Y108" s="38" t="s">
        <v>621</v>
      </c>
      <c r="Z108" s="38" t="s">
        <v>60</v>
      </c>
      <c r="AA108" s="38" t="s">
        <v>61</v>
      </c>
      <c r="AB108" s="38" t="s">
        <v>214</v>
      </c>
      <c r="AC108" s="38" t="s">
        <v>622</v>
      </c>
      <c r="AD108" s="38" t="s">
        <v>3666</v>
      </c>
      <c r="AE108" s="37">
        <v>0.353</v>
      </c>
      <c r="AF108" s="37">
        <v>0.353</v>
      </c>
    </row>
    <row r="109">
      <c r="A109" s="38" t="s">
        <v>763</v>
      </c>
      <c r="B109" s="37">
        <v>2.6473124171661917</v>
      </c>
      <c r="C109" s="37">
        <v>2.711619923802255</v>
      </c>
      <c r="D109" s="38" t="s">
        <v>170</v>
      </c>
      <c r="E109" s="38" t="s">
        <v>770</v>
      </c>
      <c r="F109" s="38" t="s">
        <v>3667</v>
      </c>
      <c r="G109" s="38" t="s">
        <v>771</v>
      </c>
      <c r="H109" s="38" t="s">
        <v>766</v>
      </c>
      <c r="I109" s="38" t="s">
        <v>170</v>
      </c>
      <c r="J109" s="37">
        <v>0.875</v>
      </c>
      <c r="K109" s="38" t="s">
        <v>629</v>
      </c>
      <c r="L109" s="38" t="s">
        <v>772</v>
      </c>
      <c r="M109" s="38" t="s">
        <v>54</v>
      </c>
      <c r="N109" s="38" t="s">
        <v>115</v>
      </c>
      <c r="O109" s="38" t="s">
        <v>116</v>
      </c>
      <c r="P109" s="38" t="s">
        <v>226</v>
      </c>
      <c r="Q109" s="38" t="s">
        <v>52</v>
      </c>
      <c r="R109" s="38" t="s">
        <v>53</v>
      </c>
      <c r="S109" s="38" t="s">
        <v>175</v>
      </c>
      <c r="T109" s="38" t="s">
        <v>55</v>
      </c>
      <c r="U109" s="38" t="s">
        <v>56</v>
      </c>
      <c r="V109" s="38" t="s">
        <v>57</v>
      </c>
      <c r="W109" s="37">
        <v>7.08882E8</v>
      </c>
      <c r="X109" s="38" t="s">
        <v>214</v>
      </c>
      <c r="Y109" s="38" t="s">
        <v>621</v>
      </c>
      <c r="Z109" s="38" t="s">
        <v>60</v>
      </c>
      <c r="AA109" s="38" t="s">
        <v>61</v>
      </c>
      <c r="AB109" s="38" t="s">
        <v>214</v>
      </c>
      <c r="AC109" s="38" t="s">
        <v>622</v>
      </c>
      <c r="AD109" s="38" t="s">
        <v>3668</v>
      </c>
      <c r="AE109" s="37">
        <v>0.787</v>
      </c>
      <c r="AF109" s="37">
        <v>0.787</v>
      </c>
    </row>
    <row r="110">
      <c r="A110" s="38" t="s">
        <v>775</v>
      </c>
      <c r="B110" s="37">
        <v>2.6146624540665995</v>
      </c>
      <c r="C110" s="37">
        <v>2.70855302073415</v>
      </c>
      <c r="D110" s="38" t="s">
        <v>200</v>
      </c>
      <c r="E110" s="38" t="s">
        <v>776</v>
      </c>
      <c r="F110" s="38" t="s">
        <v>3669</v>
      </c>
      <c r="G110" s="38" t="s">
        <v>777</v>
      </c>
      <c r="H110" s="38" t="s">
        <v>778</v>
      </c>
      <c r="I110" s="38" t="s">
        <v>200</v>
      </c>
      <c r="J110" s="37">
        <v>0.625</v>
      </c>
      <c r="K110" s="38" t="s">
        <v>779</v>
      </c>
      <c r="L110" s="38" t="s">
        <v>571</v>
      </c>
      <c r="M110" s="38" t="s">
        <v>54</v>
      </c>
      <c r="N110" s="38" t="s">
        <v>115</v>
      </c>
      <c r="O110" s="38" t="s">
        <v>116</v>
      </c>
      <c r="P110" s="38" t="s">
        <v>226</v>
      </c>
      <c r="Q110" s="38" t="s">
        <v>52</v>
      </c>
      <c r="R110" s="38" t="s">
        <v>53</v>
      </c>
      <c r="S110" s="38" t="s">
        <v>175</v>
      </c>
      <c r="T110" s="38" t="s">
        <v>55</v>
      </c>
      <c r="U110" s="38" t="s">
        <v>56</v>
      </c>
      <c r="V110" s="38" t="s">
        <v>57</v>
      </c>
      <c r="W110" s="37">
        <v>5.90145E8</v>
      </c>
      <c r="X110" s="38" t="s">
        <v>120</v>
      </c>
      <c r="Y110" s="38" t="s">
        <v>238</v>
      </c>
      <c r="Z110" s="38" t="s">
        <v>203</v>
      </c>
      <c r="AA110" s="38" t="s">
        <v>204</v>
      </c>
      <c r="AB110" s="38" t="s">
        <v>204</v>
      </c>
      <c r="AC110" s="38" t="s">
        <v>204</v>
      </c>
      <c r="AD110" s="38" t="s">
        <v>3670</v>
      </c>
      <c r="AE110" s="37">
        <v>0.553</v>
      </c>
      <c r="AF110" s="37">
        <v>0.553</v>
      </c>
    </row>
    <row r="111">
      <c r="A111" s="38" t="s">
        <v>642</v>
      </c>
      <c r="B111" s="37">
        <v>4.10503806209504</v>
      </c>
      <c r="C111" s="37">
        <v>4.144223599352538</v>
      </c>
      <c r="D111" s="38" t="s">
        <v>367</v>
      </c>
      <c r="E111" s="38" t="s">
        <v>782</v>
      </c>
      <c r="F111" s="38" t="s">
        <v>3671</v>
      </c>
      <c r="G111" s="38" t="s">
        <v>783</v>
      </c>
      <c r="H111" s="38" t="s">
        <v>645</v>
      </c>
      <c r="I111" s="38" t="s">
        <v>367</v>
      </c>
      <c r="J111" s="37">
        <v>1.375</v>
      </c>
      <c r="K111" s="38" t="s">
        <v>784</v>
      </c>
      <c r="L111" s="38" t="s">
        <v>785</v>
      </c>
      <c r="M111" s="37">
        <v>1.4769999999999999</v>
      </c>
      <c r="N111" s="38" t="s">
        <v>115</v>
      </c>
      <c r="O111" s="38" t="s">
        <v>116</v>
      </c>
      <c r="P111" s="38" t="s">
        <v>262</v>
      </c>
      <c r="Q111" s="38" t="s">
        <v>52</v>
      </c>
      <c r="R111" s="38" t="s">
        <v>263</v>
      </c>
      <c r="S111" s="38" t="s">
        <v>620</v>
      </c>
      <c r="T111" s="38" t="s">
        <v>55</v>
      </c>
      <c r="U111" s="38" t="s">
        <v>56</v>
      </c>
      <c r="V111" s="38" t="s">
        <v>71</v>
      </c>
      <c r="W111" s="37">
        <v>1.25E9</v>
      </c>
      <c r="X111" s="38" t="s">
        <v>120</v>
      </c>
      <c r="Y111" s="38" t="s">
        <v>120</v>
      </c>
      <c r="Z111" s="38" t="s">
        <v>60</v>
      </c>
      <c r="AA111" s="38" t="s">
        <v>121</v>
      </c>
      <c r="AB111" s="38" t="s">
        <v>122</v>
      </c>
      <c r="AC111" s="38" t="s">
        <v>122</v>
      </c>
      <c r="AD111" s="38" t="s">
        <v>3672</v>
      </c>
      <c r="AE111" s="37">
        <v>1.406</v>
      </c>
      <c r="AF111" s="37">
        <v>1.4769999999999999</v>
      </c>
    </row>
    <row r="112">
      <c r="A112" s="38" t="s">
        <v>642</v>
      </c>
      <c r="B112" s="37">
        <v>4.255792353756217</v>
      </c>
      <c r="C112" s="37">
        <v>4.29476278316566</v>
      </c>
      <c r="D112" s="38" t="s">
        <v>367</v>
      </c>
      <c r="E112" s="38" t="s">
        <v>788</v>
      </c>
      <c r="F112" s="38" t="s">
        <v>3673</v>
      </c>
      <c r="G112" s="38" t="s">
        <v>789</v>
      </c>
      <c r="H112" s="38" t="s">
        <v>645</v>
      </c>
      <c r="I112" s="38" t="s">
        <v>367</v>
      </c>
      <c r="J112" s="37">
        <v>1.875</v>
      </c>
      <c r="K112" s="38" t="s">
        <v>784</v>
      </c>
      <c r="L112" s="38" t="s">
        <v>790</v>
      </c>
      <c r="M112" s="37">
        <v>1.937</v>
      </c>
      <c r="N112" s="38" t="s">
        <v>115</v>
      </c>
      <c r="O112" s="38" t="s">
        <v>116</v>
      </c>
      <c r="P112" s="38" t="s">
        <v>262</v>
      </c>
      <c r="Q112" s="38" t="s">
        <v>52</v>
      </c>
      <c r="R112" s="38" t="s">
        <v>263</v>
      </c>
      <c r="S112" s="38" t="s">
        <v>620</v>
      </c>
      <c r="T112" s="38" t="s">
        <v>55</v>
      </c>
      <c r="U112" s="38" t="s">
        <v>56</v>
      </c>
      <c r="V112" s="38" t="s">
        <v>71</v>
      </c>
      <c r="W112" s="37">
        <v>1.0E9</v>
      </c>
      <c r="X112" s="38" t="s">
        <v>120</v>
      </c>
      <c r="Y112" s="38" t="s">
        <v>120</v>
      </c>
      <c r="Z112" s="38" t="s">
        <v>60</v>
      </c>
      <c r="AA112" s="38" t="s">
        <v>121</v>
      </c>
      <c r="AB112" s="38" t="s">
        <v>122</v>
      </c>
      <c r="AC112" s="38" t="s">
        <v>122</v>
      </c>
      <c r="AD112" s="38" t="s">
        <v>3674</v>
      </c>
      <c r="AE112" s="37">
        <v>1.892</v>
      </c>
      <c r="AF112" s="37">
        <v>1.937</v>
      </c>
    </row>
    <row r="113">
      <c r="A113" s="38" t="s">
        <v>642</v>
      </c>
      <c r="B113" s="37">
        <v>4.5251743055832465</v>
      </c>
      <c r="C113" s="37">
        <v>4.590023583006137</v>
      </c>
      <c r="D113" s="38" t="s">
        <v>367</v>
      </c>
      <c r="E113" s="38" t="s">
        <v>792</v>
      </c>
      <c r="F113" s="38" t="s">
        <v>3675</v>
      </c>
      <c r="G113" s="38" t="s">
        <v>793</v>
      </c>
      <c r="H113" s="38" t="s">
        <v>645</v>
      </c>
      <c r="I113" s="38" t="s">
        <v>367</v>
      </c>
      <c r="J113" s="37">
        <v>2.25</v>
      </c>
      <c r="K113" s="38" t="s">
        <v>784</v>
      </c>
      <c r="L113" s="38" t="s">
        <v>794</v>
      </c>
      <c r="M113" s="37">
        <v>2.32</v>
      </c>
      <c r="N113" s="38" t="s">
        <v>115</v>
      </c>
      <c r="O113" s="38" t="s">
        <v>116</v>
      </c>
      <c r="P113" s="38" t="s">
        <v>262</v>
      </c>
      <c r="Q113" s="38" t="s">
        <v>52</v>
      </c>
      <c r="R113" s="38" t="s">
        <v>263</v>
      </c>
      <c r="S113" s="38" t="s">
        <v>620</v>
      </c>
      <c r="T113" s="38" t="s">
        <v>55</v>
      </c>
      <c r="U113" s="38" t="s">
        <v>56</v>
      </c>
      <c r="V113" s="38" t="s">
        <v>71</v>
      </c>
      <c r="W113" s="37">
        <v>1.0E9</v>
      </c>
      <c r="X113" s="38" t="s">
        <v>120</v>
      </c>
      <c r="Y113" s="38" t="s">
        <v>120</v>
      </c>
      <c r="Z113" s="38" t="s">
        <v>60</v>
      </c>
      <c r="AA113" s="38" t="s">
        <v>121</v>
      </c>
      <c r="AB113" s="38" t="s">
        <v>122</v>
      </c>
      <c r="AC113" s="38" t="s">
        <v>122</v>
      </c>
      <c r="AD113" s="38" t="s">
        <v>3676</v>
      </c>
      <c r="AE113" s="37">
        <v>2.295</v>
      </c>
      <c r="AF113" s="37">
        <v>2.32</v>
      </c>
    </row>
    <row r="114">
      <c r="A114" s="38" t="s">
        <v>642</v>
      </c>
      <c r="B114" s="37">
        <v>4.912237953450089</v>
      </c>
      <c r="C114" s="37">
        <v>4.978077661374427</v>
      </c>
      <c r="D114" s="38" t="s">
        <v>367</v>
      </c>
      <c r="E114" s="38" t="s">
        <v>795</v>
      </c>
      <c r="F114" s="38" t="s">
        <v>3677</v>
      </c>
      <c r="G114" s="38" t="s">
        <v>796</v>
      </c>
      <c r="H114" s="38" t="s">
        <v>645</v>
      </c>
      <c r="I114" s="38" t="s">
        <v>367</v>
      </c>
      <c r="J114" s="37">
        <v>2.875</v>
      </c>
      <c r="K114" s="38" t="s">
        <v>784</v>
      </c>
      <c r="L114" s="38" t="s">
        <v>797</v>
      </c>
      <c r="M114" s="37">
        <v>2.957</v>
      </c>
      <c r="N114" s="38" t="s">
        <v>115</v>
      </c>
      <c r="O114" s="38" t="s">
        <v>116</v>
      </c>
      <c r="P114" s="38" t="s">
        <v>262</v>
      </c>
      <c r="Q114" s="38" t="s">
        <v>52</v>
      </c>
      <c r="R114" s="38" t="s">
        <v>263</v>
      </c>
      <c r="S114" s="38" t="s">
        <v>620</v>
      </c>
      <c r="T114" s="38" t="s">
        <v>55</v>
      </c>
      <c r="U114" s="38" t="s">
        <v>56</v>
      </c>
      <c r="V114" s="38" t="s">
        <v>71</v>
      </c>
      <c r="W114" s="37">
        <v>7.5E8</v>
      </c>
      <c r="X114" s="38" t="s">
        <v>120</v>
      </c>
      <c r="Y114" s="38" t="s">
        <v>120</v>
      </c>
      <c r="Z114" s="38" t="s">
        <v>60</v>
      </c>
      <c r="AA114" s="38" t="s">
        <v>121</v>
      </c>
      <c r="AB114" s="38" t="s">
        <v>122</v>
      </c>
      <c r="AC114" s="38" t="s">
        <v>122</v>
      </c>
      <c r="AD114" s="38" t="s">
        <v>3678</v>
      </c>
      <c r="AE114" s="37">
        <v>3.003</v>
      </c>
      <c r="AF114" s="37">
        <v>2.957</v>
      </c>
    </row>
    <row r="115">
      <c r="A115" s="38" t="s">
        <v>642</v>
      </c>
      <c r="B115" s="37">
        <v>4.047506024958648</v>
      </c>
      <c r="C115" s="37">
        <v>4.113708842589624</v>
      </c>
      <c r="D115" s="38" t="s">
        <v>367</v>
      </c>
      <c r="E115" s="38" t="s">
        <v>799</v>
      </c>
      <c r="F115" s="38" t="s">
        <v>3679</v>
      </c>
      <c r="G115" s="38" t="s">
        <v>800</v>
      </c>
      <c r="H115" s="38" t="s">
        <v>645</v>
      </c>
      <c r="I115" s="38" t="s">
        <v>367</v>
      </c>
      <c r="J115" s="37">
        <v>1.375</v>
      </c>
      <c r="K115" s="38" t="s">
        <v>784</v>
      </c>
      <c r="L115" s="38" t="s">
        <v>785</v>
      </c>
      <c r="M115" s="37">
        <v>1.4769999999999999</v>
      </c>
      <c r="N115" s="38" t="s">
        <v>115</v>
      </c>
      <c r="O115" s="38" t="s">
        <v>116</v>
      </c>
      <c r="P115" s="38" t="s">
        <v>271</v>
      </c>
      <c r="Q115" s="38" t="s">
        <v>52</v>
      </c>
      <c r="R115" s="38" t="s">
        <v>263</v>
      </c>
      <c r="S115" s="38" t="s">
        <v>620</v>
      </c>
      <c r="T115" s="38" t="s">
        <v>55</v>
      </c>
      <c r="U115" s="38" t="s">
        <v>56</v>
      </c>
      <c r="V115" s="38" t="s">
        <v>71</v>
      </c>
      <c r="W115" s="37">
        <v>1.25E9</v>
      </c>
      <c r="X115" s="38" t="s">
        <v>120</v>
      </c>
      <c r="Y115" s="38" t="s">
        <v>120</v>
      </c>
      <c r="Z115" s="38" t="s">
        <v>60</v>
      </c>
      <c r="AA115" s="38" t="s">
        <v>121</v>
      </c>
      <c r="AB115" s="38" t="s">
        <v>122</v>
      </c>
      <c r="AC115" s="38" t="s">
        <v>122</v>
      </c>
      <c r="AD115" s="38" t="s">
        <v>3680</v>
      </c>
      <c r="AE115" s="37">
        <v>1.387</v>
      </c>
      <c r="AF115" s="37">
        <v>1.4769999999999999</v>
      </c>
    </row>
    <row r="116">
      <c r="A116" s="38" t="s">
        <v>642</v>
      </c>
      <c r="B116" s="37">
        <v>4.222323547625431</v>
      </c>
      <c r="C116" s="37">
        <v>4.2881269085244424</v>
      </c>
      <c r="D116" s="38" t="s">
        <v>367</v>
      </c>
      <c r="E116" s="38" t="s">
        <v>802</v>
      </c>
      <c r="F116" s="38" t="s">
        <v>3681</v>
      </c>
      <c r="G116" s="38" t="s">
        <v>803</v>
      </c>
      <c r="H116" s="38" t="s">
        <v>645</v>
      </c>
      <c r="I116" s="38" t="s">
        <v>367</v>
      </c>
      <c r="J116" s="37">
        <v>1.875</v>
      </c>
      <c r="K116" s="38" t="s">
        <v>784</v>
      </c>
      <c r="L116" s="38" t="s">
        <v>790</v>
      </c>
      <c r="M116" s="37">
        <v>1.937</v>
      </c>
      <c r="N116" s="38" t="s">
        <v>115</v>
      </c>
      <c r="O116" s="38" t="s">
        <v>116</v>
      </c>
      <c r="P116" s="38" t="s">
        <v>271</v>
      </c>
      <c r="Q116" s="38" t="s">
        <v>52</v>
      </c>
      <c r="R116" s="38" t="s">
        <v>263</v>
      </c>
      <c r="S116" s="38" t="s">
        <v>620</v>
      </c>
      <c r="T116" s="38" t="s">
        <v>55</v>
      </c>
      <c r="U116" s="38" t="s">
        <v>56</v>
      </c>
      <c r="V116" s="38" t="s">
        <v>71</v>
      </c>
      <c r="W116" s="37">
        <v>1.0E9</v>
      </c>
      <c r="X116" s="38" t="s">
        <v>120</v>
      </c>
      <c r="Y116" s="38" t="s">
        <v>120</v>
      </c>
      <c r="Z116" s="38" t="s">
        <v>60</v>
      </c>
      <c r="AA116" s="38" t="s">
        <v>121</v>
      </c>
      <c r="AB116" s="38" t="s">
        <v>122</v>
      </c>
      <c r="AC116" s="38" t="s">
        <v>122</v>
      </c>
      <c r="AD116" s="38" t="s">
        <v>3682</v>
      </c>
      <c r="AE116" s="37">
        <v>1.889</v>
      </c>
      <c r="AF116" s="37">
        <v>1.937</v>
      </c>
    </row>
    <row r="117">
      <c r="A117" s="38" t="s">
        <v>642</v>
      </c>
      <c r="B117" s="37">
        <v>4.501308336357171</v>
      </c>
      <c r="C117" s="37">
        <v>4.567215189764449</v>
      </c>
      <c r="D117" s="38" t="s">
        <v>367</v>
      </c>
      <c r="E117" s="38" t="s">
        <v>804</v>
      </c>
      <c r="F117" s="38" t="s">
        <v>3683</v>
      </c>
      <c r="G117" s="38" t="s">
        <v>805</v>
      </c>
      <c r="H117" s="38" t="s">
        <v>645</v>
      </c>
      <c r="I117" s="38" t="s">
        <v>367</v>
      </c>
      <c r="J117" s="37">
        <v>2.25</v>
      </c>
      <c r="K117" s="38" t="s">
        <v>784</v>
      </c>
      <c r="L117" s="38" t="s">
        <v>794</v>
      </c>
      <c r="M117" s="37">
        <v>2.32</v>
      </c>
      <c r="N117" s="38" t="s">
        <v>115</v>
      </c>
      <c r="O117" s="38" t="s">
        <v>116</v>
      </c>
      <c r="P117" s="38" t="s">
        <v>271</v>
      </c>
      <c r="Q117" s="38" t="s">
        <v>52</v>
      </c>
      <c r="R117" s="38" t="s">
        <v>263</v>
      </c>
      <c r="S117" s="38" t="s">
        <v>620</v>
      </c>
      <c r="T117" s="38" t="s">
        <v>55</v>
      </c>
      <c r="U117" s="38" t="s">
        <v>56</v>
      </c>
      <c r="V117" s="38" t="s">
        <v>71</v>
      </c>
      <c r="W117" s="37">
        <v>1.0E9</v>
      </c>
      <c r="X117" s="38" t="s">
        <v>120</v>
      </c>
      <c r="Y117" s="38" t="s">
        <v>120</v>
      </c>
      <c r="Z117" s="38" t="s">
        <v>60</v>
      </c>
      <c r="AA117" s="38" t="s">
        <v>121</v>
      </c>
      <c r="AB117" s="38" t="s">
        <v>122</v>
      </c>
      <c r="AC117" s="38" t="s">
        <v>122</v>
      </c>
      <c r="AD117" s="38" t="s">
        <v>3684</v>
      </c>
      <c r="AE117" s="37">
        <v>2.299</v>
      </c>
      <c r="AF117" s="37">
        <v>2.32</v>
      </c>
    </row>
    <row r="118">
      <c r="A118" s="38" t="s">
        <v>642</v>
      </c>
      <c r="B118" s="37">
        <v>4.909028649343756</v>
      </c>
      <c r="C118" s="37">
        <v>4.9751268336918475</v>
      </c>
      <c r="D118" s="38" t="s">
        <v>367</v>
      </c>
      <c r="E118" s="38" t="s">
        <v>806</v>
      </c>
      <c r="F118" s="38" t="s">
        <v>3685</v>
      </c>
      <c r="G118" s="38" t="s">
        <v>807</v>
      </c>
      <c r="H118" s="38" t="s">
        <v>645</v>
      </c>
      <c r="I118" s="38" t="s">
        <v>367</v>
      </c>
      <c r="J118" s="37">
        <v>2.875</v>
      </c>
      <c r="K118" s="38" t="s">
        <v>784</v>
      </c>
      <c r="L118" s="38" t="s">
        <v>797</v>
      </c>
      <c r="M118" s="37">
        <v>2.957</v>
      </c>
      <c r="N118" s="38" t="s">
        <v>115</v>
      </c>
      <c r="O118" s="38" t="s">
        <v>116</v>
      </c>
      <c r="P118" s="38" t="s">
        <v>271</v>
      </c>
      <c r="Q118" s="38" t="s">
        <v>52</v>
      </c>
      <c r="R118" s="38" t="s">
        <v>263</v>
      </c>
      <c r="S118" s="38" t="s">
        <v>620</v>
      </c>
      <c r="T118" s="38" t="s">
        <v>55</v>
      </c>
      <c r="U118" s="38" t="s">
        <v>56</v>
      </c>
      <c r="V118" s="38" t="s">
        <v>71</v>
      </c>
      <c r="W118" s="37">
        <v>7.5E8</v>
      </c>
      <c r="X118" s="38" t="s">
        <v>120</v>
      </c>
      <c r="Y118" s="38" t="s">
        <v>120</v>
      </c>
      <c r="Z118" s="38" t="s">
        <v>60</v>
      </c>
      <c r="AA118" s="38" t="s">
        <v>121</v>
      </c>
      <c r="AB118" s="38" t="s">
        <v>122</v>
      </c>
      <c r="AC118" s="38" t="s">
        <v>122</v>
      </c>
      <c r="AD118" s="38" t="s">
        <v>3686</v>
      </c>
      <c r="AE118" s="37">
        <v>2.988</v>
      </c>
      <c r="AF118" s="37">
        <v>2.957</v>
      </c>
    </row>
    <row r="119">
      <c r="A119" s="38" t="s">
        <v>404</v>
      </c>
      <c r="B119" s="37">
        <v>5.454022728675392</v>
      </c>
      <c r="C119" s="37">
        <v>5.6578670734429695</v>
      </c>
      <c r="D119" s="38" t="s">
        <v>408</v>
      </c>
      <c r="E119" s="38" t="s">
        <v>808</v>
      </c>
      <c r="F119" s="38" t="s">
        <v>3687</v>
      </c>
      <c r="G119" s="38" t="s">
        <v>809</v>
      </c>
      <c r="H119" s="38" t="s">
        <v>407</v>
      </c>
      <c r="I119" s="38" t="s">
        <v>408</v>
      </c>
      <c r="J119" s="37">
        <v>3.375</v>
      </c>
      <c r="K119" s="38" t="s">
        <v>810</v>
      </c>
      <c r="L119" s="38" t="s">
        <v>811</v>
      </c>
      <c r="M119" s="37">
        <v>3.375</v>
      </c>
      <c r="N119" s="38" t="s">
        <v>115</v>
      </c>
      <c r="O119" s="38" t="s">
        <v>116</v>
      </c>
      <c r="P119" s="38" t="s">
        <v>174</v>
      </c>
      <c r="Q119" s="38" t="s">
        <v>52</v>
      </c>
      <c r="R119" s="38" t="s">
        <v>53</v>
      </c>
      <c r="S119" s="38" t="s">
        <v>297</v>
      </c>
      <c r="T119" s="38" t="s">
        <v>175</v>
      </c>
      <c r="U119" s="38" t="s">
        <v>56</v>
      </c>
      <c r="V119" s="38" t="s">
        <v>71</v>
      </c>
      <c r="W119" s="37">
        <v>5.8966E8</v>
      </c>
      <c r="X119" s="38" t="s">
        <v>120</v>
      </c>
      <c r="Y119" s="38" t="s">
        <v>120</v>
      </c>
      <c r="Z119" s="38" t="s">
        <v>203</v>
      </c>
      <c r="AA119" s="38" t="s">
        <v>412</v>
      </c>
      <c r="AB119" s="38" t="s">
        <v>413</v>
      </c>
      <c r="AC119" s="38" t="s">
        <v>413</v>
      </c>
      <c r="AD119" s="38" t="s">
        <v>3688</v>
      </c>
      <c r="AE119" s="37">
        <v>3.156</v>
      </c>
      <c r="AF119" s="37">
        <v>3.375</v>
      </c>
    </row>
    <row r="120">
      <c r="A120" s="38" t="s">
        <v>814</v>
      </c>
      <c r="B120" s="37">
        <v>3.9235725792823275</v>
      </c>
      <c r="C120" s="37">
        <v>4.0526856380114324</v>
      </c>
      <c r="D120" s="38" t="s">
        <v>185</v>
      </c>
      <c r="E120" s="38" t="s">
        <v>815</v>
      </c>
      <c r="F120" s="38" t="s">
        <v>3689</v>
      </c>
      <c r="G120" s="38" t="s">
        <v>816</v>
      </c>
      <c r="H120" s="38" t="s">
        <v>817</v>
      </c>
      <c r="I120" s="38" t="s">
        <v>185</v>
      </c>
      <c r="J120" s="37">
        <v>1.0</v>
      </c>
      <c r="K120" s="38" t="s">
        <v>818</v>
      </c>
      <c r="L120" s="38" t="s">
        <v>819</v>
      </c>
      <c r="M120" s="37">
        <v>1.0090000000000001</v>
      </c>
      <c r="N120" s="38" t="s">
        <v>115</v>
      </c>
      <c r="O120" s="38" t="s">
        <v>116</v>
      </c>
      <c r="P120" s="38" t="s">
        <v>226</v>
      </c>
      <c r="Q120" s="38" t="s">
        <v>52</v>
      </c>
      <c r="R120" s="38" t="s">
        <v>53</v>
      </c>
      <c r="S120" s="38" t="s">
        <v>264</v>
      </c>
      <c r="T120" s="38" t="s">
        <v>133</v>
      </c>
      <c r="U120" s="38" t="s">
        <v>56</v>
      </c>
      <c r="V120" s="38" t="s">
        <v>57</v>
      </c>
      <c r="W120" s="37">
        <v>8.30781E8</v>
      </c>
      <c r="X120" s="38" t="s">
        <v>134</v>
      </c>
      <c r="Y120" s="38" t="s">
        <v>544</v>
      </c>
      <c r="Z120" s="38" t="s">
        <v>60</v>
      </c>
      <c r="AA120" s="38" t="s">
        <v>61</v>
      </c>
      <c r="AB120" s="38" t="s">
        <v>136</v>
      </c>
      <c r="AC120" s="38" t="s">
        <v>545</v>
      </c>
      <c r="AD120" s="38" t="s">
        <v>3690</v>
      </c>
      <c r="AE120" s="37">
        <v>0.921</v>
      </c>
      <c r="AF120" s="37">
        <v>1.0090000000000001</v>
      </c>
    </row>
    <row r="121">
      <c r="A121" s="38" t="s">
        <v>822</v>
      </c>
      <c r="B121" s="38" t="s">
        <v>54</v>
      </c>
      <c r="C121" s="38" t="s">
        <v>54</v>
      </c>
      <c r="D121" s="38" t="s">
        <v>45</v>
      </c>
      <c r="E121" s="38" t="s">
        <v>823</v>
      </c>
      <c r="F121" s="38" t="s">
        <v>174</v>
      </c>
      <c r="G121" s="38" t="s">
        <v>824</v>
      </c>
      <c r="H121" s="38" t="s">
        <v>825</v>
      </c>
      <c r="I121" s="38" t="s">
        <v>45</v>
      </c>
      <c r="J121" s="37">
        <v>0.0</v>
      </c>
      <c r="K121" s="38" t="s">
        <v>826</v>
      </c>
      <c r="L121" s="38" t="s">
        <v>827</v>
      </c>
      <c r="M121" s="38" t="s">
        <v>54</v>
      </c>
      <c r="N121" s="38" t="s">
        <v>49</v>
      </c>
      <c r="O121" s="38" t="s">
        <v>50</v>
      </c>
      <c r="P121" s="38" t="s">
        <v>76</v>
      </c>
      <c r="Q121" s="38" t="s">
        <v>52</v>
      </c>
      <c r="R121" s="38" t="s">
        <v>53</v>
      </c>
      <c r="S121" s="38" t="s">
        <v>54</v>
      </c>
      <c r="T121" s="38" t="s">
        <v>55</v>
      </c>
      <c r="U121" s="38" t="s">
        <v>70</v>
      </c>
      <c r="V121" s="38" t="s">
        <v>71</v>
      </c>
      <c r="W121" s="37">
        <v>5.284845E8</v>
      </c>
      <c r="X121" s="38" t="s">
        <v>58</v>
      </c>
      <c r="Y121" s="38" t="s">
        <v>191</v>
      </c>
      <c r="Z121" s="38" t="s">
        <v>60</v>
      </c>
      <c r="AA121" s="38" t="s">
        <v>61</v>
      </c>
      <c r="AB121" s="38" t="s">
        <v>177</v>
      </c>
      <c r="AC121" s="38" t="s">
        <v>192</v>
      </c>
      <c r="AD121" s="38" t="s">
        <v>3691</v>
      </c>
      <c r="AE121" s="38" t="s">
        <v>54</v>
      </c>
      <c r="AF121" s="38" t="s">
        <v>54</v>
      </c>
    </row>
    <row r="122">
      <c r="A122" s="38" t="s">
        <v>822</v>
      </c>
      <c r="B122" s="38" t="s">
        <v>54</v>
      </c>
      <c r="C122" s="38" t="s">
        <v>54</v>
      </c>
      <c r="D122" s="38" t="s">
        <v>45</v>
      </c>
      <c r="E122" s="38" t="s">
        <v>830</v>
      </c>
      <c r="F122" s="38" t="s">
        <v>174</v>
      </c>
      <c r="G122" s="38" t="s">
        <v>831</v>
      </c>
      <c r="H122" s="38" t="s">
        <v>825</v>
      </c>
      <c r="I122" s="38" t="s">
        <v>45</v>
      </c>
      <c r="J122" s="37">
        <v>0.0</v>
      </c>
      <c r="K122" s="38" t="s">
        <v>826</v>
      </c>
      <c r="L122" s="38" t="s">
        <v>832</v>
      </c>
      <c r="M122" s="38" t="s">
        <v>54</v>
      </c>
      <c r="N122" s="38" t="s">
        <v>49</v>
      </c>
      <c r="O122" s="38" t="s">
        <v>50</v>
      </c>
      <c r="P122" s="38" t="s">
        <v>145</v>
      </c>
      <c r="Q122" s="38" t="s">
        <v>52</v>
      </c>
      <c r="R122" s="38" t="s">
        <v>53</v>
      </c>
      <c r="S122" s="38" t="s">
        <v>54</v>
      </c>
      <c r="T122" s="38" t="s">
        <v>55</v>
      </c>
      <c r="U122" s="38" t="s">
        <v>70</v>
      </c>
      <c r="V122" s="38" t="s">
        <v>71</v>
      </c>
      <c r="W122" s="37">
        <v>5.284845E8</v>
      </c>
      <c r="X122" s="38" t="s">
        <v>58</v>
      </c>
      <c r="Y122" s="38" t="s">
        <v>191</v>
      </c>
      <c r="Z122" s="38" t="s">
        <v>60</v>
      </c>
      <c r="AA122" s="38" t="s">
        <v>61</v>
      </c>
      <c r="AB122" s="38" t="s">
        <v>177</v>
      </c>
      <c r="AC122" s="38" t="s">
        <v>192</v>
      </c>
      <c r="AD122" s="38" t="s">
        <v>3692</v>
      </c>
      <c r="AE122" s="38" t="s">
        <v>54</v>
      </c>
      <c r="AF122" s="38" t="s">
        <v>54</v>
      </c>
    </row>
    <row r="123">
      <c r="A123" s="38" t="s">
        <v>833</v>
      </c>
      <c r="B123" s="37">
        <v>4.282602148787066</v>
      </c>
      <c r="C123" s="37">
        <v>4.352432818227433</v>
      </c>
      <c r="D123" s="38" t="s">
        <v>170</v>
      </c>
      <c r="E123" s="38" t="s">
        <v>834</v>
      </c>
      <c r="F123" s="38" t="s">
        <v>3693</v>
      </c>
      <c r="G123" s="38" t="s">
        <v>835</v>
      </c>
      <c r="H123" s="38" t="s">
        <v>169</v>
      </c>
      <c r="I123" s="38" t="s">
        <v>170</v>
      </c>
      <c r="J123" s="37">
        <v>2.24</v>
      </c>
      <c r="K123" s="38" t="s">
        <v>836</v>
      </c>
      <c r="L123" s="38" t="s">
        <v>837</v>
      </c>
      <c r="M123" s="38" t="s">
        <v>54</v>
      </c>
      <c r="N123" s="38" t="s">
        <v>49</v>
      </c>
      <c r="O123" s="38" t="s">
        <v>50</v>
      </c>
      <c r="P123" s="38" t="s">
        <v>226</v>
      </c>
      <c r="Q123" s="38" t="s">
        <v>52</v>
      </c>
      <c r="R123" s="38" t="s">
        <v>263</v>
      </c>
      <c r="S123" s="38" t="s">
        <v>175</v>
      </c>
      <c r="T123" s="38" t="s">
        <v>55</v>
      </c>
      <c r="U123" s="38" t="s">
        <v>56</v>
      </c>
      <c r="V123" s="38" t="s">
        <v>71</v>
      </c>
      <c r="W123" s="37">
        <v>1.0E8</v>
      </c>
      <c r="X123" s="38" t="s">
        <v>85</v>
      </c>
      <c r="Y123" s="38" t="s">
        <v>176</v>
      </c>
      <c r="Z123" s="38" t="s">
        <v>60</v>
      </c>
      <c r="AA123" s="38" t="s">
        <v>61</v>
      </c>
      <c r="AB123" s="38" t="s">
        <v>177</v>
      </c>
      <c r="AC123" s="38" t="s">
        <v>178</v>
      </c>
      <c r="AD123" s="38" t="s">
        <v>3694</v>
      </c>
      <c r="AE123" s="37">
        <v>2.425</v>
      </c>
      <c r="AF123" s="37">
        <v>2.425</v>
      </c>
    </row>
    <row r="124">
      <c r="A124" s="38" t="s">
        <v>840</v>
      </c>
      <c r="B124" s="37">
        <v>1.9794136560706241</v>
      </c>
      <c r="C124" s="37">
        <v>2.0755025480996308</v>
      </c>
      <c r="D124" s="38" t="s">
        <v>185</v>
      </c>
      <c r="E124" s="38" t="s">
        <v>841</v>
      </c>
      <c r="F124" s="38" t="s">
        <v>3695</v>
      </c>
      <c r="G124" s="38" t="s">
        <v>842</v>
      </c>
      <c r="H124" s="38" t="s">
        <v>843</v>
      </c>
      <c r="I124" s="38" t="s">
        <v>185</v>
      </c>
      <c r="J124" s="37">
        <v>0.125</v>
      </c>
      <c r="K124" s="38" t="s">
        <v>844</v>
      </c>
      <c r="L124" s="38" t="s">
        <v>845</v>
      </c>
      <c r="M124" s="38" t="s">
        <v>54</v>
      </c>
      <c r="N124" s="38" t="s">
        <v>115</v>
      </c>
      <c r="O124" s="38" t="s">
        <v>116</v>
      </c>
      <c r="P124" s="38" t="s">
        <v>174</v>
      </c>
      <c r="Q124" s="38" t="s">
        <v>52</v>
      </c>
      <c r="R124" s="38" t="s">
        <v>53</v>
      </c>
      <c r="S124" s="38" t="s">
        <v>497</v>
      </c>
      <c r="T124" s="38" t="s">
        <v>55</v>
      </c>
      <c r="U124" s="38" t="s">
        <v>56</v>
      </c>
      <c r="V124" s="38" t="s">
        <v>57</v>
      </c>
      <c r="W124" s="37">
        <v>5.29182E8</v>
      </c>
      <c r="X124" s="38" t="s">
        <v>120</v>
      </c>
      <c r="Y124" s="38" t="s">
        <v>120</v>
      </c>
      <c r="Z124" s="38" t="s">
        <v>60</v>
      </c>
      <c r="AA124" s="38" t="s">
        <v>121</v>
      </c>
      <c r="AB124" s="38" t="s">
        <v>846</v>
      </c>
      <c r="AC124" s="38" t="s">
        <v>846</v>
      </c>
      <c r="AD124" s="38" t="s">
        <v>3696</v>
      </c>
      <c r="AE124" s="37">
        <v>0.075</v>
      </c>
      <c r="AF124" s="37">
        <v>0.075</v>
      </c>
    </row>
    <row r="125">
      <c r="A125" s="38" t="s">
        <v>840</v>
      </c>
      <c r="B125" s="37">
        <v>2.6385384460752603</v>
      </c>
      <c r="C125" s="37">
        <v>2.740747039750876</v>
      </c>
      <c r="D125" s="38" t="s">
        <v>185</v>
      </c>
      <c r="E125" s="38" t="s">
        <v>849</v>
      </c>
      <c r="F125" s="38" t="s">
        <v>3697</v>
      </c>
      <c r="G125" s="38" t="s">
        <v>850</v>
      </c>
      <c r="H125" s="38" t="s">
        <v>843</v>
      </c>
      <c r="I125" s="38" t="s">
        <v>185</v>
      </c>
      <c r="J125" s="37">
        <v>0.625</v>
      </c>
      <c r="K125" s="38" t="s">
        <v>844</v>
      </c>
      <c r="L125" s="38" t="s">
        <v>851</v>
      </c>
      <c r="M125" s="37">
        <v>0.659</v>
      </c>
      <c r="N125" s="38" t="s">
        <v>115</v>
      </c>
      <c r="O125" s="38" t="s">
        <v>116</v>
      </c>
      <c r="P125" s="38" t="s">
        <v>554</v>
      </c>
      <c r="Q125" s="38" t="s">
        <v>52</v>
      </c>
      <c r="R125" s="38" t="s">
        <v>53</v>
      </c>
      <c r="S125" s="38" t="s">
        <v>497</v>
      </c>
      <c r="T125" s="38" t="s">
        <v>55</v>
      </c>
      <c r="U125" s="38" t="s">
        <v>56</v>
      </c>
      <c r="V125" s="38" t="s">
        <v>57</v>
      </c>
      <c r="W125" s="37">
        <v>5.8798E8</v>
      </c>
      <c r="X125" s="38" t="s">
        <v>120</v>
      </c>
      <c r="Y125" s="38" t="s">
        <v>120</v>
      </c>
      <c r="Z125" s="38" t="s">
        <v>60</v>
      </c>
      <c r="AA125" s="38" t="s">
        <v>121</v>
      </c>
      <c r="AB125" s="38" t="s">
        <v>846</v>
      </c>
      <c r="AC125" s="38" t="s">
        <v>846</v>
      </c>
      <c r="AD125" s="38" t="s">
        <v>3698</v>
      </c>
      <c r="AE125" s="37">
        <v>0.546</v>
      </c>
      <c r="AF125" s="37">
        <v>0.659</v>
      </c>
    </row>
    <row r="126">
      <c r="A126" s="38" t="s">
        <v>755</v>
      </c>
      <c r="B126" s="37">
        <v>5.319868896338759</v>
      </c>
      <c r="C126" s="37">
        <v>5.359433817219137</v>
      </c>
      <c r="D126" s="38" t="s">
        <v>258</v>
      </c>
      <c r="E126" s="38" t="s">
        <v>853</v>
      </c>
      <c r="F126" s="38" t="s">
        <v>3699</v>
      </c>
      <c r="G126" s="38" t="s">
        <v>854</v>
      </c>
      <c r="H126" s="38" t="s">
        <v>758</v>
      </c>
      <c r="I126" s="38" t="s">
        <v>258</v>
      </c>
      <c r="J126" s="37">
        <v>2.5</v>
      </c>
      <c r="K126" s="38" t="s">
        <v>855</v>
      </c>
      <c r="L126" s="38" t="s">
        <v>856</v>
      </c>
      <c r="M126" s="37">
        <v>2.6999999999999997</v>
      </c>
      <c r="N126" s="38" t="s">
        <v>115</v>
      </c>
      <c r="O126" s="38" t="s">
        <v>116</v>
      </c>
      <c r="P126" s="38" t="s">
        <v>174</v>
      </c>
      <c r="Q126" s="38" t="s">
        <v>52</v>
      </c>
      <c r="R126" s="38" t="s">
        <v>263</v>
      </c>
      <c r="S126" s="38" t="s">
        <v>497</v>
      </c>
      <c r="T126" s="38" t="s">
        <v>55</v>
      </c>
      <c r="U126" s="38" t="s">
        <v>56</v>
      </c>
      <c r="V126" s="38" t="s">
        <v>71</v>
      </c>
      <c r="W126" s="37">
        <v>5.0E8</v>
      </c>
      <c r="X126" s="38" t="s">
        <v>85</v>
      </c>
      <c r="Y126" s="38" t="s">
        <v>760</v>
      </c>
      <c r="Z126" s="38" t="s">
        <v>60</v>
      </c>
      <c r="AA126" s="38" t="s">
        <v>61</v>
      </c>
      <c r="AB126" s="38" t="s">
        <v>87</v>
      </c>
      <c r="AC126" s="38" t="s">
        <v>266</v>
      </c>
      <c r="AD126" s="38" t="s">
        <v>3700</v>
      </c>
      <c r="AE126" s="37">
        <v>2.553</v>
      </c>
      <c r="AF126" s="37">
        <v>2.6999999999999997</v>
      </c>
    </row>
    <row r="127">
      <c r="A127" s="38" t="s">
        <v>859</v>
      </c>
      <c r="B127" s="37">
        <v>6.318795555615858</v>
      </c>
      <c r="C127" s="37">
        <v>6.590916029806908</v>
      </c>
      <c r="D127" s="38" t="s">
        <v>200</v>
      </c>
      <c r="E127" s="38" t="s">
        <v>860</v>
      </c>
      <c r="F127" s="38" t="s">
        <v>3701</v>
      </c>
      <c r="G127" s="38" t="s">
        <v>861</v>
      </c>
      <c r="H127" s="38" t="s">
        <v>862</v>
      </c>
      <c r="I127" s="38" t="s">
        <v>200</v>
      </c>
      <c r="J127" s="37">
        <v>4.625</v>
      </c>
      <c r="K127" s="38" t="s">
        <v>863</v>
      </c>
      <c r="L127" s="38" t="s">
        <v>864</v>
      </c>
      <c r="M127" s="37">
        <v>4.625</v>
      </c>
      <c r="N127" s="38" t="s">
        <v>115</v>
      </c>
      <c r="O127" s="38" t="s">
        <v>116</v>
      </c>
      <c r="P127" s="38" t="s">
        <v>262</v>
      </c>
      <c r="Q127" s="38" t="s">
        <v>459</v>
      </c>
      <c r="R127" s="38" t="s">
        <v>53</v>
      </c>
      <c r="S127" s="38" t="s">
        <v>351</v>
      </c>
      <c r="T127" s="38" t="s">
        <v>55</v>
      </c>
      <c r="U127" s="38" t="s">
        <v>56</v>
      </c>
      <c r="V127" s="38" t="s">
        <v>71</v>
      </c>
      <c r="W127" s="37">
        <v>5.91447E8</v>
      </c>
      <c r="X127" s="38" t="s">
        <v>58</v>
      </c>
      <c r="Y127" s="38" t="s">
        <v>865</v>
      </c>
      <c r="Z127" s="38" t="s">
        <v>60</v>
      </c>
      <c r="AA127" s="38" t="s">
        <v>61</v>
      </c>
      <c r="AB127" s="38" t="s">
        <v>177</v>
      </c>
      <c r="AC127" s="38" t="s">
        <v>866</v>
      </c>
      <c r="AD127" s="38" t="s">
        <v>3702</v>
      </c>
      <c r="AE127" s="37">
        <v>4.139</v>
      </c>
      <c r="AF127" s="37">
        <v>4.625</v>
      </c>
    </row>
    <row r="128">
      <c r="A128" s="38" t="s">
        <v>859</v>
      </c>
      <c r="B128" s="37">
        <v>6.31002091442335</v>
      </c>
      <c r="C128" s="37">
        <v>6.569542165329406</v>
      </c>
      <c r="D128" s="38" t="s">
        <v>200</v>
      </c>
      <c r="E128" s="38" t="s">
        <v>868</v>
      </c>
      <c r="F128" s="38" t="s">
        <v>3703</v>
      </c>
      <c r="G128" s="38" t="s">
        <v>869</v>
      </c>
      <c r="H128" s="38" t="s">
        <v>862</v>
      </c>
      <c r="I128" s="38" t="s">
        <v>200</v>
      </c>
      <c r="J128" s="37">
        <v>4.625</v>
      </c>
      <c r="K128" s="38" t="s">
        <v>863</v>
      </c>
      <c r="L128" s="38" t="s">
        <v>864</v>
      </c>
      <c r="M128" s="37">
        <v>4.625</v>
      </c>
      <c r="N128" s="38" t="s">
        <v>115</v>
      </c>
      <c r="O128" s="38" t="s">
        <v>116</v>
      </c>
      <c r="P128" s="38" t="s">
        <v>271</v>
      </c>
      <c r="Q128" s="38" t="s">
        <v>459</v>
      </c>
      <c r="R128" s="38" t="s">
        <v>53</v>
      </c>
      <c r="S128" s="38" t="s">
        <v>351</v>
      </c>
      <c r="T128" s="38" t="s">
        <v>55</v>
      </c>
      <c r="U128" s="38" t="s">
        <v>56</v>
      </c>
      <c r="V128" s="38" t="s">
        <v>71</v>
      </c>
      <c r="W128" s="37">
        <v>5.91447E8</v>
      </c>
      <c r="X128" s="38" t="s">
        <v>58</v>
      </c>
      <c r="Y128" s="38" t="s">
        <v>865</v>
      </c>
      <c r="Z128" s="38" t="s">
        <v>60</v>
      </c>
      <c r="AA128" s="38" t="s">
        <v>61</v>
      </c>
      <c r="AB128" s="38" t="s">
        <v>177</v>
      </c>
      <c r="AC128" s="38" t="s">
        <v>866</v>
      </c>
      <c r="AD128" s="38" t="s">
        <v>3704</v>
      </c>
      <c r="AE128" s="37">
        <v>4.141</v>
      </c>
      <c r="AF128" s="37">
        <v>4.625</v>
      </c>
    </row>
    <row r="129">
      <c r="A129" s="38" t="s">
        <v>872</v>
      </c>
      <c r="B129" s="37">
        <v>4.347613488975784</v>
      </c>
      <c r="C129" s="37">
        <v>4.38701097962951</v>
      </c>
      <c r="D129" s="38" t="s">
        <v>595</v>
      </c>
      <c r="E129" s="38" t="s">
        <v>873</v>
      </c>
      <c r="F129" s="38" t="s">
        <v>3705</v>
      </c>
      <c r="G129" s="38" t="s">
        <v>874</v>
      </c>
      <c r="H129" s="38" t="s">
        <v>875</v>
      </c>
      <c r="I129" s="38" t="s">
        <v>595</v>
      </c>
      <c r="J129" s="37">
        <v>2.0</v>
      </c>
      <c r="K129" s="38" t="s">
        <v>844</v>
      </c>
      <c r="L129" s="38" t="s">
        <v>876</v>
      </c>
      <c r="M129" s="37">
        <v>2.0909999999999997</v>
      </c>
      <c r="N129" s="38" t="s">
        <v>115</v>
      </c>
      <c r="O129" s="38" t="s">
        <v>116</v>
      </c>
      <c r="P129" s="38" t="s">
        <v>174</v>
      </c>
      <c r="Q129" s="38" t="s">
        <v>52</v>
      </c>
      <c r="R129" s="38" t="s">
        <v>263</v>
      </c>
      <c r="S129" s="38" t="s">
        <v>175</v>
      </c>
      <c r="T129" s="38" t="s">
        <v>55</v>
      </c>
      <c r="U129" s="38" t="s">
        <v>56</v>
      </c>
      <c r="V129" s="38" t="s">
        <v>71</v>
      </c>
      <c r="W129" s="37">
        <v>5.0E8</v>
      </c>
      <c r="X129" s="38" t="s">
        <v>58</v>
      </c>
      <c r="Y129" s="38" t="s">
        <v>191</v>
      </c>
      <c r="Z129" s="38" t="s">
        <v>60</v>
      </c>
      <c r="AA129" s="38" t="s">
        <v>61</v>
      </c>
      <c r="AB129" s="38" t="s">
        <v>177</v>
      </c>
      <c r="AC129" s="38" t="s">
        <v>192</v>
      </c>
      <c r="AD129" s="38" t="s">
        <v>3706</v>
      </c>
      <c r="AE129" s="38" t="s">
        <v>54</v>
      </c>
      <c r="AF129" s="37">
        <v>2.0909999999999997</v>
      </c>
    </row>
    <row r="130">
      <c r="A130" s="38" t="s">
        <v>879</v>
      </c>
      <c r="B130" s="37">
        <v>6.570604510113076</v>
      </c>
      <c r="C130" s="37">
        <v>6.632579534739</v>
      </c>
      <c r="D130" s="38" t="s">
        <v>170</v>
      </c>
      <c r="E130" s="38" t="s">
        <v>880</v>
      </c>
      <c r="F130" s="38" t="s">
        <v>3707</v>
      </c>
      <c r="G130" s="38" t="s">
        <v>881</v>
      </c>
      <c r="H130" s="38" t="s">
        <v>882</v>
      </c>
      <c r="I130" s="38" t="s">
        <v>170</v>
      </c>
      <c r="J130" s="37">
        <v>4.2</v>
      </c>
      <c r="K130" s="38" t="s">
        <v>883</v>
      </c>
      <c r="L130" s="38" t="s">
        <v>884</v>
      </c>
      <c r="M130" s="37">
        <v>4.25</v>
      </c>
      <c r="N130" s="38" t="s">
        <v>115</v>
      </c>
      <c r="O130" s="38" t="s">
        <v>116</v>
      </c>
      <c r="P130" s="38" t="s">
        <v>262</v>
      </c>
      <c r="Q130" s="38" t="s">
        <v>52</v>
      </c>
      <c r="R130" s="38" t="s">
        <v>263</v>
      </c>
      <c r="S130" s="38" t="s">
        <v>885</v>
      </c>
      <c r="T130" s="38" t="s">
        <v>55</v>
      </c>
      <c r="U130" s="38" t="s">
        <v>56</v>
      </c>
      <c r="V130" s="38" t="s">
        <v>71</v>
      </c>
      <c r="W130" s="37">
        <v>5.0E8</v>
      </c>
      <c r="X130" s="38" t="s">
        <v>58</v>
      </c>
      <c r="Y130" s="38" t="s">
        <v>886</v>
      </c>
      <c r="Z130" s="38" t="s">
        <v>60</v>
      </c>
      <c r="AA130" s="38" t="s">
        <v>61</v>
      </c>
      <c r="AB130" s="38" t="s">
        <v>280</v>
      </c>
      <c r="AC130" s="38" t="s">
        <v>887</v>
      </c>
      <c r="AD130" s="38" t="s">
        <v>3708</v>
      </c>
      <c r="AE130" s="37">
        <v>4.306</v>
      </c>
      <c r="AF130" s="37">
        <v>4.25</v>
      </c>
    </row>
    <row r="131">
      <c r="A131" s="38" t="s">
        <v>879</v>
      </c>
      <c r="B131" s="37">
        <v>6.570131567986749</v>
      </c>
      <c r="C131" s="37">
        <v>6.6161028013346845</v>
      </c>
      <c r="D131" s="38" t="s">
        <v>170</v>
      </c>
      <c r="E131" s="38" t="s">
        <v>890</v>
      </c>
      <c r="F131" s="38" t="s">
        <v>3709</v>
      </c>
      <c r="G131" s="38" t="s">
        <v>891</v>
      </c>
      <c r="H131" s="38" t="s">
        <v>882</v>
      </c>
      <c r="I131" s="38" t="s">
        <v>170</v>
      </c>
      <c r="J131" s="37">
        <v>4.2</v>
      </c>
      <c r="K131" s="38" t="s">
        <v>883</v>
      </c>
      <c r="L131" s="38" t="s">
        <v>884</v>
      </c>
      <c r="M131" s="37">
        <v>4.25</v>
      </c>
      <c r="N131" s="38" t="s">
        <v>115</v>
      </c>
      <c r="O131" s="38" t="s">
        <v>116</v>
      </c>
      <c r="P131" s="38" t="s">
        <v>271</v>
      </c>
      <c r="Q131" s="38" t="s">
        <v>52</v>
      </c>
      <c r="R131" s="38" t="s">
        <v>263</v>
      </c>
      <c r="S131" s="38" t="s">
        <v>885</v>
      </c>
      <c r="T131" s="38" t="s">
        <v>55</v>
      </c>
      <c r="U131" s="38" t="s">
        <v>56</v>
      </c>
      <c r="V131" s="38" t="s">
        <v>71</v>
      </c>
      <c r="W131" s="37">
        <v>5.0E8</v>
      </c>
      <c r="X131" s="38" t="s">
        <v>58</v>
      </c>
      <c r="Y131" s="38" t="s">
        <v>886</v>
      </c>
      <c r="Z131" s="38" t="s">
        <v>60</v>
      </c>
      <c r="AA131" s="38" t="s">
        <v>61</v>
      </c>
      <c r="AB131" s="38" t="s">
        <v>280</v>
      </c>
      <c r="AC131" s="38" t="s">
        <v>887</v>
      </c>
      <c r="AD131" s="38" t="s">
        <v>3710</v>
      </c>
      <c r="AE131" s="37">
        <v>4.284</v>
      </c>
      <c r="AF131" s="37">
        <v>4.25</v>
      </c>
    </row>
    <row r="132">
      <c r="A132" s="38" t="s">
        <v>894</v>
      </c>
      <c r="B132" s="37">
        <v>1.9179477905321827</v>
      </c>
      <c r="C132" s="37">
        <v>2.1177435359322025</v>
      </c>
      <c r="D132" s="38" t="s">
        <v>368</v>
      </c>
      <c r="E132" s="38" t="s">
        <v>895</v>
      </c>
      <c r="F132" s="38" t="s">
        <v>3711</v>
      </c>
      <c r="G132" s="38" t="s">
        <v>896</v>
      </c>
      <c r="H132" s="38" t="s">
        <v>897</v>
      </c>
      <c r="I132" s="38" t="s">
        <v>368</v>
      </c>
      <c r="J132" s="37">
        <v>1.266</v>
      </c>
      <c r="K132" s="38" t="s">
        <v>898</v>
      </c>
      <c r="L132" s="38" t="s">
        <v>899</v>
      </c>
      <c r="M132" s="38" t="s">
        <v>54</v>
      </c>
      <c r="N132" s="38" t="s">
        <v>49</v>
      </c>
      <c r="O132" s="38" t="s">
        <v>50</v>
      </c>
      <c r="P132" s="38" t="s">
        <v>686</v>
      </c>
      <c r="Q132" s="38" t="s">
        <v>52</v>
      </c>
      <c r="R132" s="38" t="s">
        <v>687</v>
      </c>
      <c r="S132" s="38" t="s">
        <v>54</v>
      </c>
      <c r="T132" s="38" t="s">
        <v>55</v>
      </c>
      <c r="U132" s="38" t="s">
        <v>70</v>
      </c>
      <c r="V132" s="38" t="s">
        <v>392</v>
      </c>
      <c r="W132" s="37">
        <v>6.8178E7</v>
      </c>
      <c r="X132" s="38" t="s">
        <v>85</v>
      </c>
      <c r="Y132" s="38" t="s">
        <v>86</v>
      </c>
      <c r="Z132" s="38" t="s">
        <v>60</v>
      </c>
      <c r="AA132" s="38" t="s">
        <v>61</v>
      </c>
      <c r="AB132" s="38" t="s">
        <v>87</v>
      </c>
      <c r="AC132" s="38" t="s">
        <v>88</v>
      </c>
      <c r="AD132" s="38" t="s">
        <v>3712</v>
      </c>
      <c r="AE132" s="37">
        <v>0.987</v>
      </c>
      <c r="AF132" s="37">
        <v>0.987</v>
      </c>
    </row>
    <row r="133">
      <c r="A133" s="38" t="s">
        <v>642</v>
      </c>
      <c r="B133" s="37">
        <v>1.8374019276555797</v>
      </c>
      <c r="C133" s="37">
        <v>1.9050300252540175</v>
      </c>
      <c r="D133" s="38" t="s">
        <v>367</v>
      </c>
      <c r="E133" s="38" t="s">
        <v>902</v>
      </c>
      <c r="F133" s="38" t="s">
        <v>3713</v>
      </c>
      <c r="G133" s="38" t="s">
        <v>903</v>
      </c>
      <c r="H133" s="38" t="s">
        <v>645</v>
      </c>
      <c r="I133" s="38" t="s">
        <v>367</v>
      </c>
      <c r="J133" s="37">
        <v>0.0</v>
      </c>
      <c r="K133" s="38" t="s">
        <v>904</v>
      </c>
      <c r="L133" s="38" t="s">
        <v>905</v>
      </c>
      <c r="M133" s="37">
        <v>0.06400000000000002</v>
      </c>
      <c r="N133" s="38" t="s">
        <v>115</v>
      </c>
      <c r="O133" s="38" t="s">
        <v>116</v>
      </c>
      <c r="P133" s="38" t="s">
        <v>226</v>
      </c>
      <c r="Q133" s="38" t="s">
        <v>52</v>
      </c>
      <c r="R133" s="38" t="s">
        <v>53</v>
      </c>
      <c r="S133" s="38" t="s">
        <v>620</v>
      </c>
      <c r="T133" s="38" t="s">
        <v>55</v>
      </c>
      <c r="U133" s="38" t="s">
        <v>56</v>
      </c>
      <c r="V133" s="38" t="s">
        <v>57</v>
      </c>
      <c r="W133" s="37">
        <v>1.46025E9</v>
      </c>
      <c r="X133" s="38" t="s">
        <v>120</v>
      </c>
      <c r="Y133" s="38" t="s">
        <v>120</v>
      </c>
      <c r="Z133" s="38" t="s">
        <v>60</v>
      </c>
      <c r="AA133" s="38" t="s">
        <v>121</v>
      </c>
      <c r="AB133" s="38" t="s">
        <v>122</v>
      </c>
      <c r="AC133" s="38" t="s">
        <v>122</v>
      </c>
      <c r="AD133" s="38" t="s">
        <v>3714</v>
      </c>
      <c r="AE133" s="37">
        <v>0.087</v>
      </c>
      <c r="AF133" s="37">
        <v>0.06400000000000002</v>
      </c>
    </row>
    <row r="134">
      <c r="A134" s="38" t="s">
        <v>642</v>
      </c>
      <c r="B134" s="37">
        <v>2.275740143870833</v>
      </c>
      <c r="C134" s="37">
        <v>2.3417710125835582</v>
      </c>
      <c r="D134" s="38" t="s">
        <v>367</v>
      </c>
      <c r="E134" s="38" t="s">
        <v>907</v>
      </c>
      <c r="F134" s="38" t="s">
        <v>3715</v>
      </c>
      <c r="G134" s="38" t="s">
        <v>908</v>
      </c>
      <c r="H134" s="38" t="s">
        <v>645</v>
      </c>
      <c r="I134" s="38" t="s">
        <v>367</v>
      </c>
      <c r="J134" s="37">
        <v>0.375</v>
      </c>
      <c r="K134" s="38" t="s">
        <v>904</v>
      </c>
      <c r="L134" s="38" t="s">
        <v>909</v>
      </c>
      <c r="M134" s="37">
        <v>0.388</v>
      </c>
      <c r="N134" s="38" t="s">
        <v>115</v>
      </c>
      <c r="O134" s="38" t="s">
        <v>116</v>
      </c>
      <c r="P134" s="38" t="s">
        <v>910</v>
      </c>
      <c r="Q134" s="38" t="s">
        <v>52</v>
      </c>
      <c r="R134" s="38" t="s">
        <v>53</v>
      </c>
      <c r="S134" s="38" t="s">
        <v>620</v>
      </c>
      <c r="T134" s="38" t="s">
        <v>55</v>
      </c>
      <c r="U134" s="38" t="s">
        <v>56</v>
      </c>
      <c r="V134" s="38" t="s">
        <v>57</v>
      </c>
      <c r="W134" s="37">
        <v>1.1682E9</v>
      </c>
      <c r="X134" s="38" t="s">
        <v>120</v>
      </c>
      <c r="Y134" s="38" t="s">
        <v>120</v>
      </c>
      <c r="Z134" s="38" t="s">
        <v>60</v>
      </c>
      <c r="AA134" s="38" t="s">
        <v>121</v>
      </c>
      <c r="AB134" s="38" t="s">
        <v>122</v>
      </c>
      <c r="AC134" s="38" t="s">
        <v>122</v>
      </c>
      <c r="AD134" s="38" t="s">
        <v>3716</v>
      </c>
      <c r="AE134" s="37">
        <v>0.46</v>
      </c>
      <c r="AF134" s="37">
        <v>0.388</v>
      </c>
    </row>
    <row r="135">
      <c r="A135" s="38" t="s">
        <v>642</v>
      </c>
      <c r="B135" s="37">
        <v>2.8375008131104007</v>
      </c>
      <c r="C135" s="37">
        <v>2.8981962482050845</v>
      </c>
      <c r="D135" s="38" t="s">
        <v>367</v>
      </c>
      <c r="E135" s="38" t="s">
        <v>912</v>
      </c>
      <c r="F135" s="38" t="s">
        <v>3717</v>
      </c>
      <c r="G135" s="38" t="s">
        <v>913</v>
      </c>
      <c r="H135" s="38" t="s">
        <v>645</v>
      </c>
      <c r="I135" s="38" t="s">
        <v>367</v>
      </c>
      <c r="J135" s="37">
        <v>0.875</v>
      </c>
      <c r="K135" s="38" t="s">
        <v>904</v>
      </c>
      <c r="L135" s="38" t="s">
        <v>914</v>
      </c>
      <c r="M135" s="38" t="s">
        <v>54</v>
      </c>
      <c r="N135" s="38" t="s">
        <v>115</v>
      </c>
      <c r="O135" s="38" t="s">
        <v>116</v>
      </c>
      <c r="P135" s="38" t="s">
        <v>226</v>
      </c>
      <c r="Q135" s="38" t="s">
        <v>52</v>
      </c>
      <c r="R135" s="38" t="s">
        <v>53</v>
      </c>
      <c r="S135" s="38" t="s">
        <v>620</v>
      </c>
      <c r="T135" s="38" t="s">
        <v>55</v>
      </c>
      <c r="U135" s="38" t="s">
        <v>56</v>
      </c>
      <c r="V135" s="38" t="s">
        <v>57</v>
      </c>
      <c r="W135" s="37">
        <v>1.46025E9</v>
      </c>
      <c r="X135" s="38" t="s">
        <v>120</v>
      </c>
      <c r="Y135" s="38" t="s">
        <v>120</v>
      </c>
      <c r="Z135" s="38" t="s">
        <v>60</v>
      </c>
      <c r="AA135" s="38" t="s">
        <v>121</v>
      </c>
      <c r="AB135" s="38" t="s">
        <v>122</v>
      </c>
      <c r="AC135" s="38" t="s">
        <v>122</v>
      </c>
      <c r="AD135" s="38" t="s">
        <v>3718</v>
      </c>
      <c r="AE135" s="37">
        <v>0.955</v>
      </c>
      <c r="AF135" s="37">
        <v>0.955</v>
      </c>
    </row>
    <row r="136">
      <c r="A136" s="38" t="s">
        <v>917</v>
      </c>
      <c r="B136" s="37">
        <v>1.9457460565649525</v>
      </c>
      <c r="C136" s="37">
        <v>2.021687558577503</v>
      </c>
      <c r="D136" s="38" t="s">
        <v>185</v>
      </c>
      <c r="E136" s="38" t="s">
        <v>918</v>
      </c>
      <c r="F136" s="38" t="s">
        <v>3719</v>
      </c>
      <c r="G136" s="38" t="s">
        <v>919</v>
      </c>
      <c r="H136" s="38" t="s">
        <v>920</v>
      </c>
      <c r="I136" s="38" t="s">
        <v>185</v>
      </c>
      <c r="J136" s="37">
        <v>0.375</v>
      </c>
      <c r="K136" s="38" t="s">
        <v>921</v>
      </c>
      <c r="L136" s="38" t="s">
        <v>922</v>
      </c>
      <c r="M136" s="37">
        <v>0.395</v>
      </c>
      <c r="N136" s="38" t="s">
        <v>115</v>
      </c>
      <c r="O136" s="38" t="s">
        <v>116</v>
      </c>
      <c r="P136" s="38" t="s">
        <v>174</v>
      </c>
      <c r="Q136" s="38" t="s">
        <v>52</v>
      </c>
      <c r="R136" s="38" t="s">
        <v>53</v>
      </c>
      <c r="S136" s="38" t="s">
        <v>190</v>
      </c>
      <c r="T136" s="38" t="s">
        <v>421</v>
      </c>
      <c r="U136" s="38" t="s">
        <v>56</v>
      </c>
      <c r="V136" s="38" t="s">
        <v>57</v>
      </c>
      <c r="W136" s="37">
        <v>6.92586E8</v>
      </c>
      <c r="X136" s="38" t="s">
        <v>58</v>
      </c>
      <c r="Y136" s="38" t="s">
        <v>191</v>
      </c>
      <c r="Z136" s="38" t="s">
        <v>60</v>
      </c>
      <c r="AA136" s="38" t="s">
        <v>61</v>
      </c>
      <c r="AB136" s="38" t="s">
        <v>177</v>
      </c>
      <c r="AC136" s="38" t="s">
        <v>178</v>
      </c>
      <c r="AD136" s="38" t="s">
        <v>3720</v>
      </c>
      <c r="AE136" s="37">
        <v>0.418</v>
      </c>
      <c r="AF136" s="37">
        <v>0.395</v>
      </c>
    </row>
    <row r="137">
      <c r="A137" s="38" t="s">
        <v>925</v>
      </c>
      <c r="B137" s="37">
        <v>4.553331500099787</v>
      </c>
      <c r="C137" s="37">
        <v>4.647036287360661</v>
      </c>
      <c r="D137" s="38" t="s">
        <v>223</v>
      </c>
      <c r="E137" s="38" t="s">
        <v>926</v>
      </c>
      <c r="F137" s="38" t="s">
        <v>3721</v>
      </c>
      <c r="G137" s="38" t="s">
        <v>927</v>
      </c>
      <c r="H137" s="38" t="s">
        <v>928</v>
      </c>
      <c r="I137" s="38" t="s">
        <v>223</v>
      </c>
      <c r="J137" s="37">
        <v>3.025</v>
      </c>
      <c r="K137" s="38" t="s">
        <v>929</v>
      </c>
      <c r="L137" s="38" t="s">
        <v>930</v>
      </c>
      <c r="M137" s="38" t="s">
        <v>54</v>
      </c>
      <c r="N137" s="38" t="s">
        <v>49</v>
      </c>
      <c r="O137" s="38" t="s">
        <v>50</v>
      </c>
      <c r="P137" s="38" t="s">
        <v>174</v>
      </c>
      <c r="Q137" s="38" t="s">
        <v>52</v>
      </c>
      <c r="R137" s="38" t="s">
        <v>53</v>
      </c>
      <c r="S137" s="38" t="s">
        <v>54</v>
      </c>
      <c r="T137" s="38" t="s">
        <v>55</v>
      </c>
      <c r="U137" s="38" t="s">
        <v>56</v>
      </c>
      <c r="V137" s="38" t="s">
        <v>71</v>
      </c>
      <c r="W137" s="37">
        <v>3.47121E7</v>
      </c>
      <c r="X137" s="38" t="s">
        <v>58</v>
      </c>
      <c r="Y137" s="38" t="s">
        <v>506</v>
      </c>
      <c r="Z137" s="38" t="s">
        <v>60</v>
      </c>
      <c r="AA137" s="38" t="s">
        <v>61</v>
      </c>
      <c r="AB137" s="38" t="s">
        <v>62</v>
      </c>
      <c r="AC137" s="38" t="s">
        <v>62</v>
      </c>
      <c r="AD137" s="38" t="s">
        <v>3722</v>
      </c>
      <c r="AE137" s="38" t="s">
        <v>54</v>
      </c>
      <c r="AF137" s="38" t="s">
        <v>54</v>
      </c>
    </row>
    <row r="138">
      <c r="A138" s="38" t="s">
        <v>933</v>
      </c>
      <c r="B138" s="38" t="s">
        <v>54</v>
      </c>
      <c r="C138" s="38" t="s">
        <v>54</v>
      </c>
      <c r="D138" s="38" t="s">
        <v>45</v>
      </c>
      <c r="E138" s="38" t="s">
        <v>934</v>
      </c>
      <c r="F138" s="38" t="s">
        <v>174</v>
      </c>
      <c r="G138" s="38" t="s">
        <v>935</v>
      </c>
      <c r="H138" s="38" t="s">
        <v>936</v>
      </c>
      <c r="I138" s="38" t="s">
        <v>45</v>
      </c>
      <c r="J138" s="37">
        <v>0.0</v>
      </c>
      <c r="K138" s="38" t="s">
        <v>937</v>
      </c>
      <c r="L138" s="38" t="s">
        <v>938</v>
      </c>
      <c r="M138" s="38" t="s">
        <v>54</v>
      </c>
      <c r="N138" s="38" t="s">
        <v>49</v>
      </c>
      <c r="O138" s="38" t="s">
        <v>50</v>
      </c>
      <c r="P138" s="38" t="s">
        <v>51</v>
      </c>
      <c r="Q138" s="38" t="s">
        <v>52</v>
      </c>
      <c r="R138" s="38" t="s">
        <v>53</v>
      </c>
      <c r="S138" s="38" t="s">
        <v>54</v>
      </c>
      <c r="T138" s="38" t="s">
        <v>55</v>
      </c>
      <c r="U138" s="38" t="s">
        <v>56</v>
      </c>
      <c r="V138" s="38" t="s">
        <v>57</v>
      </c>
      <c r="W138" s="37">
        <v>1.15123E8</v>
      </c>
      <c r="X138" s="38" t="s">
        <v>85</v>
      </c>
      <c r="Y138" s="38" t="s">
        <v>515</v>
      </c>
      <c r="Z138" s="38" t="s">
        <v>60</v>
      </c>
      <c r="AA138" s="38" t="s">
        <v>61</v>
      </c>
      <c r="AB138" s="38" t="s">
        <v>87</v>
      </c>
      <c r="AC138" s="38" t="s">
        <v>515</v>
      </c>
      <c r="AD138" s="38" t="s">
        <v>3723</v>
      </c>
      <c r="AE138" s="38" t="s">
        <v>54</v>
      </c>
      <c r="AF138" s="38" t="s">
        <v>54</v>
      </c>
    </row>
    <row r="139">
      <c r="A139" s="38" t="s">
        <v>933</v>
      </c>
      <c r="B139" s="38" t="s">
        <v>54</v>
      </c>
      <c r="C139" s="38" t="s">
        <v>54</v>
      </c>
      <c r="D139" s="38" t="s">
        <v>45</v>
      </c>
      <c r="E139" s="38" t="s">
        <v>941</v>
      </c>
      <c r="F139" s="38" t="s">
        <v>174</v>
      </c>
      <c r="G139" s="38" t="s">
        <v>942</v>
      </c>
      <c r="H139" s="38" t="s">
        <v>936</v>
      </c>
      <c r="I139" s="38" t="s">
        <v>45</v>
      </c>
      <c r="J139" s="37">
        <v>0.0</v>
      </c>
      <c r="K139" s="38" t="s">
        <v>937</v>
      </c>
      <c r="L139" s="38" t="s">
        <v>943</v>
      </c>
      <c r="M139" s="38" t="s">
        <v>54</v>
      </c>
      <c r="N139" s="38" t="s">
        <v>49</v>
      </c>
      <c r="O139" s="38" t="s">
        <v>50</v>
      </c>
      <c r="P139" s="38" t="s">
        <v>69</v>
      </c>
      <c r="Q139" s="38" t="s">
        <v>52</v>
      </c>
      <c r="R139" s="38" t="s">
        <v>53</v>
      </c>
      <c r="S139" s="38" t="s">
        <v>54</v>
      </c>
      <c r="T139" s="38" t="s">
        <v>55</v>
      </c>
      <c r="U139" s="38" t="s">
        <v>70</v>
      </c>
      <c r="V139" s="38" t="s">
        <v>71</v>
      </c>
      <c r="W139" s="37">
        <v>1.15123E8</v>
      </c>
      <c r="X139" s="38" t="s">
        <v>85</v>
      </c>
      <c r="Y139" s="38" t="s">
        <v>515</v>
      </c>
      <c r="Z139" s="38" t="s">
        <v>60</v>
      </c>
      <c r="AA139" s="38" t="s">
        <v>61</v>
      </c>
      <c r="AB139" s="38" t="s">
        <v>87</v>
      </c>
      <c r="AC139" s="38" t="s">
        <v>515</v>
      </c>
      <c r="AD139" s="38" t="s">
        <v>3724</v>
      </c>
      <c r="AE139" s="38" t="s">
        <v>54</v>
      </c>
      <c r="AF139" s="38" t="s">
        <v>54</v>
      </c>
    </row>
    <row r="140">
      <c r="A140" s="38" t="s">
        <v>933</v>
      </c>
      <c r="B140" s="38" t="s">
        <v>54</v>
      </c>
      <c r="C140" s="38" t="s">
        <v>54</v>
      </c>
      <c r="D140" s="38" t="s">
        <v>45</v>
      </c>
      <c r="E140" s="38" t="s">
        <v>944</v>
      </c>
      <c r="F140" s="38" t="s">
        <v>174</v>
      </c>
      <c r="G140" s="38" t="s">
        <v>945</v>
      </c>
      <c r="H140" s="38" t="s">
        <v>936</v>
      </c>
      <c r="I140" s="38" t="s">
        <v>45</v>
      </c>
      <c r="J140" s="37">
        <v>0.0</v>
      </c>
      <c r="K140" s="38" t="s">
        <v>937</v>
      </c>
      <c r="L140" s="38" t="s">
        <v>946</v>
      </c>
      <c r="M140" s="38" t="s">
        <v>54</v>
      </c>
      <c r="N140" s="38" t="s">
        <v>49</v>
      </c>
      <c r="O140" s="38" t="s">
        <v>50</v>
      </c>
      <c r="P140" s="38" t="s">
        <v>76</v>
      </c>
      <c r="Q140" s="38" t="s">
        <v>52</v>
      </c>
      <c r="R140" s="38" t="s">
        <v>53</v>
      </c>
      <c r="S140" s="38" t="s">
        <v>54</v>
      </c>
      <c r="T140" s="38" t="s">
        <v>55</v>
      </c>
      <c r="U140" s="38" t="s">
        <v>70</v>
      </c>
      <c r="V140" s="38" t="s">
        <v>71</v>
      </c>
      <c r="W140" s="37">
        <v>1.15123E8</v>
      </c>
      <c r="X140" s="38" t="s">
        <v>85</v>
      </c>
      <c r="Y140" s="38" t="s">
        <v>515</v>
      </c>
      <c r="Z140" s="38" t="s">
        <v>60</v>
      </c>
      <c r="AA140" s="38" t="s">
        <v>61</v>
      </c>
      <c r="AB140" s="38" t="s">
        <v>87</v>
      </c>
      <c r="AC140" s="38" t="s">
        <v>515</v>
      </c>
      <c r="AD140" s="38" t="s">
        <v>3725</v>
      </c>
      <c r="AE140" s="38" t="s">
        <v>54</v>
      </c>
      <c r="AF140" s="38" t="s">
        <v>54</v>
      </c>
    </row>
    <row r="141">
      <c r="A141" s="38" t="s">
        <v>947</v>
      </c>
      <c r="B141" s="37">
        <v>2.212863847239569</v>
      </c>
      <c r="C141" s="37">
        <v>2.284417268239425</v>
      </c>
      <c r="D141" s="38" t="s">
        <v>367</v>
      </c>
      <c r="E141" s="38" t="s">
        <v>948</v>
      </c>
      <c r="F141" s="38" t="s">
        <v>3726</v>
      </c>
      <c r="G141" s="38" t="s">
        <v>949</v>
      </c>
      <c r="H141" s="38" t="s">
        <v>950</v>
      </c>
      <c r="I141" s="38" t="s">
        <v>367</v>
      </c>
      <c r="J141" s="37">
        <v>0.75</v>
      </c>
      <c r="K141" s="38" t="s">
        <v>951</v>
      </c>
      <c r="L141" s="38" t="s">
        <v>952</v>
      </c>
      <c r="M141" s="37">
        <v>0.763</v>
      </c>
      <c r="N141" s="38" t="s">
        <v>115</v>
      </c>
      <c r="O141" s="38" t="s">
        <v>116</v>
      </c>
      <c r="P141" s="38" t="s">
        <v>226</v>
      </c>
      <c r="Q141" s="38" t="s">
        <v>52</v>
      </c>
      <c r="R141" s="38" t="s">
        <v>53</v>
      </c>
      <c r="S141" s="38" t="s">
        <v>190</v>
      </c>
      <c r="T141" s="38" t="s">
        <v>55</v>
      </c>
      <c r="U141" s="38" t="s">
        <v>56</v>
      </c>
      <c r="V141" s="38" t="s">
        <v>57</v>
      </c>
      <c r="W141" s="37">
        <v>3.47337E8</v>
      </c>
      <c r="X141" s="38" t="s">
        <v>120</v>
      </c>
      <c r="Y141" s="38" t="s">
        <v>120</v>
      </c>
      <c r="Z141" s="38" t="s">
        <v>203</v>
      </c>
      <c r="AA141" s="38" t="s">
        <v>412</v>
      </c>
      <c r="AB141" s="38" t="s">
        <v>413</v>
      </c>
      <c r="AC141" s="38" t="s">
        <v>413</v>
      </c>
      <c r="AD141" s="38" t="s">
        <v>3727</v>
      </c>
      <c r="AE141" s="37">
        <v>0.78</v>
      </c>
      <c r="AF141" s="37">
        <v>0.763</v>
      </c>
    </row>
    <row r="142">
      <c r="A142" s="38" t="s">
        <v>955</v>
      </c>
      <c r="B142" s="37">
        <v>7.022747194399719</v>
      </c>
      <c r="C142" s="37">
        <v>7.292504697773656</v>
      </c>
      <c r="D142" s="38" t="s">
        <v>170</v>
      </c>
      <c r="E142" s="38" t="s">
        <v>956</v>
      </c>
      <c r="F142" s="38" t="s">
        <v>3728</v>
      </c>
      <c r="G142" s="38" t="s">
        <v>957</v>
      </c>
      <c r="H142" s="38" t="s">
        <v>958</v>
      </c>
      <c r="I142" s="38" t="s">
        <v>170</v>
      </c>
      <c r="J142" s="37">
        <v>4.625</v>
      </c>
      <c r="K142" s="38" t="s">
        <v>959</v>
      </c>
      <c r="L142" s="38" t="s">
        <v>960</v>
      </c>
      <c r="M142" s="38" t="s">
        <v>54</v>
      </c>
      <c r="N142" s="38" t="s">
        <v>115</v>
      </c>
      <c r="O142" s="38" t="s">
        <v>116</v>
      </c>
      <c r="P142" s="38" t="s">
        <v>262</v>
      </c>
      <c r="Q142" s="38" t="s">
        <v>459</v>
      </c>
      <c r="R142" s="38" t="s">
        <v>53</v>
      </c>
      <c r="S142" s="38" t="s">
        <v>297</v>
      </c>
      <c r="T142" s="38" t="s">
        <v>55</v>
      </c>
      <c r="U142" s="38" t="s">
        <v>56</v>
      </c>
      <c r="V142" s="38" t="s">
        <v>71</v>
      </c>
      <c r="W142" s="37">
        <v>4.380754E8</v>
      </c>
      <c r="X142" s="38" t="s">
        <v>214</v>
      </c>
      <c r="Y142" s="38" t="s">
        <v>961</v>
      </c>
      <c r="Z142" s="38" t="s">
        <v>60</v>
      </c>
      <c r="AA142" s="38" t="s">
        <v>61</v>
      </c>
      <c r="AB142" s="38" t="s">
        <v>214</v>
      </c>
      <c r="AC142" s="38" t="s">
        <v>216</v>
      </c>
      <c r="AD142" s="38" t="s">
        <v>3729</v>
      </c>
      <c r="AE142" s="37">
        <v>4.644</v>
      </c>
      <c r="AF142" s="37">
        <v>4.644</v>
      </c>
    </row>
    <row r="143">
      <c r="A143" s="38" t="s">
        <v>955</v>
      </c>
      <c r="B143" s="37">
        <v>6.321276730219219</v>
      </c>
      <c r="C143" s="37">
        <v>6.6590683437486815</v>
      </c>
      <c r="D143" s="38" t="s">
        <v>170</v>
      </c>
      <c r="E143" s="38" t="s">
        <v>964</v>
      </c>
      <c r="F143" s="38" t="s">
        <v>3730</v>
      </c>
      <c r="G143" s="38" t="s">
        <v>965</v>
      </c>
      <c r="H143" s="38" t="s">
        <v>958</v>
      </c>
      <c r="I143" s="38" t="s">
        <v>170</v>
      </c>
      <c r="J143" s="37">
        <v>4.75</v>
      </c>
      <c r="K143" s="38" t="s">
        <v>959</v>
      </c>
      <c r="L143" s="38" t="s">
        <v>960</v>
      </c>
      <c r="M143" s="38" t="s">
        <v>54</v>
      </c>
      <c r="N143" s="38" t="s">
        <v>115</v>
      </c>
      <c r="O143" s="38" t="s">
        <v>116</v>
      </c>
      <c r="P143" s="38" t="s">
        <v>262</v>
      </c>
      <c r="Q143" s="38" t="s">
        <v>459</v>
      </c>
      <c r="R143" s="38" t="s">
        <v>53</v>
      </c>
      <c r="S143" s="38" t="s">
        <v>297</v>
      </c>
      <c r="T143" s="38" t="s">
        <v>55</v>
      </c>
      <c r="U143" s="38" t="s">
        <v>70</v>
      </c>
      <c r="V143" s="38" t="s">
        <v>392</v>
      </c>
      <c r="W143" s="37">
        <v>2.882075E8</v>
      </c>
      <c r="X143" s="38" t="s">
        <v>214</v>
      </c>
      <c r="Y143" s="38" t="s">
        <v>961</v>
      </c>
      <c r="Z143" s="38" t="s">
        <v>60</v>
      </c>
      <c r="AA143" s="38" t="s">
        <v>61</v>
      </c>
      <c r="AB143" s="38" t="s">
        <v>214</v>
      </c>
      <c r="AC143" s="38" t="s">
        <v>216</v>
      </c>
      <c r="AD143" s="38" t="s">
        <v>3731</v>
      </c>
      <c r="AE143" s="38" t="s">
        <v>54</v>
      </c>
      <c r="AF143" s="38" t="s">
        <v>54</v>
      </c>
    </row>
    <row r="144">
      <c r="A144" s="38" t="s">
        <v>955</v>
      </c>
      <c r="B144" s="37">
        <v>6.964314832110693</v>
      </c>
      <c r="C144" s="37">
        <v>7.233908643904305</v>
      </c>
      <c r="D144" s="38" t="s">
        <v>170</v>
      </c>
      <c r="E144" s="38" t="s">
        <v>967</v>
      </c>
      <c r="F144" s="38" t="s">
        <v>3732</v>
      </c>
      <c r="G144" s="38" t="s">
        <v>968</v>
      </c>
      <c r="H144" s="38" t="s">
        <v>958</v>
      </c>
      <c r="I144" s="38" t="s">
        <v>170</v>
      </c>
      <c r="J144" s="37">
        <v>4.625</v>
      </c>
      <c r="K144" s="38" t="s">
        <v>959</v>
      </c>
      <c r="L144" s="38" t="s">
        <v>960</v>
      </c>
      <c r="M144" s="38" t="s">
        <v>54</v>
      </c>
      <c r="N144" s="38" t="s">
        <v>115</v>
      </c>
      <c r="O144" s="38" t="s">
        <v>116</v>
      </c>
      <c r="P144" s="38" t="s">
        <v>271</v>
      </c>
      <c r="Q144" s="38" t="s">
        <v>459</v>
      </c>
      <c r="R144" s="38" t="s">
        <v>53</v>
      </c>
      <c r="S144" s="38" t="s">
        <v>297</v>
      </c>
      <c r="T144" s="38" t="s">
        <v>55</v>
      </c>
      <c r="U144" s="38" t="s">
        <v>56</v>
      </c>
      <c r="V144" s="38" t="s">
        <v>71</v>
      </c>
      <c r="W144" s="37">
        <v>4.380754E8</v>
      </c>
      <c r="X144" s="38" t="s">
        <v>214</v>
      </c>
      <c r="Y144" s="38" t="s">
        <v>961</v>
      </c>
      <c r="Z144" s="38" t="s">
        <v>60</v>
      </c>
      <c r="AA144" s="38" t="s">
        <v>61</v>
      </c>
      <c r="AB144" s="38" t="s">
        <v>214</v>
      </c>
      <c r="AC144" s="38" t="s">
        <v>216</v>
      </c>
      <c r="AD144" s="38" t="s">
        <v>3733</v>
      </c>
      <c r="AE144" s="37">
        <v>4.602</v>
      </c>
      <c r="AF144" s="37">
        <v>4.602</v>
      </c>
    </row>
    <row r="145">
      <c r="A145" s="38" t="s">
        <v>955</v>
      </c>
      <c r="B145" s="37">
        <v>6.358022520784246</v>
      </c>
      <c r="C145" s="37">
        <v>6.666903917822386</v>
      </c>
      <c r="D145" s="38" t="s">
        <v>170</v>
      </c>
      <c r="E145" s="38" t="s">
        <v>969</v>
      </c>
      <c r="F145" s="38" t="s">
        <v>3734</v>
      </c>
      <c r="G145" s="38" t="s">
        <v>970</v>
      </c>
      <c r="H145" s="38" t="s">
        <v>958</v>
      </c>
      <c r="I145" s="38" t="s">
        <v>170</v>
      </c>
      <c r="J145" s="37">
        <v>4.75</v>
      </c>
      <c r="K145" s="38" t="s">
        <v>959</v>
      </c>
      <c r="L145" s="38" t="s">
        <v>960</v>
      </c>
      <c r="M145" s="38" t="s">
        <v>54</v>
      </c>
      <c r="N145" s="38" t="s">
        <v>115</v>
      </c>
      <c r="O145" s="38" t="s">
        <v>116</v>
      </c>
      <c r="P145" s="38" t="s">
        <v>271</v>
      </c>
      <c r="Q145" s="38" t="s">
        <v>459</v>
      </c>
      <c r="R145" s="38" t="s">
        <v>53</v>
      </c>
      <c r="S145" s="38" t="s">
        <v>297</v>
      </c>
      <c r="T145" s="38" t="s">
        <v>55</v>
      </c>
      <c r="U145" s="38" t="s">
        <v>70</v>
      </c>
      <c r="V145" s="38" t="s">
        <v>392</v>
      </c>
      <c r="W145" s="37">
        <v>2.882075E8</v>
      </c>
      <c r="X145" s="38" t="s">
        <v>214</v>
      </c>
      <c r="Y145" s="38" t="s">
        <v>961</v>
      </c>
      <c r="Z145" s="38" t="s">
        <v>60</v>
      </c>
      <c r="AA145" s="38" t="s">
        <v>61</v>
      </c>
      <c r="AB145" s="38" t="s">
        <v>214</v>
      </c>
      <c r="AC145" s="38" t="s">
        <v>216</v>
      </c>
      <c r="AD145" s="38" t="s">
        <v>3735</v>
      </c>
      <c r="AE145" s="37">
        <v>4.764</v>
      </c>
      <c r="AF145" s="37">
        <v>4.764</v>
      </c>
    </row>
    <row r="146">
      <c r="A146" s="38" t="s">
        <v>971</v>
      </c>
      <c r="B146" s="37">
        <v>1.303588828289206</v>
      </c>
      <c r="C146" s="37">
        <v>1.503572413006807</v>
      </c>
      <c r="D146" s="38" t="s">
        <v>367</v>
      </c>
      <c r="E146" s="38" t="s">
        <v>972</v>
      </c>
      <c r="F146" s="38" t="s">
        <v>3736</v>
      </c>
      <c r="G146" s="38" t="s">
        <v>973</v>
      </c>
      <c r="H146" s="38" t="s">
        <v>974</v>
      </c>
      <c r="I146" s="38" t="s">
        <v>367</v>
      </c>
      <c r="J146" s="37">
        <v>0.89</v>
      </c>
      <c r="K146" s="38" t="s">
        <v>951</v>
      </c>
      <c r="L146" s="38" t="s">
        <v>975</v>
      </c>
      <c r="M146" s="38" t="s">
        <v>54</v>
      </c>
      <c r="N146" s="38" t="s">
        <v>49</v>
      </c>
      <c r="O146" s="38" t="s">
        <v>50</v>
      </c>
      <c r="P146" s="38" t="s">
        <v>174</v>
      </c>
      <c r="Q146" s="38" t="s">
        <v>52</v>
      </c>
      <c r="R146" s="38" t="s">
        <v>976</v>
      </c>
      <c r="S146" s="38" t="s">
        <v>54</v>
      </c>
      <c r="T146" s="38" t="s">
        <v>55</v>
      </c>
      <c r="U146" s="38" t="s">
        <v>56</v>
      </c>
      <c r="V146" s="38" t="s">
        <v>71</v>
      </c>
      <c r="W146" s="37">
        <v>8.81438E7</v>
      </c>
      <c r="X146" s="38" t="s">
        <v>422</v>
      </c>
      <c r="Y146" s="38" t="s">
        <v>977</v>
      </c>
      <c r="Z146" s="38" t="s">
        <v>60</v>
      </c>
      <c r="AA146" s="38" t="s">
        <v>61</v>
      </c>
      <c r="AB146" s="38" t="s">
        <v>136</v>
      </c>
      <c r="AC146" s="38" t="s">
        <v>137</v>
      </c>
      <c r="AD146" s="38" t="s">
        <v>3737</v>
      </c>
      <c r="AE146" s="37">
        <v>0.861</v>
      </c>
      <c r="AF146" s="37">
        <v>0.861</v>
      </c>
    </row>
    <row r="147">
      <c r="A147" s="38" t="s">
        <v>980</v>
      </c>
      <c r="B147" s="37">
        <v>2.7087546394779496</v>
      </c>
      <c r="C147" s="37">
        <v>2.77928880001105</v>
      </c>
      <c r="D147" s="38" t="s">
        <v>200</v>
      </c>
      <c r="E147" s="38" t="s">
        <v>981</v>
      </c>
      <c r="F147" s="38" t="s">
        <v>3738</v>
      </c>
      <c r="G147" s="38" t="s">
        <v>982</v>
      </c>
      <c r="H147" s="38" t="s">
        <v>983</v>
      </c>
      <c r="I147" s="38" t="s">
        <v>200</v>
      </c>
      <c r="J147" s="37">
        <v>1.0</v>
      </c>
      <c r="K147" s="38" t="s">
        <v>984</v>
      </c>
      <c r="L147" s="38" t="s">
        <v>985</v>
      </c>
      <c r="M147" s="37">
        <v>1.077</v>
      </c>
      <c r="N147" s="38" t="s">
        <v>115</v>
      </c>
      <c r="O147" s="38" t="s">
        <v>116</v>
      </c>
      <c r="P147" s="38" t="s">
        <v>226</v>
      </c>
      <c r="Q147" s="38" t="s">
        <v>52</v>
      </c>
      <c r="R147" s="38" t="s">
        <v>53</v>
      </c>
      <c r="S147" s="38" t="s">
        <v>175</v>
      </c>
      <c r="T147" s="38" t="s">
        <v>55</v>
      </c>
      <c r="U147" s="38" t="s">
        <v>56</v>
      </c>
      <c r="V147" s="38" t="s">
        <v>57</v>
      </c>
      <c r="W147" s="37">
        <v>5.80285E8</v>
      </c>
      <c r="X147" s="38" t="s">
        <v>120</v>
      </c>
      <c r="Y147" s="38" t="s">
        <v>120</v>
      </c>
      <c r="Z147" s="38" t="s">
        <v>203</v>
      </c>
      <c r="AA147" s="38" t="s">
        <v>412</v>
      </c>
      <c r="AB147" s="38" t="s">
        <v>986</v>
      </c>
      <c r="AC147" s="38" t="s">
        <v>986</v>
      </c>
      <c r="AD147" s="38" t="s">
        <v>3739</v>
      </c>
      <c r="AE147" s="37">
        <v>0.998</v>
      </c>
      <c r="AF147" s="37">
        <v>1.077</v>
      </c>
    </row>
    <row r="148">
      <c r="A148" s="38" t="s">
        <v>989</v>
      </c>
      <c r="B148" s="37">
        <v>2.6330571327805115</v>
      </c>
      <c r="C148" s="37">
        <v>2.7493569452534654</v>
      </c>
      <c r="D148" s="38" t="s">
        <v>200</v>
      </c>
      <c r="E148" s="38" t="s">
        <v>990</v>
      </c>
      <c r="F148" s="38" t="s">
        <v>3740</v>
      </c>
      <c r="G148" s="38" t="s">
        <v>991</v>
      </c>
      <c r="H148" s="38" t="s">
        <v>992</v>
      </c>
      <c r="I148" s="38" t="s">
        <v>200</v>
      </c>
      <c r="J148" s="37">
        <v>2.25</v>
      </c>
      <c r="K148" s="38" t="s">
        <v>937</v>
      </c>
      <c r="L148" s="38" t="s">
        <v>993</v>
      </c>
      <c r="M148" s="38" t="s">
        <v>54</v>
      </c>
      <c r="N148" s="38" t="s">
        <v>115</v>
      </c>
      <c r="O148" s="38" t="s">
        <v>116</v>
      </c>
      <c r="P148" s="38" t="s">
        <v>226</v>
      </c>
      <c r="Q148" s="38" t="s">
        <v>52</v>
      </c>
      <c r="R148" s="38" t="s">
        <v>53</v>
      </c>
      <c r="S148" s="38" t="s">
        <v>54</v>
      </c>
      <c r="T148" s="38" t="s">
        <v>55</v>
      </c>
      <c r="U148" s="38" t="s">
        <v>56</v>
      </c>
      <c r="V148" s="38" t="s">
        <v>57</v>
      </c>
      <c r="W148" s="37">
        <v>1.841968E8</v>
      </c>
      <c r="X148" s="38" t="s">
        <v>134</v>
      </c>
      <c r="Y148" s="38" t="s">
        <v>330</v>
      </c>
      <c r="Z148" s="38" t="s">
        <v>60</v>
      </c>
      <c r="AA148" s="38" t="s">
        <v>61</v>
      </c>
      <c r="AB148" s="38" t="s">
        <v>136</v>
      </c>
      <c r="AC148" s="38" t="s">
        <v>137</v>
      </c>
      <c r="AD148" s="38" t="s">
        <v>3741</v>
      </c>
      <c r="AE148" s="37">
        <v>2.272</v>
      </c>
      <c r="AF148" s="37">
        <v>2.272</v>
      </c>
    </row>
    <row r="149">
      <c r="A149" s="38" t="s">
        <v>996</v>
      </c>
      <c r="B149" s="38" t="s">
        <v>54</v>
      </c>
      <c r="C149" s="38" t="s">
        <v>54</v>
      </c>
      <c r="D149" s="38" t="s">
        <v>45</v>
      </c>
      <c r="E149" s="38" t="s">
        <v>997</v>
      </c>
      <c r="F149" s="38" t="s">
        <v>174</v>
      </c>
      <c r="G149" s="38" t="s">
        <v>998</v>
      </c>
      <c r="H149" s="38" t="s">
        <v>999</v>
      </c>
      <c r="I149" s="38" t="s">
        <v>45</v>
      </c>
      <c r="J149" s="37">
        <v>0.0</v>
      </c>
      <c r="K149" s="38" t="s">
        <v>1000</v>
      </c>
      <c r="L149" s="38" t="s">
        <v>1001</v>
      </c>
      <c r="M149" s="38" t="s">
        <v>54</v>
      </c>
      <c r="N149" s="38" t="s">
        <v>49</v>
      </c>
      <c r="O149" s="38" t="s">
        <v>50</v>
      </c>
      <c r="P149" s="38" t="s">
        <v>69</v>
      </c>
      <c r="Q149" s="38" t="s">
        <v>52</v>
      </c>
      <c r="R149" s="38" t="s">
        <v>53</v>
      </c>
      <c r="S149" s="38" t="s">
        <v>54</v>
      </c>
      <c r="T149" s="38" t="s">
        <v>55</v>
      </c>
      <c r="U149" s="38" t="s">
        <v>70</v>
      </c>
      <c r="V149" s="38" t="s">
        <v>71</v>
      </c>
      <c r="W149" s="37">
        <v>2.25864E8</v>
      </c>
      <c r="X149" s="38" t="s">
        <v>85</v>
      </c>
      <c r="Y149" s="38" t="s">
        <v>515</v>
      </c>
      <c r="Z149" s="38" t="s">
        <v>60</v>
      </c>
      <c r="AA149" s="38" t="s">
        <v>61</v>
      </c>
      <c r="AB149" s="38" t="s">
        <v>87</v>
      </c>
      <c r="AC149" s="38" t="s">
        <v>515</v>
      </c>
      <c r="AD149" s="38" t="s">
        <v>3742</v>
      </c>
      <c r="AE149" s="38" t="s">
        <v>54</v>
      </c>
      <c r="AF149" s="38" t="s">
        <v>54</v>
      </c>
    </row>
    <row r="150">
      <c r="A150" s="38" t="s">
        <v>996</v>
      </c>
      <c r="B150" s="38" t="s">
        <v>54</v>
      </c>
      <c r="C150" s="38" t="s">
        <v>54</v>
      </c>
      <c r="D150" s="38" t="s">
        <v>45</v>
      </c>
      <c r="E150" s="38" t="s">
        <v>1004</v>
      </c>
      <c r="F150" s="38" t="s">
        <v>174</v>
      </c>
      <c r="G150" s="38" t="s">
        <v>1005</v>
      </c>
      <c r="H150" s="38" t="s">
        <v>999</v>
      </c>
      <c r="I150" s="38" t="s">
        <v>45</v>
      </c>
      <c r="J150" s="37">
        <v>0.0</v>
      </c>
      <c r="K150" s="38" t="s">
        <v>1000</v>
      </c>
      <c r="L150" s="38" t="s">
        <v>1006</v>
      </c>
      <c r="M150" s="38" t="s">
        <v>54</v>
      </c>
      <c r="N150" s="38" t="s">
        <v>49</v>
      </c>
      <c r="O150" s="38" t="s">
        <v>50</v>
      </c>
      <c r="P150" s="38" t="s">
        <v>145</v>
      </c>
      <c r="Q150" s="38" t="s">
        <v>52</v>
      </c>
      <c r="R150" s="38" t="s">
        <v>53</v>
      </c>
      <c r="S150" s="38" t="s">
        <v>54</v>
      </c>
      <c r="T150" s="38" t="s">
        <v>55</v>
      </c>
      <c r="U150" s="38" t="s">
        <v>70</v>
      </c>
      <c r="V150" s="38" t="s">
        <v>71</v>
      </c>
      <c r="W150" s="37">
        <v>2.25864E8</v>
      </c>
      <c r="X150" s="38" t="s">
        <v>85</v>
      </c>
      <c r="Y150" s="38" t="s">
        <v>515</v>
      </c>
      <c r="Z150" s="38" t="s">
        <v>60</v>
      </c>
      <c r="AA150" s="38" t="s">
        <v>61</v>
      </c>
      <c r="AB150" s="38" t="s">
        <v>87</v>
      </c>
      <c r="AC150" s="38" t="s">
        <v>515</v>
      </c>
      <c r="AD150" s="38" t="s">
        <v>3743</v>
      </c>
      <c r="AE150" s="38" t="s">
        <v>54</v>
      </c>
      <c r="AF150" s="38" t="s">
        <v>54</v>
      </c>
    </row>
    <row r="151">
      <c r="A151" s="38" t="s">
        <v>996</v>
      </c>
      <c r="B151" s="38" t="s">
        <v>54</v>
      </c>
      <c r="C151" s="38" t="s">
        <v>54</v>
      </c>
      <c r="D151" s="38" t="s">
        <v>45</v>
      </c>
      <c r="E151" s="38" t="s">
        <v>1008</v>
      </c>
      <c r="F151" s="38" t="s">
        <v>174</v>
      </c>
      <c r="G151" s="38" t="s">
        <v>1009</v>
      </c>
      <c r="H151" s="38" t="s">
        <v>999</v>
      </c>
      <c r="I151" s="38" t="s">
        <v>45</v>
      </c>
      <c r="J151" s="37">
        <v>0.0</v>
      </c>
      <c r="K151" s="38" t="s">
        <v>1000</v>
      </c>
      <c r="L151" s="38" t="s">
        <v>1010</v>
      </c>
      <c r="M151" s="38" t="s">
        <v>54</v>
      </c>
      <c r="N151" s="38" t="s">
        <v>49</v>
      </c>
      <c r="O151" s="38" t="s">
        <v>50</v>
      </c>
      <c r="P151" s="38" t="s">
        <v>76</v>
      </c>
      <c r="Q151" s="38" t="s">
        <v>52</v>
      </c>
      <c r="R151" s="38" t="s">
        <v>53</v>
      </c>
      <c r="S151" s="38" t="s">
        <v>54</v>
      </c>
      <c r="T151" s="38" t="s">
        <v>55</v>
      </c>
      <c r="U151" s="38" t="s">
        <v>70</v>
      </c>
      <c r="V151" s="38" t="s">
        <v>71</v>
      </c>
      <c r="W151" s="37">
        <v>2.25864E8</v>
      </c>
      <c r="X151" s="38" t="s">
        <v>85</v>
      </c>
      <c r="Y151" s="38" t="s">
        <v>515</v>
      </c>
      <c r="Z151" s="38" t="s">
        <v>60</v>
      </c>
      <c r="AA151" s="38" t="s">
        <v>61</v>
      </c>
      <c r="AB151" s="38" t="s">
        <v>87</v>
      </c>
      <c r="AC151" s="38" t="s">
        <v>515</v>
      </c>
      <c r="AD151" s="38" t="s">
        <v>3744</v>
      </c>
      <c r="AE151" s="38" t="s">
        <v>54</v>
      </c>
      <c r="AF151" s="38" t="s">
        <v>54</v>
      </c>
    </row>
    <row r="152">
      <c r="A152" s="38" t="s">
        <v>1011</v>
      </c>
      <c r="B152" s="37">
        <v>4.072379623177769</v>
      </c>
      <c r="C152" s="37">
        <v>4.244980806529163</v>
      </c>
      <c r="D152" s="38" t="s">
        <v>185</v>
      </c>
      <c r="E152" s="38" t="s">
        <v>1012</v>
      </c>
      <c r="F152" s="38" t="s">
        <v>3745</v>
      </c>
      <c r="G152" s="38" t="s">
        <v>1013</v>
      </c>
      <c r="H152" s="38" t="s">
        <v>1014</v>
      </c>
      <c r="I152" s="38" t="s">
        <v>185</v>
      </c>
      <c r="J152" s="37">
        <v>2.25</v>
      </c>
      <c r="K152" s="38" t="s">
        <v>1015</v>
      </c>
      <c r="L152" s="38" t="s">
        <v>1016</v>
      </c>
      <c r="M152" s="38" t="s">
        <v>54</v>
      </c>
      <c r="N152" s="38" t="s">
        <v>115</v>
      </c>
      <c r="O152" s="38" t="s">
        <v>116</v>
      </c>
      <c r="P152" s="38" t="s">
        <v>174</v>
      </c>
      <c r="Q152" s="38" t="s">
        <v>52</v>
      </c>
      <c r="R152" s="38" t="s">
        <v>53</v>
      </c>
      <c r="S152" s="38" t="s">
        <v>885</v>
      </c>
      <c r="T152" s="38" t="s">
        <v>55</v>
      </c>
      <c r="U152" s="38" t="s">
        <v>56</v>
      </c>
      <c r="V152" s="38" t="s">
        <v>71</v>
      </c>
      <c r="W152" s="37">
        <v>3.46422E8</v>
      </c>
      <c r="X152" s="38" t="s">
        <v>58</v>
      </c>
      <c r="Y152" s="38" t="s">
        <v>865</v>
      </c>
      <c r="Z152" s="38" t="s">
        <v>60</v>
      </c>
      <c r="AA152" s="38" t="s">
        <v>61</v>
      </c>
      <c r="AB152" s="38" t="s">
        <v>177</v>
      </c>
      <c r="AC152" s="38" t="s">
        <v>866</v>
      </c>
      <c r="AD152" s="38" t="s">
        <v>3746</v>
      </c>
      <c r="AE152" s="37">
        <v>2.114</v>
      </c>
      <c r="AF152" s="37">
        <v>2.114</v>
      </c>
    </row>
    <row r="153">
      <c r="A153" s="38" t="s">
        <v>1019</v>
      </c>
      <c r="B153" s="37">
        <v>7.670146058342189</v>
      </c>
      <c r="C153" s="37">
        <v>7.9965851861467145</v>
      </c>
      <c r="D153" s="38" t="s">
        <v>368</v>
      </c>
      <c r="E153" s="38" t="s">
        <v>1020</v>
      </c>
      <c r="F153" s="38" t="s">
        <v>3747</v>
      </c>
      <c r="G153" s="38" t="s">
        <v>1021</v>
      </c>
      <c r="H153" s="38" t="s">
        <v>1022</v>
      </c>
      <c r="I153" s="38" t="s">
        <v>368</v>
      </c>
      <c r="J153" s="37">
        <v>7.0</v>
      </c>
      <c r="K153" s="38" t="s">
        <v>1015</v>
      </c>
      <c r="L153" s="38" t="s">
        <v>1023</v>
      </c>
      <c r="M153" s="38" t="s">
        <v>54</v>
      </c>
      <c r="N153" s="38" t="s">
        <v>115</v>
      </c>
      <c r="O153" s="38" t="s">
        <v>116</v>
      </c>
      <c r="P153" s="38" t="s">
        <v>174</v>
      </c>
      <c r="Q153" s="38" t="s">
        <v>459</v>
      </c>
      <c r="R153" s="38" t="s">
        <v>687</v>
      </c>
      <c r="S153" s="38" t="s">
        <v>54</v>
      </c>
      <c r="T153" s="38" t="s">
        <v>55</v>
      </c>
      <c r="U153" s="38" t="s">
        <v>70</v>
      </c>
      <c r="V153" s="38" t="s">
        <v>392</v>
      </c>
      <c r="W153" s="37">
        <v>1.22136E8</v>
      </c>
      <c r="X153" s="38" t="s">
        <v>422</v>
      </c>
      <c r="Y153" s="38" t="s">
        <v>664</v>
      </c>
      <c r="Z153" s="38" t="s">
        <v>60</v>
      </c>
      <c r="AA153" s="38" t="s">
        <v>61</v>
      </c>
      <c r="AB153" s="38" t="s">
        <v>228</v>
      </c>
      <c r="AC153" s="38" t="s">
        <v>665</v>
      </c>
      <c r="AD153" s="38" t="s">
        <v>3748</v>
      </c>
      <c r="AE153" s="37">
        <v>6.711</v>
      </c>
      <c r="AF153" s="37">
        <v>6.711</v>
      </c>
    </row>
    <row r="154">
      <c r="A154" s="38" t="s">
        <v>1025</v>
      </c>
      <c r="B154" s="38" t="s">
        <v>54</v>
      </c>
      <c r="C154" s="38" t="s">
        <v>54</v>
      </c>
      <c r="D154" s="38" t="s">
        <v>258</v>
      </c>
      <c r="E154" s="38" t="s">
        <v>1026</v>
      </c>
      <c r="F154" s="38" t="s">
        <v>174</v>
      </c>
      <c r="G154" s="38" t="s">
        <v>1027</v>
      </c>
      <c r="H154" s="38" t="s">
        <v>1028</v>
      </c>
      <c r="I154" s="38" t="s">
        <v>258</v>
      </c>
      <c r="J154" s="37">
        <v>0.5629999999999998</v>
      </c>
      <c r="K154" s="38" t="s">
        <v>1029</v>
      </c>
      <c r="L154" s="38" t="s">
        <v>1030</v>
      </c>
      <c r="M154" s="38" t="s">
        <v>54</v>
      </c>
      <c r="N154" s="38" t="s">
        <v>49</v>
      </c>
      <c r="O154" s="38" t="s">
        <v>50</v>
      </c>
      <c r="P154" s="38" t="s">
        <v>51</v>
      </c>
      <c r="Q154" s="38" t="s">
        <v>52</v>
      </c>
      <c r="R154" s="38" t="s">
        <v>53</v>
      </c>
      <c r="S154" s="38" t="s">
        <v>54</v>
      </c>
      <c r="T154" s="38" t="s">
        <v>55</v>
      </c>
      <c r="U154" s="38" t="s">
        <v>70</v>
      </c>
      <c r="V154" s="38" t="s">
        <v>71</v>
      </c>
      <c r="W154" s="37">
        <v>2.810975E8</v>
      </c>
      <c r="X154" s="38" t="s">
        <v>58</v>
      </c>
      <c r="Y154" s="38" t="s">
        <v>59</v>
      </c>
      <c r="Z154" s="38" t="s">
        <v>60</v>
      </c>
      <c r="AA154" s="38" t="s">
        <v>61</v>
      </c>
      <c r="AB154" s="38" t="s">
        <v>177</v>
      </c>
      <c r="AC154" s="38" t="s">
        <v>192</v>
      </c>
      <c r="AD154" s="38" t="s">
        <v>3749</v>
      </c>
      <c r="AE154" s="38" t="s">
        <v>54</v>
      </c>
      <c r="AF154" s="38" t="s">
        <v>54</v>
      </c>
    </row>
    <row r="155">
      <c r="A155" s="38" t="s">
        <v>1025</v>
      </c>
      <c r="B155" s="38" t="s">
        <v>54</v>
      </c>
      <c r="C155" s="38" t="s">
        <v>54</v>
      </c>
      <c r="D155" s="38" t="s">
        <v>258</v>
      </c>
      <c r="E155" s="38" t="s">
        <v>1033</v>
      </c>
      <c r="F155" s="38" t="s">
        <v>174</v>
      </c>
      <c r="G155" s="38" t="s">
        <v>1034</v>
      </c>
      <c r="H155" s="38" t="s">
        <v>1028</v>
      </c>
      <c r="I155" s="38" t="s">
        <v>258</v>
      </c>
      <c r="J155" s="37">
        <v>0.363</v>
      </c>
      <c r="K155" s="38" t="s">
        <v>1029</v>
      </c>
      <c r="L155" s="38" t="s">
        <v>1035</v>
      </c>
      <c r="M155" s="38" t="s">
        <v>54</v>
      </c>
      <c r="N155" s="38" t="s">
        <v>49</v>
      </c>
      <c r="O155" s="38" t="s">
        <v>50</v>
      </c>
      <c r="P155" s="38" t="s">
        <v>1036</v>
      </c>
      <c r="Q155" s="38" t="s">
        <v>52</v>
      </c>
      <c r="R155" s="38" t="s">
        <v>53</v>
      </c>
      <c r="S155" s="38" t="s">
        <v>54</v>
      </c>
      <c r="T155" s="38" t="s">
        <v>55</v>
      </c>
      <c r="U155" s="38" t="s">
        <v>70</v>
      </c>
      <c r="V155" s="38" t="s">
        <v>71</v>
      </c>
      <c r="W155" s="37">
        <v>2.810975E8</v>
      </c>
      <c r="X155" s="38" t="s">
        <v>58</v>
      </c>
      <c r="Y155" s="38" t="s">
        <v>59</v>
      </c>
      <c r="Z155" s="38" t="s">
        <v>60</v>
      </c>
      <c r="AA155" s="38" t="s">
        <v>61</v>
      </c>
      <c r="AB155" s="38" t="s">
        <v>177</v>
      </c>
      <c r="AC155" s="38" t="s">
        <v>192</v>
      </c>
      <c r="AD155" s="38" t="s">
        <v>3750</v>
      </c>
      <c r="AE155" s="38" t="s">
        <v>54</v>
      </c>
      <c r="AF155" s="38" t="s">
        <v>54</v>
      </c>
    </row>
    <row r="156">
      <c r="A156" s="38" t="s">
        <v>1025</v>
      </c>
      <c r="B156" s="38" t="s">
        <v>54</v>
      </c>
      <c r="C156" s="38" t="s">
        <v>54</v>
      </c>
      <c r="D156" s="38" t="s">
        <v>258</v>
      </c>
      <c r="E156" s="38" t="s">
        <v>1037</v>
      </c>
      <c r="F156" s="38" t="s">
        <v>174</v>
      </c>
      <c r="G156" s="38" t="s">
        <v>1038</v>
      </c>
      <c r="H156" s="38" t="s">
        <v>1028</v>
      </c>
      <c r="I156" s="38" t="s">
        <v>258</v>
      </c>
      <c r="J156" s="37">
        <v>0.313</v>
      </c>
      <c r="K156" s="38" t="s">
        <v>1029</v>
      </c>
      <c r="L156" s="38" t="s">
        <v>243</v>
      </c>
      <c r="M156" s="38" t="s">
        <v>54</v>
      </c>
      <c r="N156" s="38" t="s">
        <v>49</v>
      </c>
      <c r="O156" s="38" t="s">
        <v>50</v>
      </c>
      <c r="P156" s="38" t="s">
        <v>69</v>
      </c>
      <c r="Q156" s="38" t="s">
        <v>52</v>
      </c>
      <c r="R156" s="38" t="s">
        <v>53</v>
      </c>
      <c r="S156" s="38" t="s">
        <v>54</v>
      </c>
      <c r="T156" s="38" t="s">
        <v>55</v>
      </c>
      <c r="U156" s="38" t="s">
        <v>70</v>
      </c>
      <c r="V156" s="38" t="s">
        <v>71</v>
      </c>
      <c r="W156" s="37">
        <v>2.810975E8</v>
      </c>
      <c r="X156" s="38" t="s">
        <v>58</v>
      </c>
      <c r="Y156" s="38" t="s">
        <v>59</v>
      </c>
      <c r="Z156" s="38" t="s">
        <v>60</v>
      </c>
      <c r="AA156" s="38" t="s">
        <v>61</v>
      </c>
      <c r="AB156" s="38" t="s">
        <v>177</v>
      </c>
      <c r="AC156" s="38" t="s">
        <v>192</v>
      </c>
      <c r="AD156" s="38" t="s">
        <v>3751</v>
      </c>
      <c r="AE156" s="38" t="s">
        <v>54</v>
      </c>
      <c r="AF156" s="38" t="s">
        <v>54</v>
      </c>
    </row>
    <row r="157">
      <c r="A157" s="38" t="s">
        <v>1025</v>
      </c>
      <c r="B157" s="37">
        <v>1.4269472588413983</v>
      </c>
      <c r="C157" s="37">
        <v>1.5309504229934285</v>
      </c>
      <c r="D157" s="38" t="s">
        <v>258</v>
      </c>
      <c r="E157" s="38" t="s">
        <v>1039</v>
      </c>
      <c r="F157" s="38" t="s">
        <v>174</v>
      </c>
      <c r="G157" s="38" t="s">
        <v>1040</v>
      </c>
      <c r="H157" s="38" t="s">
        <v>1028</v>
      </c>
      <c r="I157" s="38" t="s">
        <v>258</v>
      </c>
      <c r="J157" s="37">
        <v>0.75</v>
      </c>
      <c r="K157" s="38" t="s">
        <v>1029</v>
      </c>
      <c r="L157" s="38" t="s">
        <v>1041</v>
      </c>
      <c r="M157" s="38" t="s">
        <v>54</v>
      </c>
      <c r="N157" s="38" t="s">
        <v>49</v>
      </c>
      <c r="O157" s="38" t="s">
        <v>50</v>
      </c>
      <c r="P157" s="38" t="s">
        <v>1042</v>
      </c>
      <c r="Q157" s="38" t="s">
        <v>52</v>
      </c>
      <c r="R157" s="38" t="s">
        <v>53</v>
      </c>
      <c r="S157" s="38" t="s">
        <v>54</v>
      </c>
      <c r="T157" s="38" t="s">
        <v>55</v>
      </c>
      <c r="U157" s="38" t="s">
        <v>56</v>
      </c>
      <c r="V157" s="38" t="s">
        <v>57</v>
      </c>
      <c r="W157" s="37">
        <v>2.810975E8</v>
      </c>
      <c r="X157" s="38" t="s">
        <v>58</v>
      </c>
      <c r="Y157" s="38" t="s">
        <v>59</v>
      </c>
      <c r="Z157" s="38" t="s">
        <v>60</v>
      </c>
      <c r="AA157" s="38" t="s">
        <v>61</v>
      </c>
      <c r="AB157" s="38" t="s">
        <v>177</v>
      </c>
      <c r="AC157" s="38" t="s">
        <v>192</v>
      </c>
      <c r="AD157" s="38" t="s">
        <v>3752</v>
      </c>
      <c r="AE157" s="38" t="s">
        <v>54</v>
      </c>
      <c r="AF157" s="38" t="s">
        <v>54</v>
      </c>
    </row>
    <row r="158">
      <c r="A158" s="38" t="s">
        <v>1043</v>
      </c>
      <c r="B158" s="37">
        <v>5.975007538155321</v>
      </c>
      <c r="C158" s="37">
        <v>6.175253651546298</v>
      </c>
      <c r="D158" s="38" t="s">
        <v>367</v>
      </c>
      <c r="E158" s="38" t="s">
        <v>1044</v>
      </c>
      <c r="F158" s="38" t="s">
        <v>3753</v>
      </c>
      <c r="G158" s="38" t="s">
        <v>1045</v>
      </c>
      <c r="H158" s="38" t="s">
        <v>1046</v>
      </c>
      <c r="I158" s="38" t="s">
        <v>367</v>
      </c>
      <c r="J158" s="37">
        <v>3.75</v>
      </c>
      <c r="K158" s="38" t="s">
        <v>1048</v>
      </c>
      <c r="L158" s="38" t="s">
        <v>1049</v>
      </c>
      <c r="M158" s="37">
        <v>3.75</v>
      </c>
      <c r="N158" s="38" t="s">
        <v>115</v>
      </c>
      <c r="O158" s="38" t="s">
        <v>116</v>
      </c>
      <c r="P158" s="38" t="s">
        <v>174</v>
      </c>
      <c r="Q158" s="38" t="s">
        <v>52</v>
      </c>
      <c r="R158" s="38" t="s">
        <v>53</v>
      </c>
      <c r="S158" s="38" t="s">
        <v>297</v>
      </c>
      <c r="T158" s="38" t="s">
        <v>55</v>
      </c>
      <c r="U158" s="38" t="s">
        <v>56</v>
      </c>
      <c r="V158" s="38" t="s">
        <v>71</v>
      </c>
      <c r="W158" s="37">
        <v>1.275076E9</v>
      </c>
      <c r="X158" s="38" t="s">
        <v>1050</v>
      </c>
      <c r="Y158" s="38" t="s">
        <v>1051</v>
      </c>
      <c r="Z158" s="38" t="s">
        <v>60</v>
      </c>
      <c r="AA158" s="38" t="s">
        <v>61</v>
      </c>
      <c r="AB158" s="38" t="s">
        <v>228</v>
      </c>
      <c r="AC158" s="38" t="s">
        <v>1051</v>
      </c>
      <c r="AD158" s="38" t="s">
        <v>3754</v>
      </c>
      <c r="AE158" s="37">
        <v>3.691</v>
      </c>
      <c r="AF158" s="37">
        <v>3.75</v>
      </c>
    </row>
    <row r="159">
      <c r="A159" s="38" t="s">
        <v>1043</v>
      </c>
      <c r="B159" s="37">
        <v>6.244078988112305</v>
      </c>
      <c r="C159" s="37">
        <v>6.391005125659963</v>
      </c>
      <c r="D159" s="38" t="s">
        <v>367</v>
      </c>
      <c r="E159" s="38" t="s">
        <v>1054</v>
      </c>
      <c r="F159" s="38" t="s">
        <v>3755</v>
      </c>
      <c r="G159" s="38" t="s">
        <v>1055</v>
      </c>
      <c r="H159" s="38" t="s">
        <v>1046</v>
      </c>
      <c r="I159" s="38" t="s">
        <v>367</v>
      </c>
      <c r="J159" s="37">
        <v>4.375</v>
      </c>
      <c r="K159" s="38" t="s">
        <v>1048</v>
      </c>
      <c r="L159" s="38" t="s">
        <v>1056</v>
      </c>
      <c r="M159" s="37">
        <v>4.375</v>
      </c>
      <c r="N159" s="38" t="s">
        <v>115</v>
      </c>
      <c r="O159" s="38" t="s">
        <v>116</v>
      </c>
      <c r="P159" s="38" t="s">
        <v>174</v>
      </c>
      <c r="Q159" s="38" t="s">
        <v>52</v>
      </c>
      <c r="R159" s="38" t="s">
        <v>53</v>
      </c>
      <c r="S159" s="38" t="s">
        <v>297</v>
      </c>
      <c r="T159" s="38" t="s">
        <v>55</v>
      </c>
      <c r="U159" s="38" t="s">
        <v>56</v>
      </c>
      <c r="V159" s="38" t="s">
        <v>71</v>
      </c>
      <c r="W159" s="37">
        <v>1.73874E9</v>
      </c>
      <c r="X159" s="38" t="s">
        <v>1050</v>
      </c>
      <c r="Y159" s="38" t="s">
        <v>1051</v>
      </c>
      <c r="Z159" s="38" t="s">
        <v>60</v>
      </c>
      <c r="AA159" s="38" t="s">
        <v>61</v>
      </c>
      <c r="AB159" s="38" t="s">
        <v>228</v>
      </c>
      <c r="AC159" s="38" t="s">
        <v>1051</v>
      </c>
      <c r="AD159" s="38" t="s">
        <v>3756</v>
      </c>
      <c r="AE159" s="37">
        <v>4.375</v>
      </c>
      <c r="AF159" s="37">
        <v>4.375</v>
      </c>
    </row>
    <row r="160">
      <c r="A160" s="38" t="s">
        <v>1059</v>
      </c>
      <c r="B160" s="37">
        <v>6.876880529103697</v>
      </c>
      <c r="C160" s="37">
        <v>6.9929334288383345</v>
      </c>
      <c r="D160" s="38" t="s">
        <v>367</v>
      </c>
      <c r="E160" s="38" t="s">
        <v>1060</v>
      </c>
      <c r="F160" s="38" t="s">
        <v>3757</v>
      </c>
      <c r="G160" s="38" t="s">
        <v>1061</v>
      </c>
      <c r="H160" s="38" t="s">
        <v>1046</v>
      </c>
      <c r="I160" s="38" t="s">
        <v>367</v>
      </c>
      <c r="J160" s="37">
        <v>5.125</v>
      </c>
      <c r="K160" s="38" t="s">
        <v>1048</v>
      </c>
      <c r="L160" s="38" t="s">
        <v>1062</v>
      </c>
      <c r="M160" s="37">
        <v>5.125</v>
      </c>
      <c r="N160" s="38" t="s">
        <v>115</v>
      </c>
      <c r="O160" s="38" t="s">
        <v>116</v>
      </c>
      <c r="P160" s="38" t="s">
        <v>174</v>
      </c>
      <c r="Q160" s="38" t="s">
        <v>52</v>
      </c>
      <c r="R160" s="38" t="s">
        <v>263</v>
      </c>
      <c r="S160" s="38" t="s">
        <v>297</v>
      </c>
      <c r="T160" s="38" t="s">
        <v>55</v>
      </c>
      <c r="U160" s="38" t="s">
        <v>56</v>
      </c>
      <c r="V160" s="38" t="s">
        <v>71</v>
      </c>
      <c r="W160" s="37">
        <v>1.0E9</v>
      </c>
      <c r="X160" s="38" t="s">
        <v>1050</v>
      </c>
      <c r="Y160" s="38" t="s">
        <v>1051</v>
      </c>
      <c r="Z160" s="38" t="s">
        <v>60</v>
      </c>
      <c r="AA160" s="38" t="s">
        <v>61</v>
      </c>
      <c r="AB160" s="38" t="s">
        <v>228</v>
      </c>
      <c r="AC160" s="38" t="s">
        <v>1051</v>
      </c>
      <c r="AD160" s="38" t="s">
        <v>3758</v>
      </c>
      <c r="AE160" s="37">
        <v>5.068</v>
      </c>
      <c r="AF160" s="37">
        <v>5.125</v>
      </c>
    </row>
    <row r="161">
      <c r="A161" s="38" t="s">
        <v>1059</v>
      </c>
      <c r="B161" s="37">
        <v>6.760645644245509</v>
      </c>
      <c r="C161" s="37">
        <v>6.8615033430968415</v>
      </c>
      <c r="D161" s="38" t="s">
        <v>367</v>
      </c>
      <c r="E161" s="38" t="s">
        <v>1065</v>
      </c>
      <c r="F161" s="38" t="s">
        <v>3759</v>
      </c>
      <c r="G161" s="38" t="s">
        <v>1066</v>
      </c>
      <c r="H161" s="38" t="s">
        <v>1046</v>
      </c>
      <c r="I161" s="38" t="s">
        <v>367</v>
      </c>
      <c r="J161" s="37">
        <v>4.75</v>
      </c>
      <c r="K161" s="38" t="s">
        <v>1048</v>
      </c>
      <c r="L161" s="38" t="s">
        <v>1049</v>
      </c>
      <c r="M161" s="37">
        <v>4.75</v>
      </c>
      <c r="N161" s="38" t="s">
        <v>115</v>
      </c>
      <c r="O161" s="38" t="s">
        <v>116</v>
      </c>
      <c r="P161" s="38" t="s">
        <v>174</v>
      </c>
      <c r="Q161" s="38" t="s">
        <v>52</v>
      </c>
      <c r="R161" s="38" t="s">
        <v>263</v>
      </c>
      <c r="S161" s="38" t="s">
        <v>297</v>
      </c>
      <c r="T161" s="38" t="s">
        <v>55</v>
      </c>
      <c r="U161" s="38" t="s">
        <v>56</v>
      </c>
      <c r="V161" s="38" t="s">
        <v>71</v>
      </c>
      <c r="W161" s="37">
        <v>1.0E9</v>
      </c>
      <c r="X161" s="38" t="s">
        <v>1050</v>
      </c>
      <c r="Y161" s="38" t="s">
        <v>1051</v>
      </c>
      <c r="Z161" s="38" t="s">
        <v>60</v>
      </c>
      <c r="AA161" s="38" t="s">
        <v>61</v>
      </c>
      <c r="AB161" s="38" t="s">
        <v>228</v>
      </c>
      <c r="AC161" s="38" t="s">
        <v>1051</v>
      </c>
      <c r="AD161" s="38" t="s">
        <v>3760</v>
      </c>
      <c r="AE161" s="38" t="s">
        <v>54</v>
      </c>
      <c r="AF161" s="37">
        <v>4.75</v>
      </c>
    </row>
    <row r="162">
      <c r="A162" s="38" t="s">
        <v>1067</v>
      </c>
      <c r="B162" s="37">
        <v>4.591860848409399</v>
      </c>
      <c r="C162" s="37">
        <v>4.841890917141701</v>
      </c>
      <c r="D162" s="38" t="s">
        <v>185</v>
      </c>
      <c r="E162" s="38" t="s">
        <v>1068</v>
      </c>
      <c r="F162" s="38" t="s">
        <v>3761</v>
      </c>
      <c r="G162" s="38" t="s">
        <v>1069</v>
      </c>
      <c r="H162" s="38" t="s">
        <v>1070</v>
      </c>
      <c r="I162" s="38" t="s">
        <v>185</v>
      </c>
      <c r="J162" s="37">
        <v>1.0</v>
      </c>
      <c r="K162" s="38" t="s">
        <v>1071</v>
      </c>
      <c r="L162" s="38" t="s">
        <v>1072</v>
      </c>
      <c r="M162" s="37">
        <v>1.109</v>
      </c>
      <c r="N162" s="38" t="s">
        <v>115</v>
      </c>
      <c r="O162" s="38" t="s">
        <v>116</v>
      </c>
      <c r="P162" s="38" t="s">
        <v>174</v>
      </c>
      <c r="Q162" s="38" t="s">
        <v>52</v>
      </c>
      <c r="R162" s="38" t="s">
        <v>53</v>
      </c>
      <c r="S162" s="38" t="s">
        <v>190</v>
      </c>
      <c r="T162" s="38" t="s">
        <v>55</v>
      </c>
      <c r="U162" s="38" t="s">
        <v>56</v>
      </c>
      <c r="V162" s="38" t="s">
        <v>57</v>
      </c>
      <c r="W162" s="37">
        <v>9.15936E8</v>
      </c>
      <c r="X162" s="38" t="s">
        <v>378</v>
      </c>
      <c r="Y162" s="38" t="s">
        <v>1073</v>
      </c>
      <c r="Z162" s="38" t="s">
        <v>60</v>
      </c>
      <c r="AA162" s="38" t="s">
        <v>61</v>
      </c>
      <c r="AB162" s="38" t="s">
        <v>378</v>
      </c>
      <c r="AC162" s="38" t="s">
        <v>378</v>
      </c>
      <c r="AD162" s="38" t="s">
        <v>3762</v>
      </c>
      <c r="AE162" s="37">
        <v>1.01</v>
      </c>
      <c r="AF162" s="37">
        <v>1.109</v>
      </c>
    </row>
    <row r="163">
      <c r="A163" s="38" t="s">
        <v>1076</v>
      </c>
      <c r="B163" s="38" t="s">
        <v>54</v>
      </c>
      <c r="C163" s="38" t="s">
        <v>54</v>
      </c>
      <c r="D163" s="38" t="s">
        <v>185</v>
      </c>
      <c r="E163" s="38" t="s">
        <v>1077</v>
      </c>
      <c r="F163" s="38" t="s">
        <v>174</v>
      </c>
      <c r="G163" s="38" t="s">
        <v>1078</v>
      </c>
      <c r="H163" s="38" t="s">
        <v>1079</v>
      </c>
      <c r="I163" s="38" t="s">
        <v>185</v>
      </c>
      <c r="J163" s="37">
        <v>0.0</v>
      </c>
      <c r="K163" s="38" t="s">
        <v>1080</v>
      </c>
      <c r="L163" s="38" t="s">
        <v>1081</v>
      </c>
      <c r="M163" s="38" t="s">
        <v>54</v>
      </c>
      <c r="N163" s="38" t="s">
        <v>49</v>
      </c>
      <c r="O163" s="38" t="s">
        <v>50</v>
      </c>
      <c r="P163" s="38" t="s">
        <v>1082</v>
      </c>
      <c r="Q163" s="38" t="s">
        <v>52</v>
      </c>
      <c r="R163" s="38" t="s">
        <v>53</v>
      </c>
      <c r="S163" s="38" t="s">
        <v>54</v>
      </c>
      <c r="T163" s="38" t="s">
        <v>885</v>
      </c>
      <c r="U163" s="38" t="s">
        <v>70</v>
      </c>
      <c r="V163" s="38" t="s">
        <v>71</v>
      </c>
      <c r="W163" s="37">
        <v>7.590497E8</v>
      </c>
      <c r="X163" s="38" t="s">
        <v>134</v>
      </c>
      <c r="Y163" s="38" t="s">
        <v>544</v>
      </c>
      <c r="Z163" s="38" t="s">
        <v>60</v>
      </c>
      <c r="AA163" s="38" t="s">
        <v>61</v>
      </c>
      <c r="AB163" s="38" t="s">
        <v>136</v>
      </c>
      <c r="AC163" s="38" t="s">
        <v>545</v>
      </c>
      <c r="AD163" s="38" t="s">
        <v>3763</v>
      </c>
      <c r="AE163" s="38" t="s">
        <v>54</v>
      </c>
      <c r="AF163" s="38" t="s">
        <v>54</v>
      </c>
    </row>
    <row r="164">
      <c r="A164" s="38" t="s">
        <v>1076</v>
      </c>
      <c r="B164" s="38" t="s">
        <v>54</v>
      </c>
      <c r="C164" s="38" t="s">
        <v>54</v>
      </c>
      <c r="D164" s="38" t="s">
        <v>185</v>
      </c>
      <c r="E164" s="38" t="s">
        <v>1085</v>
      </c>
      <c r="F164" s="38" t="s">
        <v>174</v>
      </c>
      <c r="G164" s="38" t="s">
        <v>1086</v>
      </c>
      <c r="H164" s="38" t="s">
        <v>1079</v>
      </c>
      <c r="I164" s="38" t="s">
        <v>185</v>
      </c>
      <c r="J164" s="37">
        <v>0.0</v>
      </c>
      <c r="K164" s="38" t="s">
        <v>1080</v>
      </c>
      <c r="L164" s="38" t="s">
        <v>1087</v>
      </c>
      <c r="M164" s="38" t="s">
        <v>54</v>
      </c>
      <c r="N164" s="38" t="s">
        <v>49</v>
      </c>
      <c r="O164" s="38" t="s">
        <v>50</v>
      </c>
      <c r="P164" s="38" t="s">
        <v>1088</v>
      </c>
      <c r="Q164" s="38" t="s">
        <v>52</v>
      </c>
      <c r="R164" s="38" t="s">
        <v>53</v>
      </c>
      <c r="S164" s="38" t="s">
        <v>54</v>
      </c>
      <c r="T164" s="38" t="s">
        <v>885</v>
      </c>
      <c r="U164" s="38" t="s">
        <v>70</v>
      </c>
      <c r="V164" s="38" t="s">
        <v>71</v>
      </c>
      <c r="W164" s="37">
        <v>7.590497E8</v>
      </c>
      <c r="X164" s="38" t="s">
        <v>134</v>
      </c>
      <c r="Y164" s="38" t="s">
        <v>544</v>
      </c>
      <c r="Z164" s="38" t="s">
        <v>60</v>
      </c>
      <c r="AA164" s="38" t="s">
        <v>61</v>
      </c>
      <c r="AB164" s="38" t="s">
        <v>136</v>
      </c>
      <c r="AC164" s="38" t="s">
        <v>545</v>
      </c>
      <c r="AD164" s="38" t="s">
        <v>3764</v>
      </c>
      <c r="AE164" s="38" t="s">
        <v>54</v>
      </c>
      <c r="AF164" s="38" t="s">
        <v>54</v>
      </c>
    </row>
    <row r="165">
      <c r="A165" s="38" t="s">
        <v>1076</v>
      </c>
      <c r="B165" s="38" t="s">
        <v>54</v>
      </c>
      <c r="C165" s="38" t="s">
        <v>54</v>
      </c>
      <c r="D165" s="38" t="s">
        <v>185</v>
      </c>
      <c r="E165" s="38" t="s">
        <v>1089</v>
      </c>
      <c r="F165" s="38" t="s">
        <v>174</v>
      </c>
      <c r="G165" s="38" t="s">
        <v>1090</v>
      </c>
      <c r="H165" s="38" t="s">
        <v>1079</v>
      </c>
      <c r="I165" s="38" t="s">
        <v>185</v>
      </c>
      <c r="J165" s="37">
        <v>0.0</v>
      </c>
      <c r="K165" s="38" t="s">
        <v>1080</v>
      </c>
      <c r="L165" s="38" t="s">
        <v>1091</v>
      </c>
      <c r="M165" s="38" t="s">
        <v>54</v>
      </c>
      <c r="N165" s="38" t="s">
        <v>49</v>
      </c>
      <c r="O165" s="38" t="s">
        <v>50</v>
      </c>
      <c r="P165" s="38" t="s">
        <v>76</v>
      </c>
      <c r="Q165" s="38" t="s">
        <v>52</v>
      </c>
      <c r="R165" s="38" t="s">
        <v>263</v>
      </c>
      <c r="S165" s="38" t="s">
        <v>54</v>
      </c>
      <c r="T165" s="38" t="s">
        <v>885</v>
      </c>
      <c r="U165" s="38" t="s">
        <v>70</v>
      </c>
      <c r="V165" s="38" t="s">
        <v>392</v>
      </c>
      <c r="W165" s="37">
        <v>3.35E7</v>
      </c>
      <c r="X165" s="38" t="s">
        <v>134</v>
      </c>
      <c r="Y165" s="38" t="s">
        <v>544</v>
      </c>
      <c r="Z165" s="38" t="s">
        <v>60</v>
      </c>
      <c r="AA165" s="38" t="s">
        <v>61</v>
      </c>
      <c r="AB165" s="38" t="s">
        <v>136</v>
      </c>
      <c r="AC165" s="38" t="s">
        <v>545</v>
      </c>
      <c r="AD165" s="38" t="s">
        <v>3765</v>
      </c>
      <c r="AE165" s="38" t="s">
        <v>54</v>
      </c>
      <c r="AF165" s="38" t="s">
        <v>54</v>
      </c>
    </row>
    <row r="166">
      <c r="A166" s="38" t="s">
        <v>1076</v>
      </c>
      <c r="B166" s="38" t="s">
        <v>54</v>
      </c>
      <c r="C166" s="38" t="s">
        <v>54</v>
      </c>
      <c r="D166" s="38" t="s">
        <v>185</v>
      </c>
      <c r="E166" s="38" t="s">
        <v>1094</v>
      </c>
      <c r="F166" s="38" t="s">
        <v>174</v>
      </c>
      <c r="G166" s="38" t="s">
        <v>1095</v>
      </c>
      <c r="H166" s="38" t="s">
        <v>1079</v>
      </c>
      <c r="I166" s="38" t="s">
        <v>185</v>
      </c>
      <c r="J166" s="37">
        <v>0.0</v>
      </c>
      <c r="K166" s="38" t="s">
        <v>1080</v>
      </c>
      <c r="L166" s="38" t="s">
        <v>1096</v>
      </c>
      <c r="M166" s="38" t="s">
        <v>54</v>
      </c>
      <c r="N166" s="38" t="s">
        <v>49</v>
      </c>
      <c r="O166" s="38" t="s">
        <v>50</v>
      </c>
      <c r="P166" s="38" t="s">
        <v>1097</v>
      </c>
      <c r="Q166" s="38" t="s">
        <v>52</v>
      </c>
      <c r="R166" s="38" t="s">
        <v>53</v>
      </c>
      <c r="S166" s="38" t="s">
        <v>54</v>
      </c>
      <c r="T166" s="38" t="s">
        <v>885</v>
      </c>
      <c r="U166" s="38" t="s">
        <v>70</v>
      </c>
      <c r="V166" s="38" t="s">
        <v>71</v>
      </c>
      <c r="W166" s="37">
        <v>7.93037E8</v>
      </c>
      <c r="X166" s="38" t="s">
        <v>134</v>
      </c>
      <c r="Y166" s="38" t="s">
        <v>544</v>
      </c>
      <c r="Z166" s="38" t="s">
        <v>60</v>
      </c>
      <c r="AA166" s="38" t="s">
        <v>61</v>
      </c>
      <c r="AB166" s="38" t="s">
        <v>136</v>
      </c>
      <c r="AC166" s="38" t="s">
        <v>545</v>
      </c>
      <c r="AD166" s="38" t="s">
        <v>3766</v>
      </c>
      <c r="AE166" s="38" t="s">
        <v>54</v>
      </c>
      <c r="AF166" s="38" t="s">
        <v>54</v>
      </c>
    </row>
    <row r="167">
      <c r="A167" s="38" t="s">
        <v>1099</v>
      </c>
      <c r="B167" s="37">
        <v>7.211637425454264</v>
      </c>
      <c r="C167" s="37">
        <v>7.366196979686638</v>
      </c>
      <c r="D167" s="38" t="s">
        <v>170</v>
      </c>
      <c r="E167" s="38" t="s">
        <v>1100</v>
      </c>
      <c r="F167" s="38" t="s">
        <v>3767</v>
      </c>
      <c r="G167" s="38" t="s">
        <v>1101</v>
      </c>
      <c r="H167" s="38" t="s">
        <v>1102</v>
      </c>
      <c r="I167" s="38" t="s">
        <v>170</v>
      </c>
      <c r="J167" s="37">
        <v>5.625</v>
      </c>
      <c r="K167" s="38" t="s">
        <v>1103</v>
      </c>
      <c r="L167" s="38" t="s">
        <v>1016</v>
      </c>
      <c r="M167" s="37">
        <v>5.625</v>
      </c>
      <c r="N167" s="38" t="s">
        <v>115</v>
      </c>
      <c r="O167" s="38" t="s">
        <v>116</v>
      </c>
      <c r="P167" s="38" t="s">
        <v>262</v>
      </c>
      <c r="Q167" s="38" t="s">
        <v>459</v>
      </c>
      <c r="R167" s="38" t="s">
        <v>53</v>
      </c>
      <c r="S167" s="38" t="s">
        <v>351</v>
      </c>
      <c r="T167" s="38" t="s">
        <v>55</v>
      </c>
      <c r="U167" s="38" t="s">
        <v>56</v>
      </c>
      <c r="V167" s="38" t="s">
        <v>71</v>
      </c>
      <c r="W167" s="37">
        <v>5.11641E8</v>
      </c>
      <c r="X167" s="38" t="s">
        <v>85</v>
      </c>
      <c r="Y167" s="38" t="s">
        <v>515</v>
      </c>
      <c r="Z167" s="38" t="s">
        <v>60</v>
      </c>
      <c r="AA167" s="38" t="s">
        <v>61</v>
      </c>
      <c r="AB167" s="38" t="s">
        <v>87</v>
      </c>
      <c r="AC167" s="38" t="s">
        <v>515</v>
      </c>
      <c r="AD167" s="38" t="s">
        <v>3768</v>
      </c>
      <c r="AE167" s="37">
        <v>5.561</v>
      </c>
      <c r="AF167" s="37">
        <v>5.625</v>
      </c>
    </row>
    <row r="168">
      <c r="A168" s="38" t="s">
        <v>1099</v>
      </c>
      <c r="B168" s="37">
        <v>7.137782995534385</v>
      </c>
      <c r="C168" s="37">
        <v>7.356673319218574</v>
      </c>
      <c r="D168" s="38" t="s">
        <v>170</v>
      </c>
      <c r="E168" s="38" t="s">
        <v>1106</v>
      </c>
      <c r="F168" s="38" t="s">
        <v>3769</v>
      </c>
      <c r="G168" s="38" t="s">
        <v>1107</v>
      </c>
      <c r="H168" s="38" t="s">
        <v>1102</v>
      </c>
      <c r="I168" s="38" t="s">
        <v>170</v>
      </c>
      <c r="J168" s="37">
        <v>5.625</v>
      </c>
      <c r="K168" s="38" t="s">
        <v>1103</v>
      </c>
      <c r="L168" s="38" t="s">
        <v>1016</v>
      </c>
      <c r="M168" s="37">
        <v>5.625</v>
      </c>
      <c r="N168" s="38" t="s">
        <v>115</v>
      </c>
      <c r="O168" s="38" t="s">
        <v>116</v>
      </c>
      <c r="P168" s="38" t="s">
        <v>271</v>
      </c>
      <c r="Q168" s="38" t="s">
        <v>459</v>
      </c>
      <c r="R168" s="38" t="s">
        <v>53</v>
      </c>
      <c r="S168" s="38" t="s">
        <v>351</v>
      </c>
      <c r="T168" s="38" t="s">
        <v>55</v>
      </c>
      <c r="U168" s="38" t="s">
        <v>56</v>
      </c>
      <c r="V168" s="38" t="s">
        <v>71</v>
      </c>
      <c r="W168" s="37">
        <v>5.11641E8</v>
      </c>
      <c r="X168" s="38" t="s">
        <v>85</v>
      </c>
      <c r="Y168" s="38" t="s">
        <v>515</v>
      </c>
      <c r="Z168" s="38" t="s">
        <v>60</v>
      </c>
      <c r="AA168" s="38" t="s">
        <v>61</v>
      </c>
      <c r="AB168" s="38" t="s">
        <v>87</v>
      </c>
      <c r="AC168" s="38" t="s">
        <v>515</v>
      </c>
      <c r="AD168" s="38" t="s">
        <v>3770</v>
      </c>
      <c r="AE168" s="37">
        <v>5.569</v>
      </c>
      <c r="AF168" s="37">
        <v>5.625</v>
      </c>
    </row>
    <row r="169">
      <c r="A169" s="38" t="s">
        <v>500</v>
      </c>
      <c r="B169" s="37">
        <v>3.9489616912427548</v>
      </c>
      <c r="C169" s="37">
        <v>4.110312928149551</v>
      </c>
      <c r="D169" s="38" t="s">
        <v>185</v>
      </c>
      <c r="E169" s="38" t="s">
        <v>1109</v>
      </c>
      <c r="F169" s="38" t="s">
        <v>3771</v>
      </c>
      <c r="G169" s="38" t="s">
        <v>1110</v>
      </c>
      <c r="H169" s="38" t="s">
        <v>503</v>
      </c>
      <c r="I169" s="38" t="s">
        <v>185</v>
      </c>
      <c r="J169" s="37">
        <v>2.125</v>
      </c>
      <c r="K169" s="38" t="s">
        <v>937</v>
      </c>
      <c r="L169" s="38" t="s">
        <v>1111</v>
      </c>
      <c r="M169" s="37">
        <v>2.125</v>
      </c>
      <c r="N169" s="38" t="s">
        <v>115</v>
      </c>
      <c r="O169" s="38" t="s">
        <v>116</v>
      </c>
      <c r="P169" s="38" t="s">
        <v>174</v>
      </c>
      <c r="Q169" s="38" t="s">
        <v>52</v>
      </c>
      <c r="R169" s="38" t="s">
        <v>53</v>
      </c>
      <c r="S169" s="38" t="s">
        <v>297</v>
      </c>
      <c r="T169" s="38" t="s">
        <v>55</v>
      </c>
      <c r="U169" s="38" t="s">
        <v>56</v>
      </c>
      <c r="V169" s="38" t="s">
        <v>71</v>
      </c>
      <c r="W169" s="37">
        <v>6.90738E8</v>
      </c>
      <c r="X169" s="38" t="s">
        <v>58</v>
      </c>
      <c r="Y169" s="38" t="s">
        <v>506</v>
      </c>
      <c r="Z169" s="38" t="s">
        <v>60</v>
      </c>
      <c r="AA169" s="38" t="s">
        <v>61</v>
      </c>
      <c r="AB169" s="38" t="s">
        <v>177</v>
      </c>
      <c r="AC169" s="38" t="s">
        <v>192</v>
      </c>
      <c r="AD169" s="38" t="s">
        <v>3772</v>
      </c>
      <c r="AE169" s="37">
        <v>2.105</v>
      </c>
      <c r="AF169" s="37">
        <v>2.125</v>
      </c>
    </row>
    <row r="170">
      <c r="A170" s="38" t="s">
        <v>1076</v>
      </c>
      <c r="B170" s="37">
        <v>5.9278622334467865</v>
      </c>
      <c r="C170" s="37">
        <v>6.126397139835296</v>
      </c>
      <c r="D170" s="38" t="s">
        <v>185</v>
      </c>
      <c r="E170" s="38" t="s">
        <v>1113</v>
      </c>
      <c r="F170" s="38" t="s">
        <v>3773</v>
      </c>
      <c r="G170" s="38" t="s">
        <v>1114</v>
      </c>
      <c r="H170" s="38" t="s">
        <v>1079</v>
      </c>
      <c r="I170" s="38" t="s">
        <v>185</v>
      </c>
      <c r="J170" s="37">
        <v>2.75</v>
      </c>
      <c r="K170" s="38" t="s">
        <v>937</v>
      </c>
      <c r="L170" s="38" t="s">
        <v>1115</v>
      </c>
      <c r="M170" s="37">
        <v>2.75</v>
      </c>
      <c r="N170" s="38" t="s">
        <v>115</v>
      </c>
      <c r="O170" s="38" t="s">
        <v>116</v>
      </c>
      <c r="P170" s="38" t="s">
        <v>174</v>
      </c>
      <c r="Q170" s="38" t="s">
        <v>52</v>
      </c>
      <c r="R170" s="38" t="s">
        <v>53</v>
      </c>
      <c r="S170" s="38" t="s">
        <v>885</v>
      </c>
      <c r="T170" s="38" t="s">
        <v>885</v>
      </c>
      <c r="U170" s="38" t="s">
        <v>56</v>
      </c>
      <c r="V170" s="38" t="s">
        <v>71</v>
      </c>
      <c r="W170" s="37">
        <v>1.381476E9</v>
      </c>
      <c r="X170" s="38" t="s">
        <v>134</v>
      </c>
      <c r="Y170" s="38" t="s">
        <v>544</v>
      </c>
      <c r="Z170" s="38" t="s">
        <v>60</v>
      </c>
      <c r="AA170" s="38" t="s">
        <v>61</v>
      </c>
      <c r="AB170" s="38" t="s">
        <v>136</v>
      </c>
      <c r="AC170" s="38" t="s">
        <v>545</v>
      </c>
      <c r="AD170" s="38" t="s">
        <v>3774</v>
      </c>
      <c r="AE170" s="37">
        <v>2.398</v>
      </c>
      <c r="AF170" s="37">
        <v>2.75</v>
      </c>
    </row>
    <row r="171">
      <c r="A171" s="38" t="s">
        <v>574</v>
      </c>
      <c r="B171" s="37">
        <v>3.664849954538974</v>
      </c>
      <c r="C171" s="37">
        <v>3.8165303494063743</v>
      </c>
      <c r="D171" s="38" t="s">
        <v>185</v>
      </c>
      <c r="E171" s="38" t="s">
        <v>1118</v>
      </c>
      <c r="F171" s="38" t="s">
        <v>3775</v>
      </c>
      <c r="G171" s="38" t="s">
        <v>1119</v>
      </c>
      <c r="H171" s="38" t="s">
        <v>577</v>
      </c>
      <c r="I171" s="38" t="s">
        <v>185</v>
      </c>
      <c r="J171" s="37">
        <v>1.875</v>
      </c>
      <c r="K171" s="38" t="s">
        <v>937</v>
      </c>
      <c r="L171" s="38" t="s">
        <v>938</v>
      </c>
      <c r="M171" s="37">
        <v>2.0</v>
      </c>
      <c r="N171" s="38" t="s">
        <v>115</v>
      </c>
      <c r="O171" s="38" t="s">
        <v>116</v>
      </c>
      <c r="P171" s="38" t="s">
        <v>174</v>
      </c>
      <c r="Q171" s="38" t="s">
        <v>52</v>
      </c>
      <c r="R171" s="38" t="s">
        <v>53</v>
      </c>
      <c r="S171" s="38" t="s">
        <v>190</v>
      </c>
      <c r="T171" s="38" t="s">
        <v>55</v>
      </c>
      <c r="U171" s="38" t="s">
        <v>56</v>
      </c>
      <c r="V171" s="38" t="s">
        <v>57</v>
      </c>
      <c r="W171" s="37">
        <v>5.75615E8</v>
      </c>
      <c r="X171" s="38" t="s">
        <v>85</v>
      </c>
      <c r="Y171" s="38" t="s">
        <v>265</v>
      </c>
      <c r="Z171" s="38" t="s">
        <v>60</v>
      </c>
      <c r="AA171" s="38" t="s">
        <v>61</v>
      </c>
      <c r="AB171" s="38" t="s">
        <v>177</v>
      </c>
      <c r="AC171" s="38" t="s">
        <v>579</v>
      </c>
      <c r="AD171" s="38" t="s">
        <v>3776</v>
      </c>
      <c r="AE171" s="37">
        <v>1.8</v>
      </c>
      <c r="AF171" s="37">
        <v>2.0</v>
      </c>
    </row>
    <row r="172">
      <c r="A172" s="38" t="s">
        <v>1122</v>
      </c>
      <c r="B172" s="37">
        <v>2.5529159647468442</v>
      </c>
      <c r="C172" s="37">
        <v>2.6250381269819822</v>
      </c>
      <c r="D172" s="38" t="s">
        <v>367</v>
      </c>
      <c r="E172" s="38" t="s">
        <v>1123</v>
      </c>
      <c r="F172" s="38" t="s">
        <v>3777</v>
      </c>
      <c r="G172" s="38" t="s">
        <v>1124</v>
      </c>
      <c r="H172" s="38" t="s">
        <v>1125</v>
      </c>
      <c r="I172" s="38" t="s">
        <v>367</v>
      </c>
      <c r="J172" s="37">
        <v>0.875</v>
      </c>
      <c r="K172" s="38" t="s">
        <v>1126</v>
      </c>
      <c r="L172" s="38" t="s">
        <v>1127</v>
      </c>
      <c r="M172" s="37">
        <v>0.984</v>
      </c>
      <c r="N172" s="38" t="s">
        <v>115</v>
      </c>
      <c r="O172" s="38" t="s">
        <v>116</v>
      </c>
      <c r="P172" s="38" t="s">
        <v>1128</v>
      </c>
      <c r="Q172" s="38" t="s">
        <v>52</v>
      </c>
      <c r="R172" s="38" t="s">
        <v>53</v>
      </c>
      <c r="S172" s="38" t="s">
        <v>497</v>
      </c>
      <c r="T172" s="38" t="s">
        <v>133</v>
      </c>
      <c r="U172" s="38" t="s">
        <v>56</v>
      </c>
      <c r="V172" s="38" t="s">
        <v>57</v>
      </c>
      <c r="W172" s="37">
        <v>7.96999E8</v>
      </c>
      <c r="X172" s="38" t="s">
        <v>309</v>
      </c>
      <c r="Y172" s="38" t="s">
        <v>1129</v>
      </c>
      <c r="Z172" s="38" t="s">
        <v>60</v>
      </c>
      <c r="AA172" s="38" t="s">
        <v>61</v>
      </c>
      <c r="AB172" s="38" t="s">
        <v>309</v>
      </c>
      <c r="AC172" s="38" t="s">
        <v>1130</v>
      </c>
      <c r="AD172" s="38" t="s">
        <v>3778</v>
      </c>
      <c r="AE172" s="37">
        <v>1.021</v>
      </c>
      <c r="AF172" s="37">
        <v>0.984</v>
      </c>
    </row>
    <row r="173">
      <c r="A173" s="38" t="s">
        <v>1133</v>
      </c>
      <c r="B173" s="37">
        <v>2.1421200368749345</v>
      </c>
      <c r="C173" s="37">
        <v>2.2080887118508077</v>
      </c>
      <c r="D173" s="38" t="s">
        <v>45</v>
      </c>
      <c r="E173" s="38" t="s">
        <v>1134</v>
      </c>
      <c r="F173" s="38" t="s">
        <v>3779</v>
      </c>
      <c r="G173" s="38" t="s">
        <v>1135</v>
      </c>
      <c r="H173" s="38" t="s">
        <v>1136</v>
      </c>
      <c r="I173" s="38" t="s">
        <v>45</v>
      </c>
      <c r="J173" s="37">
        <v>0.5</v>
      </c>
      <c r="K173" s="38" t="s">
        <v>1137</v>
      </c>
      <c r="L173" s="38" t="s">
        <v>1138</v>
      </c>
      <c r="M173" s="38" t="s">
        <v>54</v>
      </c>
      <c r="N173" s="38" t="s">
        <v>115</v>
      </c>
      <c r="O173" s="38" t="s">
        <v>116</v>
      </c>
      <c r="P173" s="38" t="s">
        <v>226</v>
      </c>
      <c r="Q173" s="38" t="s">
        <v>52</v>
      </c>
      <c r="R173" s="38" t="s">
        <v>53</v>
      </c>
      <c r="S173" s="38" t="s">
        <v>117</v>
      </c>
      <c r="T173" s="38" t="s">
        <v>421</v>
      </c>
      <c r="U173" s="38" t="s">
        <v>56</v>
      </c>
      <c r="V173" s="38" t="s">
        <v>57</v>
      </c>
      <c r="W173" s="37">
        <v>5.6595E8</v>
      </c>
      <c r="X173" s="38" t="s">
        <v>422</v>
      </c>
      <c r="Y173" s="38" t="s">
        <v>229</v>
      </c>
      <c r="Z173" s="38" t="s">
        <v>60</v>
      </c>
      <c r="AA173" s="38" t="s">
        <v>61</v>
      </c>
      <c r="AB173" s="38" t="s">
        <v>228</v>
      </c>
      <c r="AC173" s="38" t="s">
        <v>229</v>
      </c>
      <c r="AD173" s="38" t="s">
        <v>3780</v>
      </c>
      <c r="AE173" s="37">
        <v>0.55</v>
      </c>
      <c r="AF173" s="37">
        <v>0.55</v>
      </c>
    </row>
    <row r="174">
      <c r="A174" s="38" t="s">
        <v>1133</v>
      </c>
      <c r="B174" s="37">
        <v>3.5987066349249637</v>
      </c>
      <c r="C174" s="37">
        <v>3.7067734019320135</v>
      </c>
      <c r="D174" s="38" t="s">
        <v>45</v>
      </c>
      <c r="E174" s="38" t="s">
        <v>1141</v>
      </c>
      <c r="F174" s="38" t="s">
        <v>3781</v>
      </c>
      <c r="G174" s="38" t="s">
        <v>1142</v>
      </c>
      <c r="H174" s="38" t="s">
        <v>1136</v>
      </c>
      <c r="I174" s="38" t="s">
        <v>45</v>
      </c>
      <c r="J174" s="37">
        <v>1.75</v>
      </c>
      <c r="K174" s="38" t="s">
        <v>1137</v>
      </c>
      <c r="L174" s="38" t="s">
        <v>1143</v>
      </c>
      <c r="M174" s="37">
        <v>1.815</v>
      </c>
      <c r="N174" s="38" t="s">
        <v>115</v>
      </c>
      <c r="O174" s="38" t="s">
        <v>116</v>
      </c>
      <c r="P174" s="38" t="s">
        <v>226</v>
      </c>
      <c r="Q174" s="38" t="s">
        <v>52</v>
      </c>
      <c r="R174" s="38" t="s">
        <v>263</v>
      </c>
      <c r="S174" s="38" t="s">
        <v>117</v>
      </c>
      <c r="T174" s="38" t="s">
        <v>421</v>
      </c>
      <c r="U174" s="38" t="s">
        <v>56</v>
      </c>
      <c r="V174" s="38" t="s">
        <v>57</v>
      </c>
      <c r="W174" s="37">
        <v>2.5E8</v>
      </c>
      <c r="X174" s="38" t="s">
        <v>422</v>
      </c>
      <c r="Y174" s="38" t="s">
        <v>229</v>
      </c>
      <c r="Z174" s="38" t="s">
        <v>60</v>
      </c>
      <c r="AA174" s="38" t="s">
        <v>61</v>
      </c>
      <c r="AB174" s="38" t="s">
        <v>228</v>
      </c>
      <c r="AC174" s="38" t="s">
        <v>229</v>
      </c>
      <c r="AD174" s="38" t="s">
        <v>3782</v>
      </c>
      <c r="AE174" s="38" t="s">
        <v>54</v>
      </c>
      <c r="AF174" s="37">
        <v>1.815</v>
      </c>
    </row>
    <row r="175">
      <c r="A175" s="38" t="s">
        <v>1146</v>
      </c>
      <c r="B175" s="37">
        <v>1.3044726785426821</v>
      </c>
      <c r="C175" s="37">
        <v>1.4476485157949552</v>
      </c>
      <c r="D175" s="38" t="s">
        <v>368</v>
      </c>
      <c r="E175" s="38" t="s">
        <v>1147</v>
      </c>
      <c r="F175" s="38" t="s">
        <v>3783</v>
      </c>
      <c r="G175" s="38" t="s">
        <v>1148</v>
      </c>
      <c r="H175" s="38" t="s">
        <v>1149</v>
      </c>
      <c r="I175" s="38" t="s">
        <v>368</v>
      </c>
      <c r="J175" s="37">
        <v>0.627</v>
      </c>
      <c r="K175" s="38" t="s">
        <v>1150</v>
      </c>
      <c r="L175" s="38" t="s">
        <v>1151</v>
      </c>
      <c r="M175" s="38" t="s">
        <v>54</v>
      </c>
      <c r="N175" s="38" t="s">
        <v>49</v>
      </c>
      <c r="O175" s="38" t="s">
        <v>50</v>
      </c>
      <c r="P175" s="38" t="s">
        <v>686</v>
      </c>
      <c r="Q175" s="38" t="s">
        <v>52</v>
      </c>
      <c r="R175" s="38" t="s">
        <v>687</v>
      </c>
      <c r="S175" s="38" t="s">
        <v>54</v>
      </c>
      <c r="T175" s="38" t="s">
        <v>421</v>
      </c>
      <c r="U175" s="38" t="s">
        <v>70</v>
      </c>
      <c r="V175" s="38" t="s">
        <v>392</v>
      </c>
      <c r="W175" s="37">
        <v>1.65837E8</v>
      </c>
      <c r="X175" s="38" t="s">
        <v>485</v>
      </c>
      <c r="Y175" s="38" t="s">
        <v>563</v>
      </c>
      <c r="Z175" s="38" t="s">
        <v>60</v>
      </c>
      <c r="AA175" s="38" t="s">
        <v>487</v>
      </c>
      <c r="AB175" s="38" t="s">
        <v>1152</v>
      </c>
      <c r="AC175" s="38" t="s">
        <v>1152</v>
      </c>
      <c r="AD175" s="38" t="s">
        <v>3784</v>
      </c>
      <c r="AE175" s="37">
        <v>0.536</v>
      </c>
      <c r="AF175" s="37">
        <v>0.536</v>
      </c>
    </row>
    <row r="176">
      <c r="A176" s="38" t="s">
        <v>1146</v>
      </c>
      <c r="B176" s="37">
        <v>1.5358698149579861</v>
      </c>
      <c r="C176" s="37">
        <v>1.6792711665125462</v>
      </c>
      <c r="D176" s="38" t="s">
        <v>368</v>
      </c>
      <c r="E176" s="38" t="s">
        <v>1155</v>
      </c>
      <c r="F176" s="38" t="s">
        <v>3785</v>
      </c>
      <c r="G176" s="38" t="s">
        <v>1156</v>
      </c>
      <c r="H176" s="38" t="s">
        <v>1149</v>
      </c>
      <c r="I176" s="38" t="s">
        <v>368</v>
      </c>
      <c r="J176" s="37">
        <v>0.8270000000000001</v>
      </c>
      <c r="K176" s="38" t="s">
        <v>1150</v>
      </c>
      <c r="L176" s="38" t="s">
        <v>1157</v>
      </c>
      <c r="M176" s="38" t="s">
        <v>54</v>
      </c>
      <c r="N176" s="38" t="s">
        <v>49</v>
      </c>
      <c r="O176" s="38" t="s">
        <v>50</v>
      </c>
      <c r="P176" s="38" t="s">
        <v>686</v>
      </c>
      <c r="Q176" s="38" t="s">
        <v>52</v>
      </c>
      <c r="R176" s="38" t="s">
        <v>687</v>
      </c>
      <c r="S176" s="38" t="s">
        <v>54</v>
      </c>
      <c r="T176" s="38" t="s">
        <v>421</v>
      </c>
      <c r="U176" s="38" t="s">
        <v>70</v>
      </c>
      <c r="V176" s="38" t="s">
        <v>392</v>
      </c>
      <c r="W176" s="37">
        <v>5.5279E7</v>
      </c>
      <c r="X176" s="38" t="s">
        <v>485</v>
      </c>
      <c r="Y176" s="38" t="s">
        <v>563</v>
      </c>
      <c r="Z176" s="38" t="s">
        <v>60</v>
      </c>
      <c r="AA176" s="38" t="s">
        <v>487</v>
      </c>
      <c r="AB176" s="38" t="s">
        <v>1152</v>
      </c>
      <c r="AC176" s="38" t="s">
        <v>1152</v>
      </c>
      <c r="AD176" s="38" t="s">
        <v>3786</v>
      </c>
      <c r="AE176" s="37">
        <v>0.728</v>
      </c>
      <c r="AF176" s="37">
        <v>0.728</v>
      </c>
    </row>
    <row r="177">
      <c r="A177" s="38" t="s">
        <v>1158</v>
      </c>
      <c r="B177" s="37">
        <v>4.259432792612037</v>
      </c>
      <c r="C177" s="37">
        <v>4.399328376026818</v>
      </c>
      <c r="D177" s="38" t="s">
        <v>185</v>
      </c>
      <c r="E177" s="38" t="s">
        <v>1159</v>
      </c>
      <c r="F177" s="38" t="s">
        <v>3787</v>
      </c>
      <c r="G177" s="38" t="s">
        <v>1160</v>
      </c>
      <c r="H177" s="38" t="s">
        <v>1161</v>
      </c>
      <c r="I177" s="38" t="s">
        <v>185</v>
      </c>
      <c r="J177" s="37">
        <v>2.375</v>
      </c>
      <c r="K177" s="38" t="s">
        <v>1162</v>
      </c>
      <c r="L177" s="38" t="s">
        <v>1163</v>
      </c>
      <c r="M177" s="37">
        <v>2.5</v>
      </c>
      <c r="N177" s="38" t="s">
        <v>115</v>
      </c>
      <c r="O177" s="38" t="s">
        <v>116</v>
      </c>
      <c r="P177" s="38" t="s">
        <v>174</v>
      </c>
      <c r="Q177" s="38" t="s">
        <v>52</v>
      </c>
      <c r="R177" s="38" t="s">
        <v>53</v>
      </c>
      <c r="S177" s="38" t="s">
        <v>264</v>
      </c>
      <c r="T177" s="38" t="s">
        <v>117</v>
      </c>
      <c r="U177" s="38" t="s">
        <v>56</v>
      </c>
      <c r="V177" s="38" t="s">
        <v>57</v>
      </c>
      <c r="W177" s="37">
        <v>7.88774E8</v>
      </c>
      <c r="X177" s="38" t="s">
        <v>134</v>
      </c>
      <c r="Y177" s="38" t="s">
        <v>535</v>
      </c>
      <c r="Z177" s="38" t="s">
        <v>60</v>
      </c>
      <c r="AA177" s="38" t="s">
        <v>61</v>
      </c>
      <c r="AB177" s="38" t="s">
        <v>136</v>
      </c>
      <c r="AC177" s="38" t="s">
        <v>1164</v>
      </c>
      <c r="AD177" s="38" t="s">
        <v>3788</v>
      </c>
      <c r="AE177" s="37">
        <v>2.408</v>
      </c>
      <c r="AF177" s="37">
        <v>2.5</v>
      </c>
    </row>
    <row r="178">
      <c r="A178" s="38" t="s">
        <v>1167</v>
      </c>
      <c r="B178" s="37">
        <v>2.6662945231307007</v>
      </c>
      <c r="C178" s="37">
        <v>2.7702749995313845</v>
      </c>
      <c r="D178" s="38" t="s">
        <v>200</v>
      </c>
      <c r="E178" s="38" t="s">
        <v>1168</v>
      </c>
      <c r="F178" s="38" t="s">
        <v>3789</v>
      </c>
      <c r="G178" s="38" t="s">
        <v>1169</v>
      </c>
      <c r="H178" s="38" t="s">
        <v>1170</v>
      </c>
      <c r="I178" s="38" t="s">
        <v>200</v>
      </c>
      <c r="J178" s="37">
        <v>1.0</v>
      </c>
      <c r="K178" s="38" t="s">
        <v>1171</v>
      </c>
      <c r="L178" s="38" t="s">
        <v>1172</v>
      </c>
      <c r="M178" s="37">
        <v>1.054</v>
      </c>
      <c r="N178" s="38" t="s">
        <v>115</v>
      </c>
      <c r="O178" s="38" t="s">
        <v>116</v>
      </c>
      <c r="P178" s="38" t="s">
        <v>226</v>
      </c>
      <c r="Q178" s="38" t="s">
        <v>52</v>
      </c>
      <c r="R178" s="38" t="s">
        <v>53</v>
      </c>
      <c r="S178" s="38" t="s">
        <v>497</v>
      </c>
      <c r="T178" s="38" t="s">
        <v>55</v>
      </c>
      <c r="U178" s="38" t="s">
        <v>56</v>
      </c>
      <c r="V178" s="38" t="s">
        <v>57</v>
      </c>
      <c r="W178" s="37">
        <v>8.407125E8</v>
      </c>
      <c r="X178" s="38" t="s">
        <v>58</v>
      </c>
      <c r="Y178" s="38" t="s">
        <v>506</v>
      </c>
      <c r="Z178" s="38" t="s">
        <v>60</v>
      </c>
      <c r="AA178" s="38" t="s">
        <v>61</v>
      </c>
      <c r="AB178" s="38" t="s">
        <v>280</v>
      </c>
      <c r="AC178" s="38" t="s">
        <v>281</v>
      </c>
      <c r="AD178" s="38" t="s">
        <v>3790</v>
      </c>
      <c r="AE178" s="37">
        <v>0.927</v>
      </c>
      <c r="AF178" s="37">
        <v>1.054</v>
      </c>
    </row>
    <row r="179">
      <c r="A179" s="38" t="s">
        <v>1167</v>
      </c>
      <c r="B179" s="37">
        <v>3.4189974369320617</v>
      </c>
      <c r="C179" s="37">
        <v>3.510256610390446</v>
      </c>
      <c r="D179" s="38" t="s">
        <v>200</v>
      </c>
      <c r="E179" s="38" t="s">
        <v>1175</v>
      </c>
      <c r="F179" s="38" t="s">
        <v>3791</v>
      </c>
      <c r="G179" s="38" t="s">
        <v>1176</v>
      </c>
      <c r="H179" s="38" t="s">
        <v>1170</v>
      </c>
      <c r="I179" s="38" t="s">
        <v>200</v>
      </c>
      <c r="J179" s="37">
        <v>1.5</v>
      </c>
      <c r="K179" s="38" t="s">
        <v>1171</v>
      </c>
      <c r="L179" s="38" t="s">
        <v>1177</v>
      </c>
      <c r="M179" s="37">
        <v>1.675</v>
      </c>
      <c r="N179" s="38" t="s">
        <v>115</v>
      </c>
      <c r="O179" s="38" t="s">
        <v>116</v>
      </c>
      <c r="P179" s="38" t="s">
        <v>226</v>
      </c>
      <c r="Q179" s="38" t="s">
        <v>52</v>
      </c>
      <c r="R179" s="38" t="s">
        <v>53</v>
      </c>
      <c r="S179" s="38" t="s">
        <v>497</v>
      </c>
      <c r="T179" s="38" t="s">
        <v>55</v>
      </c>
      <c r="U179" s="38" t="s">
        <v>56</v>
      </c>
      <c r="V179" s="38" t="s">
        <v>57</v>
      </c>
      <c r="W179" s="37">
        <v>1.4011875E9</v>
      </c>
      <c r="X179" s="38" t="s">
        <v>58</v>
      </c>
      <c r="Y179" s="38" t="s">
        <v>506</v>
      </c>
      <c r="Z179" s="38" t="s">
        <v>60</v>
      </c>
      <c r="AA179" s="38" t="s">
        <v>61</v>
      </c>
      <c r="AB179" s="38" t="s">
        <v>280</v>
      </c>
      <c r="AC179" s="38" t="s">
        <v>281</v>
      </c>
      <c r="AD179" s="38" t="s">
        <v>3792</v>
      </c>
      <c r="AE179" s="37">
        <v>1.65</v>
      </c>
      <c r="AF179" s="37">
        <v>1.675</v>
      </c>
    </row>
    <row r="180">
      <c r="A180" s="38" t="s">
        <v>1167</v>
      </c>
      <c r="B180" s="37">
        <v>3.880121023112565</v>
      </c>
      <c r="C180" s="37">
        <v>3.9708677046019876</v>
      </c>
      <c r="D180" s="38" t="s">
        <v>200</v>
      </c>
      <c r="E180" s="38" t="s">
        <v>1179</v>
      </c>
      <c r="F180" s="38" t="s">
        <v>3793</v>
      </c>
      <c r="G180" s="38" t="s">
        <v>1180</v>
      </c>
      <c r="H180" s="38" t="s">
        <v>1170</v>
      </c>
      <c r="I180" s="38" t="s">
        <v>200</v>
      </c>
      <c r="J180" s="37">
        <v>2.375</v>
      </c>
      <c r="K180" s="38" t="s">
        <v>1171</v>
      </c>
      <c r="L180" s="38" t="s">
        <v>1181</v>
      </c>
      <c r="M180" s="38" t="s">
        <v>54</v>
      </c>
      <c r="N180" s="38" t="s">
        <v>115</v>
      </c>
      <c r="O180" s="38" t="s">
        <v>116</v>
      </c>
      <c r="P180" s="38" t="s">
        <v>226</v>
      </c>
      <c r="Q180" s="38" t="s">
        <v>52</v>
      </c>
      <c r="R180" s="38" t="s">
        <v>53</v>
      </c>
      <c r="S180" s="38" t="s">
        <v>497</v>
      </c>
      <c r="T180" s="38" t="s">
        <v>55</v>
      </c>
      <c r="U180" s="38" t="s">
        <v>56</v>
      </c>
      <c r="V180" s="38" t="s">
        <v>57</v>
      </c>
      <c r="W180" s="37">
        <v>1.12095E9</v>
      </c>
      <c r="X180" s="38" t="s">
        <v>58</v>
      </c>
      <c r="Y180" s="38" t="s">
        <v>506</v>
      </c>
      <c r="Z180" s="38" t="s">
        <v>60</v>
      </c>
      <c r="AA180" s="38" t="s">
        <v>61</v>
      </c>
      <c r="AB180" s="38" t="s">
        <v>280</v>
      </c>
      <c r="AC180" s="38" t="s">
        <v>281</v>
      </c>
      <c r="AD180" s="38" t="s">
        <v>3794</v>
      </c>
      <c r="AE180" s="37">
        <v>2.376</v>
      </c>
      <c r="AF180" s="37">
        <v>2.376</v>
      </c>
    </row>
    <row r="181">
      <c r="A181" s="38" t="s">
        <v>1184</v>
      </c>
      <c r="B181" s="37">
        <v>2.41449660360855</v>
      </c>
      <c r="C181" s="37">
        <v>2.5031765764774105</v>
      </c>
      <c r="D181" s="38" t="s">
        <v>185</v>
      </c>
      <c r="E181" s="38" t="s">
        <v>1185</v>
      </c>
      <c r="F181" s="38" t="s">
        <v>3795</v>
      </c>
      <c r="G181" s="38" t="s">
        <v>1186</v>
      </c>
      <c r="H181" s="38" t="s">
        <v>1187</v>
      </c>
      <c r="I181" s="38" t="s">
        <v>185</v>
      </c>
      <c r="J181" s="37">
        <v>2.6</v>
      </c>
      <c r="K181" s="38" t="s">
        <v>1188</v>
      </c>
      <c r="L181" s="38" t="s">
        <v>1189</v>
      </c>
      <c r="M181" s="38" t="s">
        <v>54</v>
      </c>
      <c r="N181" s="38" t="s">
        <v>49</v>
      </c>
      <c r="O181" s="38" t="s">
        <v>50</v>
      </c>
      <c r="P181" s="38" t="s">
        <v>174</v>
      </c>
      <c r="Q181" s="38" t="s">
        <v>52</v>
      </c>
      <c r="R181" s="38" t="s">
        <v>53</v>
      </c>
      <c r="S181" s="38" t="s">
        <v>54</v>
      </c>
      <c r="T181" s="38" t="s">
        <v>55</v>
      </c>
      <c r="U181" s="38" t="s">
        <v>56</v>
      </c>
      <c r="V181" s="38" t="s">
        <v>57</v>
      </c>
      <c r="W181" s="37">
        <v>5.46093E7</v>
      </c>
      <c r="X181" s="38" t="s">
        <v>485</v>
      </c>
      <c r="Y181" s="38" t="s">
        <v>563</v>
      </c>
      <c r="Z181" s="38" t="s">
        <v>60</v>
      </c>
      <c r="AA181" s="38" t="s">
        <v>487</v>
      </c>
      <c r="AB181" s="38" t="s">
        <v>1152</v>
      </c>
      <c r="AC181" s="38" t="s">
        <v>1152</v>
      </c>
      <c r="AD181" s="38" t="s">
        <v>3796</v>
      </c>
      <c r="AE181" s="38" t="s">
        <v>54</v>
      </c>
      <c r="AF181" s="38" t="s">
        <v>54</v>
      </c>
    </row>
    <row r="182">
      <c r="A182" s="38" t="s">
        <v>1184</v>
      </c>
      <c r="B182" s="37">
        <v>2.282960978781505</v>
      </c>
      <c r="C182" s="37">
        <v>2.3759166508594824</v>
      </c>
      <c r="D182" s="38" t="s">
        <v>185</v>
      </c>
      <c r="E182" s="38" t="s">
        <v>1192</v>
      </c>
      <c r="F182" s="38" t="s">
        <v>3797</v>
      </c>
      <c r="G182" s="38" t="s">
        <v>1193</v>
      </c>
      <c r="H182" s="38" t="s">
        <v>1187</v>
      </c>
      <c r="I182" s="38" t="s">
        <v>185</v>
      </c>
      <c r="J182" s="37">
        <v>2.475</v>
      </c>
      <c r="K182" s="38" t="s">
        <v>1188</v>
      </c>
      <c r="L182" s="38" t="s">
        <v>1194</v>
      </c>
      <c r="M182" s="38" t="s">
        <v>54</v>
      </c>
      <c r="N182" s="38" t="s">
        <v>49</v>
      </c>
      <c r="O182" s="38" t="s">
        <v>50</v>
      </c>
      <c r="P182" s="38" t="s">
        <v>174</v>
      </c>
      <c r="Q182" s="38" t="s">
        <v>52</v>
      </c>
      <c r="R182" s="38" t="s">
        <v>53</v>
      </c>
      <c r="S182" s="38" t="s">
        <v>54</v>
      </c>
      <c r="T182" s="38" t="s">
        <v>55</v>
      </c>
      <c r="U182" s="38" t="s">
        <v>56</v>
      </c>
      <c r="V182" s="38" t="s">
        <v>57</v>
      </c>
      <c r="W182" s="37">
        <v>1.103805E8</v>
      </c>
      <c r="X182" s="38" t="s">
        <v>485</v>
      </c>
      <c r="Y182" s="38" t="s">
        <v>563</v>
      </c>
      <c r="Z182" s="38" t="s">
        <v>60</v>
      </c>
      <c r="AA182" s="38" t="s">
        <v>487</v>
      </c>
      <c r="AB182" s="38" t="s">
        <v>1152</v>
      </c>
      <c r="AC182" s="38" t="s">
        <v>1152</v>
      </c>
      <c r="AD182" s="38" t="s">
        <v>3798</v>
      </c>
      <c r="AE182" s="38" t="s">
        <v>54</v>
      </c>
      <c r="AF182" s="38" t="s">
        <v>54</v>
      </c>
    </row>
    <row r="183">
      <c r="A183" s="38" t="s">
        <v>1184</v>
      </c>
      <c r="B183" s="37">
        <v>2.627696574597158</v>
      </c>
      <c r="C183" s="37">
        <v>2.7096642467900613</v>
      </c>
      <c r="D183" s="38" t="s">
        <v>185</v>
      </c>
      <c r="E183" s="38" t="s">
        <v>1196</v>
      </c>
      <c r="F183" s="38" t="s">
        <v>3799</v>
      </c>
      <c r="G183" s="38" t="s">
        <v>1197</v>
      </c>
      <c r="H183" s="38" t="s">
        <v>1187</v>
      </c>
      <c r="I183" s="38" t="s">
        <v>185</v>
      </c>
      <c r="J183" s="37">
        <v>2.95</v>
      </c>
      <c r="K183" s="38" t="s">
        <v>1188</v>
      </c>
      <c r="L183" s="38" t="s">
        <v>1198</v>
      </c>
      <c r="M183" s="38" t="s">
        <v>54</v>
      </c>
      <c r="N183" s="38" t="s">
        <v>49</v>
      </c>
      <c r="O183" s="38" t="s">
        <v>50</v>
      </c>
      <c r="P183" s="38" t="s">
        <v>554</v>
      </c>
      <c r="Q183" s="38" t="s">
        <v>52</v>
      </c>
      <c r="R183" s="38" t="s">
        <v>53</v>
      </c>
      <c r="S183" s="38" t="s">
        <v>54</v>
      </c>
      <c r="T183" s="38" t="s">
        <v>55</v>
      </c>
      <c r="U183" s="38" t="s">
        <v>56</v>
      </c>
      <c r="V183" s="38" t="s">
        <v>57</v>
      </c>
      <c r="W183" s="37">
        <v>9295200.0</v>
      </c>
      <c r="X183" s="38" t="s">
        <v>485</v>
      </c>
      <c r="Y183" s="38" t="s">
        <v>563</v>
      </c>
      <c r="Z183" s="38" t="s">
        <v>60</v>
      </c>
      <c r="AA183" s="38" t="s">
        <v>487</v>
      </c>
      <c r="AB183" s="38" t="s">
        <v>1152</v>
      </c>
      <c r="AC183" s="38" t="s">
        <v>1152</v>
      </c>
      <c r="AD183" s="38" t="s">
        <v>3800</v>
      </c>
      <c r="AE183" s="38" t="s">
        <v>54</v>
      </c>
      <c r="AF183" s="38" t="s">
        <v>54</v>
      </c>
    </row>
    <row r="184">
      <c r="A184" s="38" t="s">
        <v>1199</v>
      </c>
      <c r="B184" s="37">
        <v>4.180213014430058</v>
      </c>
      <c r="C184" s="37">
        <v>4.459291612232623</v>
      </c>
      <c r="D184" s="38" t="s">
        <v>1203</v>
      </c>
      <c r="E184" s="38" t="s">
        <v>1200</v>
      </c>
      <c r="F184" s="38" t="s">
        <v>3801</v>
      </c>
      <c r="G184" s="38" t="s">
        <v>1201</v>
      </c>
      <c r="H184" s="38" t="s">
        <v>1202</v>
      </c>
      <c r="I184" s="38" t="s">
        <v>1203</v>
      </c>
      <c r="J184" s="37">
        <v>4.25</v>
      </c>
      <c r="K184" s="38" t="s">
        <v>1204</v>
      </c>
      <c r="L184" s="38" t="s">
        <v>1205</v>
      </c>
      <c r="M184" s="38" t="s">
        <v>54</v>
      </c>
      <c r="N184" s="38" t="s">
        <v>1206</v>
      </c>
      <c r="O184" s="38" t="s">
        <v>50</v>
      </c>
      <c r="P184" s="38" t="s">
        <v>174</v>
      </c>
      <c r="Q184" s="38" t="s">
        <v>52</v>
      </c>
      <c r="R184" s="38" t="s">
        <v>53</v>
      </c>
      <c r="S184" s="38" t="s">
        <v>54</v>
      </c>
      <c r="T184" s="38" t="s">
        <v>55</v>
      </c>
      <c r="U184" s="38" t="s">
        <v>56</v>
      </c>
      <c r="V184" s="38" t="s">
        <v>71</v>
      </c>
      <c r="W184" s="37">
        <v>1.49192434875E8</v>
      </c>
      <c r="X184" s="38" t="s">
        <v>58</v>
      </c>
      <c r="Y184" s="38" t="s">
        <v>506</v>
      </c>
      <c r="Z184" s="38" t="s">
        <v>60</v>
      </c>
      <c r="AA184" s="38" t="s">
        <v>61</v>
      </c>
      <c r="AB184" s="38" t="s">
        <v>62</v>
      </c>
      <c r="AC184" s="38" t="s">
        <v>62</v>
      </c>
      <c r="AD184" s="38" t="s">
        <v>3802</v>
      </c>
      <c r="AE184" s="38" t="s">
        <v>54</v>
      </c>
      <c r="AF184" s="38" t="s">
        <v>54</v>
      </c>
    </row>
    <row r="185">
      <c r="A185" s="38" t="s">
        <v>1209</v>
      </c>
      <c r="B185" s="37">
        <v>1.8640661696232619</v>
      </c>
      <c r="C185" s="37">
        <v>2.023953657319965</v>
      </c>
      <c r="D185" s="38" t="s">
        <v>368</v>
      </c>
      <c r="E185" s="38" t="s">
        <v>1210</v>
      </c>
      <c r="F185" s="38" t="s">
        <v>3803</v>
      </c>
      <c r="G185" s="38" t="s">
        <v>1211</v>
      </c>
      <c r="H185" s="38" t="s">
        <v>1212</v>
      </c>
      <c r="I185" s="38" t="s">
        <v>368</v>
      </c>
      <c r="J185" s="37">
        <v>1.29</v>
      </c>
      <c r="K185" s="38" t="s">
        <v>1213</v>
      </c>
      <c r="L185" s="38" t="s">
        <v>1214</v>
      </c>
      <c r="M185" s="38" t="s">
        <v>54</v>
      </c>
      <c r="N185" s="38" t="s">
        <v>49</v>
      </c>
      <c r="O185" s="38" t="s">
        <v>50</v>
      </c>
      <c r="P185" s="38" t="s">
        <v>686</v>
      </c>
      <c r="Q185" s="38" t="s">
        <v>52</v>
      </c>
      <c r="R185" s="38" t="s">
        <v>687</v>
      </c>
      <c r="S185" s="38" t="s">
        <v>54</v>
      </c>
      <c r="T185" s="38" t="s">
        <v>55</v>
      </c>
      <c r="U185" s="38" t="s">
        <v>70</v>
      </c>
      <c r="V185" s="38" t="s">
        <v>392</v>
      </c>
      <c r="W185" s="37">
        <v>1.658085E8</v>
      </c>
      <c r="X185" s="38" t="s">
        <v>134</v>
      </c>
      <c r="Y185" s="38" t="s">
        <v>677</v>
      </c>
      <c r="Z185" s="38" t="s">
        <v>60</v>
      </c>
      <c r="AA185" s="38" t="s">
        <v>61</v>
      </c>
      <c r="AB185" s="38" t="s">
        <v>136</v>
      </c>
      <c r="AC185" s="38" t="s">
        <v>311</v>
      </c>
      <c r="AD185" s="38" t="s">
        <v>3804</v>
      </c>
      <c r="AE185" s="38" t="s">
        <v>54</v>
      </c>
      <c r="AF185" s="38" t="s">
        <v>54</v>
      </c>
    </row>
    <row r="186">
      <c r="A186" s="38" t="s">
        <v>1217</v>
      </c>
      <c r="B186" s="37">
        <v>3.0252473643771984</v>
      </c>
      <c r="C186" s="37">
        <v>3.095054261155258</v>
      </c>
      <c r="D186" s="38" t="s">
        <v>45</v>
      </c>
      <c r="E186" s="38" t="s">
        <v>1218</v>
      </c>
      <c r="F186" s="38" t="s">
        <v>3805</v>
      </c>
      <c r="G186" s="38" t="s">
        <v>1219</v>
      </c>
      <c r="H186" s="38" t="s">
        <v>1220</v>
      </c>
      <c r="I186" s="38" t="s">
        <v>45</v>
      </c>
      <c r="J186" s="37">
        <v>0.625</v>
      </c>
      <c r="K186" s="38" t="s">
        <v>1221</v>
      </c>
      <c r="L186" s="38" t="s">
        <v>1222</v>
      </c>
      <c r="M186" s="37">
        <v>0.738</v>
      </c>
      <c r="N186" s="38" t="s">
        <v>115</v>
      </c>
      <c r="O186" s="38" t="s">
        <v>116</v>
      </c>
      <c r="P186" s="38" t="s">
        <v>226</v>
      </c>
      <c r="Q186" s="38" t="s">
        <v>52</v>
      </c>
      <c r="R186" s="38" t="s">
        <v>53</v>
      </c>
      <c r="S186" s="38" t="s">
        <v>175</v>
      </c>
      <c r="T186" s="38" t="s">
        <v>421</v>
      </c>
      <c r="U186" s="38" t="s">
        <v>56</v>
      </c>
      <c r="V186" s="38" t="s">
        <v>57</v>
      </c>
      <c r="W186" s="37">
        <v>6.79416E8</v>
      </c>
      <c r="X186" s="38" t="s">
        <v>85</v>
      </c>
      <c r="Y186" s="38" t="s">
        <v>515</v>
      </c>
      <c r="Z186" s="38" t="s">
        <v>60</v>
      </c>
      <c r="AA186" s="38" t="s">
        <v>61</v>
      </c>
      <c r="AB186" s="38" t="s">
        <v>87</v>
      </c>
      <c r="AC186" s="38" t="s">
        <v>515</v>
      </c>
      <c r="AD186" s="38" t="s">
        <v>3806</v>
      </c>
      <c r="AE186" s="37">
        <v>0.581</v>
      </c>
      <c r="AF186" s="37">
        <v>0.738</v>
      </c>
    </row>
    <row r="187">
      <c r="A187" s="38" t="s">
        <v>1225</v>
      </c>
      <c r="B187" s="37">
        <v>2.391692406770954</v>
      </c>
      <c r="C187" s="37">
        <v>2.457329380840352</v>
      </c>
      <c r="D187" s="38" t="s">
        <v>595</v>
      </c>
      <c r="E187" s="38" t="s">
        <v>1226</v>
      </c>
      <c r="F187" s="38" t="s">
        <v>3807</v>
      </c>
      <c r="G187" s="38" t="s">
        <v>1227</v>
      </c>
      <c r="H187" s="38" t="s">
        <v>1228</v>
      </c>
      <c r="I187" s="38" t="s">
        <v>595</v>
      </c>
      <c r="J187" s="37">
        <v>0.875</v>
      </c>
      <c r="K187" s="38" t="s">
        <v>1221</v>
      </c>
      <c r="L187" s="38" t="s">
        <v>1229</v>
      </c>
      <c r="M187" s="37">
        <v>0.931</v>
      </c>
      <c r="N187" s="38" t="s">
        <v>115</v>
      </c>
      <c r="O187" s="38" t="s">
        <v>116</v>
      </c>
      <c r="P187" s="38" t="s">
        <v>174</v>
      </c>
      <c r="Q187" s="38" t="s">
        <v>52</v>
      </c>
      <c r="R187" s="38" t="s">
        <v>53</v>
      </c>
      <c r="S187" s="38" t="s">
        <v>175</v>
      </c>
      <c r="T187" s="38" t="s">
        <v>55</v>
      </c>
      <c r="U187" s="38" t="s">
        <v>56</v>
      </c>
      <c r="V187" s="38" t="s">
        <v>57</v>
      </c>
      <c r="W187" s="37">
        <v>8.4927E8</v>
      </c>
      <c r="X187" s="38" t="s">
        <v>422</v>
      </c>
      <c r="Y187" s="38" t="s">
        <v>664</v>
      </c>
      <c r="Z187" s="38" t="s">
        <v>60</v>
      </c>
      <c r="AA187" s="38" t="s">
        <v>61</v>
      </c>
      <c r="AB187" s="38" t="s">
        <v>228</v>
      </c>
      <c r="AC187" s="38" t="s">
        <v>665</v>
      </c>
      <c r="AD187" s="38" t="s">
        <v>3808</v>
      </c>
      <c r="AE187" s="37">
        <v>0.818</v>
      </c>
      <c r="AF187" s="37">
        <v>0.931</v>
      </c>
    </row>
    <row r="188">
      <c r="A188" s="38" t="s">
        <v>1232</v>
      </c>
      <c r="B188" s="37">
        <v>6.581347226002558</v>
      </c>
      <c r="C188" s="37">
        <v>6.96293942160113</v>
      </c>
      <c r="D188" s="38" t="s">
        <v>368</v>
      </c>
      <c r="E188" s="38" t="s">
        <v>1233</v>
      </c>
      <c r="F188" s="38" t="s">
        <v>3809</v>
      </c>
      <c r="G188" s="38" t="s">
        <v>1234</v>
      </c>
      <c r="H188" s="38" t="s">
        <v>1235</v>
      </c>
      <c r="I188" s="38" t="s">
        <v>368</v>
      </c>
      <c r="J188" s="37">
        <v>6.0</v>
      </c>
      <c r="K188" s="38" t="s">
        <v>1029</v>
      </c>
      <c r="L188" s="38" t="s">
        <v>1236</v>
      </c>
      <c r="M188" s="38" t="s">
        <v>54</v>
      </c>
      <c r="N188" s="38" t="s">
        <v>115</v>
      </c>
      <c r="O188" s="38" t="s">
        <v>116</v>
      </c>
      <c r="P188" s="38" t="s">
        <v>686</v>
      </c>
      <c r="Q188" s="38" t="s">
        <v>459</v>
      </c>
      <c r="R188" s="38" t="s">
        <v>687</v>
      </c>
      <c r="S188" s="38" t="s">
        <v>54</v>
      </c>
      <c r="T188" s="38" t="s">
        <v>55</v>
      </c>
      <c r="U188" s="38" t="s">
        <v>70</v>
      </c>
      <c r="V188" s="38" t="s">
        <v>392</v>
      </c>
      <c r="W188" s="37">
        <v>1.58862E8</v>
      </c>
      <c r="X188" s="38" t="s">
        <v>134</v>
      </c>
      <c r="Y188" s="38" t="s">
        <v>1237</v>
      </c>
      <c r="Z188" s="38" t="s">
        <v>60</v>
      </c>
      <c r="AA188" s="38" t="s">
        <v>61</v>
      </c>
      <c r="AB188" s="38" t="s">
        <v>177</v>
      </c>
      <c r="AC188" s="38" t="s">
        <v>178</v>
      </c>
      <c r="AD188" s="38" t="s">
        <v>3810</v>
      </c>
      <c r="AE188" s="37">
        <v>5.721</v>
      </c>
      <c r="AF188" s="37">
        <v>5.721</v>
      </c>
    </row>
    <row r="189">
      <c r="A189" s="38" t="s">
        <v>1240</v>
      </c>
      <c r="B189" s="37">
        <v>8.846900408753589</v>
      </c>
      <c r="C189" s="37">
        <v>9.161016073966538</v>
      </c>
      <c r="D189" s="38" t="s">
        <v>200</v>
      </c>
      <c r="E189" s="38" t="s">
        <v>1241</v>
      </c>
      <c r="F189" s="38" t="s">
        <v>3811</v>
      </c>
      <c r="G189" s="38" t="s">
        <v>1242</v>
      </c>
      <c r="H189" s="38" t="s">
        <v>1243</v>
      </c>
      <c r="I189" s="38" t="s">
        <v>200</v>
      </c>
      <c r="J189" s="37">
        <v>5.25</v>
      </c>
      <c r="K189" s="38" t="s">
        <v>1244</v>
      </c>
      <c r="L189" s="38" t="s">
        <v>225</v>
      </c>
      <c r="M189" s="38" t="s">
        <v>54</v>
      </c>
      <c r="N189" s="38" t="s">
        <v>115</v>
      </c>
      <c r="O189" s="38" t="s">
        <v>116</v>
      </c>
      <c r="P189" s="38" t="s">
        <v>262</v>
      </c>
      <c r="Q189" s="38" t="s">
        <v>459</v>
      </c>
      <c r="R189" s="38" t="s">
        <v>53</v>
      </c>
      <c r="S189" s="38" t="s">
        <v>351</v>
      </c>
      <c r="T189" s="38" t="s">
        <v>55</v>
      </c>
      <c r="U189" s="38" t="s">
        <v>70</v>
      </c>
      <c r="V189" s="38" t="s">
        <v>392</v>
      </c>
      <c r="W189" s="37">
        <v>5.015951E8</v>
      </c>
      <c r="X189" s="38" t="s">
        <v>85</v>
      </c>
      <c r="Y189" s="38" t="s">
        <v>265</v>
      </c>
      <c r="Z189" s="38" t="s">
        <v>60</v>
      </c>
      <c r="AA189" s="38" t="s">
        <v>61</v>
      </c>
      <c r="AB189" s="38" t="s">
        <v>87</v>
      </c>
      <c r="AC189" s="38" t="s">
        <v>266</v>
      </c>
      <c r="AD189" s="38" t="s">
        <v>3812</v>
      </c>
      <c r="AE189" s="37">
        <v>5.511</v>
      </c>
      <c r="AF189" s="37">
        <v>5.511</v>
      </c>
    </row>
    <row r="190">
      <c r="A190" s="38" t="s">
        <v>1240</v>
      </c>
      <c r="B190" s="37">
        <v>8.820183132094234</v>
      </c>
      <c r="C190" s="37">
        <v>9.133275329309708</v>
      </c>
      <c r="D190" s="38" t="s">
        <v>200</v>
      </c>
      <c r="E190" s="38" t="s">
        <v>1247</v>
      </c>
      <c r="F190" s="38" t="s">
        <v>3813</v>
      </c>
      <c r="G190" s="38" t="s">
        <v>1248</v>
      </c>
      <c r="H190" s="38" t="s">
        <v>1243</v>
      </c>
      <c r="I190" s="38" t="s">
        <v>200</v>
      </c>
      <c r="J190" s="37">
        <v>5.25</v>
      </c>
      <c r="K190" s="38" t="s">
        <v>1244</v>
      </c>
      <c r="L190" s="38" t="s">
        <v>225</v>
      </c>
      <c r="M190" s="38" t="s">
        <v>54</v>
      </c>
      <c r="N190" s="38" t="s">
        <v>115</v>
      </c>
      <c r="O190" s="38" t="s">
        <v>116</v>
      </c>
      <c r="P190" s="38" t="s">
        <v>271</v>
      </c>
      <c r="Q190" s="38" t="s">
        <v>459</v>
      </c>
      <c r="R190" s="38" t="s">
        <v>53</v>
      </c>
      <c r="S190" s="38" t="s">
        <v>351</v>
      </c>
      <c r="T190" s="38" t="s">
        <v>55</v>
      </c>
      <c r="U190" s="38" t="s">
        <v>70</v>
      </c>
      <c r="V190" s="38" t="s">
        <v>392</v>
      </c>
      <c r="W190" s="37">
        <v>5.015951E8</v>
      </c>
      <c r="X190" s="38" t="s">
        <v>85</v>
      </c>
      <c r="Y190" s="38" t="s">
        <v>265</v>
      </c>
      <c r="Z190" s="38" t="s">
        <v>60</v>
      </c>
      <c r="AA190" s="38" t="s">
        <v>61</v>
      </c>
      <c r="AB190" s="38" t="s">
        <v>87</v>
      </c>
      <c r="AC190" s="38" t="s">
        <v>266</v>
      </c>
      <c r="AD190" s="38" t="s">
        <v>3814</v>
      </c>
      <c r="AE190" s="37">
        <v>5.5</v>
      </c>
      <c r="AF190" s="37">
        <v>5.5</v>
      </c>
    </row>
    <row r="191">
      <c r="A191" s="38" t="s">
        <v>1250</v>
      </c>
      <c r="B191" s="37">
        <v>1.492212564304795</v>
      </c>
      <c r="C191" s="37">
        <v>1.633708418771568</v>
      </c>
      <c r="D191" s="38" t="s">
        <v>368</v>
      </c>
      <c r="E191" s="38" t="s">
        <v>1251</v>
      </c>
      <c r="F191" s="38" t="s">
        <v>3815</v>
      </c>
      <c r="G191" s="38" t="s">
        <v>1252</v>
      </c>
      <c r="H191" s="38" t="s">
        <v>1253</v>
      </c>
      <c r="I191" s="38" t="s">
        <v>368</v>
      </c>
      <c r="J191" s="37">
        <v>0.9209999999999999</v>
      </c>
      <c r="K191" s="38" t="s">
        <v>1244</v>
      </c>
      <c r="L191" s="38" t="s">
        <v>225</v>
      </c>
      <c r="M191" s="38" t="s">
        <v>54</v>
      </c>
      <c r="N191" s="38" t="s">
        <v>49</v>
      </c>
      <c r="O191" s="38" t="s">
        <v>50</v>
      </c>
      <c r="P191" s="38" t="s">
        <v>686</v>
      </c>
      <c r="Q191" s="38" t="s">
        <v>52</v>
      </c>
      <c r="R191" s="38" t="s">
        <v>687</v>
      </c>
      <c r="S191" s="38" t="s">
        <v>54</v>
      </c>
      <c r="T191" s="38" t="s">
        <v>55</v>
      </c>
      <c r="U191" s="38" t="s">
        <v>70</v>
      </c>
      <c r="V191" s="38" t="s">
        <v>392</v>
      </c>
      <c r="W191" s="37">
        <v>1.25879E8</v>
      </c>
      <c r="X191" s="38" t="s">
        <v>1050</v>
      </c>
      <c r="Y191" s="38" t="s">
        <v>1254</v>
      </c>
      <c r="Z191" s="38" t="s">
        <v>60</v>
      </c>
      <c r="AA191" s="38" t="s">
        <v>61</v>
      </c>
      <c r="AB191" s="38" t="s">
        <v>228</v>
      </c>
      <c r="AC191" s="38" t="s">
        <v>1255</v>
      </c>
      <c r="AD191" s="38" t="s">
        <v>3816</v>
      </c>
      <c r="AE191" s="37">
        <v>0.694</v>
      </c>
      <c r="AF191" s="37">
        <v>0.694</v>
      </c>
    </row>
    <row r="192">
      <c r="A192" s="38" t="s">
        <v>1250</v>
      </c>
      <c r="B192" s="37">
        <v>3.9233500174274987</v>
      </c>
      <c r="C192" s="37">
        <v>4.058965676748965</v>
      </c>
      <c r="D192" s="38" t="s">
        <v>368</v>
      </c>
      <c r="E192" s="38" t="s">
        <v>1258</v>
      </c>
      <c r="F192" s="38" t="s">
        <v>3817</v>
      </c>
      <c r="G192" s="38" t="s">
        <v>1259</v>
      </c>
      <c r="H192" s="38" t="s">
        <v>1253</v>
      </c>
      <c r="I192" s="38" t="s">
        <v>368</v>
      </c>
      <c r="J192" s="37">
        <v>1.925</v>
      </c>
      <c r="K192" s="38" t="s">
        <v>1244</v>
      </c>
      <c r="L192" s="38" t="s">
        <v>250</v>
      </c>
      <c r="M192" s="38" t="s">
        <v>54</v>
      </c>
      <c r="N192" s="38" t="s">
        <v>49</v>
      </c>
      <c r="O192" s="38" t="s">
        <v>50</v>
      </c>
      <c r="P192" s="38" t="s">
        <v>686</v>
      </c>
      <c r="Q192" s="38" t="s">
        <v>52</v>
      </c>
      <c r="R192" s="38" t="s">
        <v>687</v>
      </c>
      <c r="S192" s="38" t="s">
        <v>54</v>
      </c>
      <c r="T192" s="38" t="s">
        <v>55</v>
      </c>
      <c r="U192" s="38" t="s">
        <v>56</v>
      </c>
      <c r="V192" s="38" t="s">
        <v>57</v>
      </c>
      <c r="W192" s="37">
        <v>3.8311E7</v>
      </c>
      <c r="X192" s="38" t="s">
        <v>1050</v>
      </c>
      <c r="Y192" s="38" t="s">
        <v>1254</v>
      </c>
      <c r="Z192" s="38" t="s">
        <v>60</v>
      </c>
      <c r="AA192" s="38" t="s">
        <v>61</v>
      </c>
      <c r="AB192" s="38" t="s">
        <v>228</v>
      </c>
      <c r="AC192" s="38" t="s">
        <v>1255</v>
      </c>
      <c r="AD192" s="38" t="s">
        <v>3818</v>
      </c>
      <c r="AE192" s="37">
        <v>1.843</v>
      </c>
      <c r="AF192" s="37">
        <v>1.843</v>
      </c>
    </row>
    <row r="193">
      <c r="A193" s="38" t="s">
        <v>1262</v>
      </c>
      <c r="B193" s="37">
        <v>3.982826069367758</v>
      </c>
      <c r="C193" s="37">
        <v>4.068676828401259</v>
      </c>
      <c r="D193" s="38" t="s">
        <v>408</v>
      </c>
      <c r="E193" s="38" t="s">
        <v>1263</v>
      </c>
      <c r="F193" s="38" t="s">
        <v>3819</v>
      </c>
      <c r="G193" s="38" t="s">
        <v>1264</v>
      </c>
      <c r="H193" s="38" t="s">
        <v>1265</v>
      </c>
      <c r="I193" s="38" t="s">
        <v>408</v>
      </c>
      <c r="J193" s="37">
        <v>2.3</v>
      </c>
      <c r="K193" s="38" t="s">
        <v>1244</v>
      </c>
      <c r="L193" s="38" t="s">
        <v>250</v>
      </c>
      <c r="M193" s="38" t="s">
        <v>54</v>
      </c>
      <c r="N193" s="38" t="s">
        <v>115</v>
      </c>
      <c r="O193" s="38" t="s">
        <v>116</v>
      </c>
      <c r="P193" s="38" t="s">
        <v>174</v>
      </c>
      <c r="Q193" s="38" t="s">
        <v>118</v>
      </c>
      <c r="R193" s="38" t="s">
        <v>53</v>
      </c>
      <c r="S193" s="38" t="s">
        <v>54</v>
      </c>
      <c r="T193" s="38" t="s">
        <v>55</v>
      </c>
      <c r="U193" s="38" t="s">
        <v>56</v>
      </c>
      <c r="V193" s="38" t="s">
        <v>71</v>
      </c>
      <c r="W193" s="37">
        <v>3.38154E8</v>
      </c>
      <c r="X193" s="38" t="s">
        <v>58</v>
      </c>
      <c r="Y193" s="38" t="s">
        <v>506</v>
      </c>
      <c r="Z193" s="38" t="s">
        <v>60</v>
      </c>
      <c r="AA193" s="38" t="s">
        <v>61</v>
      </c>
      <c r="AB193" s="38" t="s">
        <v>280</v>
      </c>
      <c r="AC193" s="38" t="s">
        <v>281</v>
      </c>
      <c r="AD193" s="38" t="s">
        <v>3820</v>
      </c>
      <c r="AE193" s="37">
        <v>2.3</v>
      </c>
      <c r="AF193" s="37">
        <v>2.3</v>
      </c>
    </row>
    <row r="194">
      <c r="A194" s="38" t="s">
        <v>1025</v>
      </c>
      <c r="B194" s="37">
        <v>2.033420777800446</v>
      </c>
      <c r="C194" s="37">
        <v>2.1527849773413044</v>
      </c>
      <c r="D194" s="38" t="s">
        <v>258</v>
      </c>
      <c r="E194" s="38" t="s">
        <v>1268</v>
      </c>
      <c r="F194" s="38" t="s">
        <v>174</v>
      </c>
      <c r="G194" s="38" t="s">
        <v>1269</v>
      </c>
      <c r="H194" s="38" t="s">
        <v>1028</v>
      </c>
      <c r="I194" s="38" t="s">
        <v>258</v>
      </c>
      <c r="J194" s="37">
        <v>1.277</v>
      </c>
      <c r="K194" s="38" t="s">
        <v>1029</v>
      </c>
      <c r="L194" s="38" t="s">
        <v>1030</v>
      </c>
      <c r="M194" s="38" t="s">
        <v>54</v>
      </c>
      <c r="N194" s="38" t="s">
        <v>49</v>
      </c>
      <c r="O194" s="38" t="s">
        <v>50</v>
      </c>
      <c r="P194" s="38" t="s">
        <v>1270</v>
      </c>
      <c r="Q194" s="38" t="s">
        <v>52</v>
      </c>
      <c r="R194" s="38" t="s">
        <v>53</v>
      </c>
      <c r="S194" s="38" t="s">
        <v>54</v>
      </c>
      <c r="T194" s="38" t="s">
        <v>55</v>
      </c>
      <c r="U194" s="38" t="s">
        <v>56</v>
      </c>
      <c r="V194" s="38" t="s">
        <v>57</v>
      </c>
      <c r="W194" s="37">
        <v>2.810975E8</v>
      </c>
      <c r="X194" s="38" t="s">
        <v>58</v>
      </c>
      <c r="Y194" s="38" t="s">
        <v>59</v>
      </c>
      <c r="Z194" s="38" t="s">
        <v>60</v>
      </c>
      <c r="AA194" s="38" t="s">
        <v>61</v>
      </c>
      <c r="AB194" s="38" t="s">
        <v>177</v>
      </c>
      <c r="AC194" s="38" t="s">
        <v>192</v>
      </c>
      <c r="AD194" s="38" t="s">
        <v>3821</v>
      </c>
      <c r="AE194" s="38" t="s">
        <v>54</v>
      </c>
      <c r="AF194" s="38" t="s">
        <v>54</v>
      </c>
    </row>
    <row r="195">
      <c r="A195" s="38" t="s">
        <v>1025</v>
      </c>
      <c r="B195" s="38" t="s">
        <v>54</v>
      </c>
      <c r="C195" s="38" t="s">
        <v>54</v>
      </c>
      <c r="D195" s="38" t="s">
        <v>258</v>
      </c>
      <c r="E195" s="38" t="s">
        <v>1272</v>
      </c>
      <c r="F195" s="38" t="s">
        <v>174</v>
      </c>
      <c r="G195" s="38" t="s">
        <v>1273</v>
      </c>
      <c r="H195" s="38" t="s">
        <v>1028</v>
      </c>
      <c r="I195" s="38" t="s">
        <v>258</v>
      </c>
      <c r="J195" s="37">
        <v>0.213</v>
      </c>
      <c r="K195" s="38" t="s">
        <v>1029</v>
      </c>
      <c r="L195" s="38" t="s">
        <v>1041</v>
      </c>
      <c r="M195" s="38" t="s">
        <v>54</v>
      </c>
      <c r="N195" s="38" t="s">
        <v>49</v>
      </c>
      <c r="O195" s="38" t="s">
        <v>50</v>
      </c>
      <c r="P195" s="38" t="s">
        <v>1274</v>
      </c>
      <c r="Q195" s="38" t="s">
        <v>52</v>
      </c>
      <c r="R195" s="38" t="s">
        <v>53</v>
      </c>
      <c r="S195" s="38" t="s">
        <v>54</v>
      </c>
      <c r="T195" s="38" t="s">
        <v>55</v>
      </c>
      <c r="U195" s="38" t="s">
        <v>70</v>
      </c>
      <c r="V195" s="38" t="s">
        <v>71</v>
      </c>
      <c r="W195" s="37">
        <v>2.810975E8</v>
      </c>
      <c r="X195" s="38" t="s">
        <v>58</v>
      </c>
      <c r="Y195" s="38" t="s">
        <v>59</v>
      </c>
      <c r="Z195" s="38" t="s">
        <v>60</v>
      </c>
      <c r="AA195" s="38" t="s">
        <v>61</v>
      </c>
      <c r="AB195" s="38" t="s">
        <v>177</v>
      </c>
      <c r="AC195" s="38" t="s">
        <v>192</v>
      </c>
      <c r="AD195" s="38" t="s">
        <v>3822</v>
      </c>
      <c r="AE195" s="38" t="s">
        <v>54</v>
      </c>
      <c r="AF195" s="38" t="s">
        <v>54</v>
      </c>
    </row>
    <row r="196">
      <c r="A196" s="38" t="s">
        <v>1025</v>
      </c>
      <c r="B196" s="37">
        <v>1.7690297541899695</v>
      </c>
      <c r="C196" s="37">
        <v>1.8641730626753419</v>
      </c>
      <c r="D196" s="38" t="s">
        <v>258</v>
      </c>
      <c r="E196" s="38" t="s">
        <v>1275</v>
      </c>
      <c r="F196" s="38" t="s">
        <v>174</v>
      </c>
      <c r="G196" s="38" t="s">
        <v>1276</v>
      </c>
      <c r="H196" s="38" t="s">
        <v>1028</v>
      </c>
      <c r="I196" s="38" t="s">
        <v>258</v>
      </c>
      <c r="J196" s="37">
        <v>0.85</v>
      </c>
      <c r="K196" s="38" t="s">
        <v>1029</v>
      </c>
      <c r="L196" s="38" t="s">
        <v>243</v>
      </c>
      <c r="M196" s="38" t="s">
        <v>54</v>
      </c>
      <c r="N196" s="38" t="s">
        <v>49</v>
      </c>
      <c r="O196" s="38" t="s">
        <v>50</v>
      </c>
      <c r="P196" s="38" t="s">
        <v>101</v>
      </c>
      <c r="Q196" s="38" t="s">
        <v>52</v>
      </c>
      <c r="R196" s="38" t="s">
        <v>53</v>
      </c>
      <c r="S196" s="38" t="s">
        <v>54</v>
      </c>
      <c r="T196" s="38" t="s">
        <v>55</v>
      </c>
      <c r="U196" s="38" t="s">
        <v>56</v>
      </c>
      <c r="V196" s="38" t="s">
        <v>57</v>
      </c>
      <c r="W196" s="37">
        <v>2.810975E8</v>
      </c>
      <c r="X196" s="38" t="s">
        <v>58</v>
      </c>
      <c r="Y196" s="38" t="s">
        <v>59</v>
      </c>
      <c r="Z196" s="38" t="s">
        <v>60</v>
      </c>
      <c r="AA196" s="38" t="s">
        <v>61</v>
      </c>
      <c r="AB196" s="38" t="s">
        <v>177</v>
      </c>
      <c r="AC196" s="38" t="s">
        <v>192</v>
      </c>
      <c r="AD196" s="38" t="s">
        <v>3823</v>
      </c>
      <c r="AE196" s="37">
        <v>0.157</v>
      </c>
      <c r="AF196" s="37">
        <v>0.157</v>
      </c>
    </row>
    <row r="197">
      <c r="A197" s="38" t="s">
        <v>1277</v>
      </c>
      <c r="B197" s="37">
        <v>8.620724838441346</v>
      </c>
      <c r="C197" s="37">
        <v>8.901228724292618</v>
      </c>
      <c r="D197" s="38" t="s">
        <v>368</v>
      </c>
      <c r="E197" s="38" t="s">
        <v>1278</v>
      </c>
      <c r="F197" s="38" t="s">
        <v>3824</v>
      </c>
      <c r="G197" s="38" t="s">
        <v>1279</v>
      </c>
      <c r="H197" s="38" t="s">
        <v>1280</v>
      </c>
      <c r="I197" s="38" t="s">
        <v>368</v>
      </c>
      <c r="J197" s="37">
        <v>8.801</v>
      </c>
      <c r="K197" s="38" t="s">
        <v>1281</v>
      </c>
      <c r="L197" s="38" t="s">
        <v>1282</v>
      </c>
      <c r="M197" s="38" t="s">
        <v>54</v>
      </c>
      <c r="N197" s="38" t="s">
        <v>115</v>
      </c>
      <c r="O197" s="38" t="s">
        <v>116</v>
      </c>
      <c r="P197" s="38" t="s">
        <v>686</v>
      </c>
      <c r="Q197" s="38" t="s">
        <v>459</v>
      </c>
      <c r="R197" s="38" t="s">
        <v>687</v>
      </c>
      <c r="S197" s="38" t="s">
        <v>54</v>
      </c>
      <c r="T197" s="38" t="s">
        <v>55</v>
      </c>
      <c r="U197" s="38" t="s">
        <v>70</v>
      </c>
      <c r="V197" s="38" t="s">
        <v>392</v>
      </c>
      <c r="W197" s="37">
        <v>5.2704E7</v>
      </c>
      <c r="X197" s="38" t="s">
        <v>134</v>
      </c>
      <c r="Y197" s="38" t="s">
        <v>1283</v>
      </c>
      <c r="Z197" s="38" t="s">
        <v>60</v>
      </c>
      <c r="AA197" s="38" t="s">
        <v>61</v>
      </c>
      <c r="AB197" s="38" t="s">
        <v>62</v>
      </c>
      <c r="AC197" s="38" t="s">
        <v>62</v>
      </c>
      <c r="AD197" s="38" t="s">
        <v>3825</v>
      </c>
      <c r="AE197" s="38" t="s">
        <v>54</v>
      </c>
      <c r="AF197" s="38" t="s">
        <v>54</v>
      </c>
    </row>
    <row r="198">
      <c r="A198" s="38" t="s">
        <v>996</v>
      </c>
      <c r="B198" s="38" t="s">
        <v>54</v>
      </c>
      <c r="C198" s="38" t="s">
        <v>54</v>
      </c>
      <c r="D198" s="38" t="s">
        <v>45</v>
      </c>
      <c r="E198" s="38" t="s">
        <v>1286</v>
      </c>
      <c r="F198" s="38" t="s">
        <v>174</v>
      </c>
      <c r="G198" s="38" t="s">
        <v>1287</v>
      </c>
      <c r="H198" s="38" t="s">
        <v>999</v>
      </c>
      <c r="I198" s="38" t="s">
        <v>45</v>
      </c>
      <c r="J198" s="37">
        <v>0.0</v>
      </c>
      <c r="K198" s="38" t="s">
        <v>1000</v>
      </c>
      <c r="L198" s="38" t="s">
        <v>1288</v>
      </c>
      <c r="M198" s="38" t="s">
        <v>54</v>
      </c>
      <c r="N198" s="38" t="s">
        <v>49</v>
      </c>
      <c r="O198" s="38" t="s">
        <v>50</v>
      </c>
      <c r="P198" s="38" t="s">
        <v>158</v>
      </c>
      <c r="Q198" s="38" t="s">
        <v>52</v>
      </c>
      <c r="R198" s="38" t="s">
        <v>53</v>
      </c>
      <c r="S198" s="38" t="s">
        <v>54</v>
      </c>
      <c r="T198" s="38" t="s">
        <v>55</v>
      </c>
      <c r="U198" s="38" t="s">
        <v>70</v>
      </c>
      <c r="V198" s="38" t="s">
        <v>71</v>
      </c>
      <c r="W198" s="37">
        <v>2.25864E8</v>
      </c>
      <c r="X198" s="38" t="s">
        <v>85</v>
      </c>
      <c r="Y198" s="38" t="s">
        <v>515</v>
      </c>
      <c r="Z198" s="38" t="s">
        <v>60</v>
      </c>
      <c r="AA198" s="38" t="s">
        <v>61</v>
      </c>
      <c r="AB198" s="38" t="s">
        <v>87</v>
      </c>
      <c r="AC198" s="38" t="s">
        <v>515</v>
      </c>
      <c r="AD198" s="38" t="s">
        <v>3826</v>
      </c>
      <c r="AE198" s="38" t="s">
        <v>54</v>
      </c>
      <c r="AF198" s="38" t="s">
        <v>54</v>
      </c>
    </row>
    <row r="199">
      <c r="A199" s="38" t="s">
        <v>996</v>
      </c>
      <c r="B199" s="38" t="s">
        <v>54</v>
      </c>
      <c r="C199" s="38" t="s">
        <v>54</v>
      </c>
      <c r="D199" s="38" t="s">
        <v>45</v>
      </c>
      <c r="E199" s="38" t="s">
        <v>1289</v>
      </c>
      <c r="F199" s="38" t="s">
        <v>174</v>
      </c>
      <c r="G199" s="38" t="s">
        <v>1290</v>
      </c>
      <c r="H199" s="38" t="s">
        <v>999</v>
      </c>
      <c r="I199" s="38" t="s">
        <v>45</v>
      </c>
      <c r="J199" s="37">
        <v>0.0</v>
      </c>
      <c r="K199" s="38" t="s">
        <v>1000</v>
      </c>
      <c r="L199" s="38" t="s">
        <v>1291</v>
      </c>
      <c r="M199" s="38" t="s">
        <v>54</v>
      </c>
      <c r="N199" s="38" t="s">
        <v>49</v>
      </c>
      <c r="O199" s="38" t="s">
        <v>50</v>
      </c>
      <c r="P199" s="38" t="s">
        <v>162</v>
      </c>
      <c r="Q199" s="38" t="s">
        <v>52</v>
      </c>
      <c r="R199" s="38" t="s">
        <v>53</v>
      </c>
      <c r="S199" s="38" t="s">
        <v>54</v>
      </c>
      <c r="T199" s="38" t="s">
        <v>55</v>
      </c>
      <c r="U199" s="38" t="s">
        <v>70</v>
      </c>
      <c r="V199" s="38" t="s">
        <v>71</v>
      </c>
      <c r="W199" s="37">
        <v>2.25864E8</v>
      </c>
      <c r="X199" s="38" t="s">
        <v>85</v>
      </c>
      <c r="Y199" s="38" t="s">
        <v>515</v>
      </c>
      <c r="Z199" s="38" t="s">
        <v>60</v>
      </c>
      <c r="AA199" s="38" t="s">
        <v>61</v>
      </c>
      <c r="AB199" s="38" t="s">
        <v>87</v>
      </c>
      <c r="AC199" s="38" t="s">
        <v>515</v>
      </c>
      <c r="AD199" s="38" t="s">
        <v>3827</v>
      </c>
      <c r="AE199" s="38" t="s">
        <v>54</v>
      </c>
      <c r="AF199" s="38" t="s">
        <v>54</v>
      </c>
    </row>
    <row r="200">
      <c r="A200" s="38" t="s">
        <v>1292</v>
      </c>
      <c r="B200" s="38" t="s">
        <v>54</v>
      </c>
      <c r="C200" s="38" t="s">
        <v>54</v>
      </c>
      <c r="D200" s="38" t="s">
        <v>45</v>
      </c>
      <c r="E200" s="38" t="s">
        <v>1293</v>
      </c>
      <c r="F200" s="38" t="s">
        <v>174</v>
      </c>
      <c r="G200" s="38" t="s">
        <v>1294</v>
      </c>
      <c r="H200" s="38" t="s">
        <v>1295</v>
      </c>
      <c r="I200" s="38" t="s">
        <v>45</v>
      </c>
      <c r="J200" s="37">
        <v>0.0</v>
      </c>
      <c r="K200" s="38" t="s">
        <v>1296</v>
      </c>
      <c r="L200" s="38" t="s">
        <v>1297</v>
      </c>
      <c r="M200" s="38" t="s">
        <v>54</v>
      </c>
      <c r="N200" s="38" t="s">
        <v>49</v>
      </c>
      <c r="O200" s="38" t="s">
        <v>50</v>
      </c>
      <c r="P200" s="38" t="s">
        <v>51</v>
      </c>
      <c r="Q200" s="38" t="s">
        <v>52</v>
      </c>
      <c r="R200" s="38" t="s">
        <v>53</v>
      </c>
      <c r="S200" s="38" t="s">
        <v>54</v>
      </c>
      <c r="T200" s="38" t="s">
        <v>55</v>
      </c>
      <c r="U200" s="38" t="s">
        <v>56</v>
      </c>
      <c r="V200" s="38" t="s">
        <v>57</v>
      </c>
      <c r="W200" s="37">
        <v>3.94352E8</v>
      </c>
      <c r="X200" s="38" t="s">
        <v>422</v>
      </c>
      <c r="Y200" s="38" t="s">
        <v>977</v>
      </c>
      <c r="Z200" s="38" t="s">
        <v>60</v>
      </c>
      <c r="AA200" s="38" t="s">
        <v>61</v>
      </c>
      <c r="AB200" s="38" t="s">
        <v>228</v>
      </c>
      <c r="AC200" s="38" t="s">
        <v>665</v>
      </c>
      <c r="AD200" s="38" t="s">
        <v>3828</v>
      </c>
      <c r="AE200" s="38" t="s">
        <v>54</v>
      </c>
      <c r="AF200" s="38" t="s">
        <v>54</v>
      </c>
    </row>
    <row r="201">
      <c r="A201" s="38" t="s">
        <v>1292</v>
      </c>
      <c r="B201" s="38" t="s">
        <v>54</v>
      </c>
      <c r="C201" s="38" t="s">
        <v>54</v>
      </c>
      <c r="D201" s="38" t="s">
        <v>45</v>
      </c>
      <c r="E201" s="38" t="s">
        <v>1300</v>
      </c>
      <c r="F201" s="38" t="s">
        <v>174</v>
      </c>
      <c r="G201" s="38" t="s">
        <v>1301</v>
      </c>
      <c r="H201" s="38" t="s">
        <v>1295</v>
      </c>
      <c r="I201" s="38" t="s">
        <v>45</v>
      </c>
      <c r="J201" s="37">
        <v>0.0</v>
      </c>
      <c r="K201" s="38" t="s">
        <v>1296</v>
      </c>
      <c r="L201" s="38" t="s">
        <v>1302</v>
      </c>
      <c r="M201" s="38" t="s">
        <v>54</v>
      </c>
      <c r="N201" s="38" t="s">
        <v>49</v>
      </c>
      <c r="O201" s="38" t="s">
        <v>50</v>
      </c>
      <c r="P201" s="38" t="s">
        <v>101</v>
      </c>
      <c r="Q201" s="38" t="s">
        <v>52</v>
      </c>
      <c r="R201" s="38" t="s">
        <v>53</v>
      </c>
      <c r="S201" s="38" t="s">
        <v>54</v>
      </c>
      <c r="T201" s="38" t="s">
        <v>55</v>
      </c>
      <c r="U201" s="38" t="s">
        <v>56</v>
      </c>
      <c r="V201" s="38" t="s">
        <v>57</v>
      </c>
      <c r="W201" s="37">
        <v>3.94352E8</v>
      </c>
      <c r="X201" s="38" t="s">
        <v>422</v>
      </c>
      <c r="Y201" s="38" t="s">
        <v>977</v>
      </c>
      <c r="Z201" s="38" t="s">
        <v>60</v>
      </c>
      <c r="AA201" s="38" t="s">
        <v>61</v>
      </c>
      <c r="AB201" s="38" t="s">
        <v>228</v>
      </c>
      <c r="AC201" s="38" t="s">
        <v>665</v>
      </c>
      <c r="AD201" s="38" t="s">
        <v>3829</v>
      </c>
      <c r="AE201" s="38" t="s">
        <v>54</v>
      </c>
      <c r="AF201" s="38" t="s">
        <v>54</v>
      </c>
    </row>
    <row r="202">
      <c r="A202" s="38" t="s">
        <v>1292</v>
      </c>
      <c r="B202" s="38" t="s">
        <v>54</v>
      </c>
      <c r="C202" s="38" t="s">
        <v>54</v>
      </c>
      <c r="D202" s="38" t="s">
        <v>45</v>
      </c>
      <c r="E202" s="38" t="s">
        <v>1303</v>
      </c>
      <c r="F202" s="38" t="s">
        <v>174</v>
      </c>
      <c r="G202" s="38" t="s">
        <v>1304</v>
      </c>
      <c r="H202" s="38" t="s">
        <v>1295</v>
      </c>
      <c r="I202" s="38" t="s">
        <v>45</v>
      </c>
      <c r="J202" s="37">
        <v>0.0</v>
      </c>
      <c r="K202" s="38" t="s">
        <v>1296</v>
      </c>
      <c r="L202" s="38" t="s">
        <v>1302</v>
      </c>
      <c r="M202" s="38" t="s">
        <v>54</v>
      </c>
      <c r="N202" s="38" t="s">
        <v>49</v>
      </c>
      <c r="O202" s="38" t="s">
        <v>50</v>
      </c>
      <c r="P202" s="38" t="s">
        <v>84</v>
      </c>
      <c r="Q202" s="38" t="s">
        <v>52</v>
      </c>
      <c r="R202" s="38" t="s">
        <v>53</v>
      </c>
      <c r="S202" s="38" t="s">
        <v>54</v>
      </c>
      <c r="T202" s="38" t="s">
        <v>55</v>
      </c>
      <c r="U202" s="38" t="s">
        <v>70</v>
      </c>
      <c r="V202" s="38" t="s">
        <v>71</v>
      </c>
      <c r="W202" s="37">
        <v>3.94352E8</v>
      </c>
      <c r="X202" s="38" t="s">
        <v>422</v>
      </c>
      <c r="Y202" s="38" t="s">
        <v>977</v>
      </c>
      <c r="Z202" s="38" t="s">
        <v>60</v>
      </c>
      <c r="AA202" s="38" t="s">
        <v>61</v>
      </c>
      <c r="AB202" s="38" t="s">
        <v>228</v>
      </c>
      <c r="AC202" s="38" t="s">
        <v>665</v>
      </c>
      <c r="AD202" s="38" t="s">
        <v>3830</v>
      </c>
      <c r="AE202" s="38" t="s">
        <v>54</v>
      </c>
      <c r="AF202" s="38" t="s">
        <v>54</v>
      </c>
    </row>
    <row r="203">
      <c r="A203" s="38" t="s">
        <v>1292</v>
      </c>
      <c r="B203" s="38" t="s">
        <v>54</v>
      </c>
      <c r="C203" s="38" t="s">
        <v>54</v>
      </c>
      <c r="D203" s="38" t="s">
        <v>45</v>
      </c>
      <c r="E203" s="38" t="s">
        <v>1305</v>
      </c>
      <c r="F203" s="38" t="s">
        <v>174</v>
      </c>
      <c r="G203" s="38" t="s">
        <v>1306</v>
      </c>
      <c r="H203" s="38" t="s">
        <v>1295</v>
      </c>
      <c r="I203" s="38" t="s">
        <v>45</v>
      </c>
      <c r="J203" s="37">
        <v>0.0</v>
      </c>
      <c r="K203" s="38" t="s">
        <v>1296</v>
      </c>
      <c r="L203" s="38" t="s">
        <v>1307</v>
      </c>
      <c r="M203" s="38" t="s">
        <v>54</v>
      </c>
      <c r="N203" s="38" t="s">
        <v>49</v>
      </c>
      <c r="O203" s="38" t="s">
        <v>50</v>
      </c>
      <c r="P203" s="38" t="s">
        <v>104</v>
      </c>
      <c r="Q203" s="38" t="s">
        <v>52</v>
      </c>
      <c r="R203" s="38" t="s">
        <v>53</v>
      </c>
      <c r="S203" s="38" t="s">
        <v>54</v>
      </c>
      <c r="T203" s="38" t="s">
        <v>55</v>
      </c>
      <c r="U203" s="38" t="s">
        <v>56</v>
      </c>
      <c r="V203" s="38" t="s">
        <v>57</v>
      </c>
      <c r="W203" s="37">
        <v>3.94352E8</v>
      </c>
      <c r="X203" s="38" t="s">
        <v>422</v>
      </c>
      <c r="Y203" s="38" t="s">
        <v>977</v>
      </c>
      <c r="Z203" s="38" t="s">
        <v>60</v>
      </c>
      <c r="AA203" s="38" t="s">
        <v>61</v>
      </c>
      <c r="AB203" s="38" t="s">
        <v>228</v>
      </c>
      <c r="AC203" s="38" t="s">
        <v>665</v>
      </c>
      <c r="AD203" s="38" t="s">
        <v>3831</v>
      </c>
      <c r="AE203" s="38" t="s">
        <v>54</v>
      </c>
      <c r="AF203" s="38" t="s">
        <v>54</v>
      </c>
    </row>
    <row r="204">
      <c r="A204" s="38" t="s">
        <v>1292</v>
      </c>
      <c r="B204" s="38" t="s">
        <v>54</v>
      </c>
      <c r="C204" s="38" t="s">
        <v>54</v>
      </c>
      <c r="D204" s="38" t="s">
        <v>45</v>
      </c>
      <c r="E204" s="38" t="s">
        <v>1308</v>
      </c>
      <c r="F204" s="38" t="s">
        <v>174</v>
      </c>
      <c r="G204" s="38" t="s">
        <v>1309</v>
      </c>
      <c r="H204" s="38" t="s">
        <v>1295</v>
      </c>
      <c r="I204" s="38" t="s">
        <v>45</v>
      </c>
      <c r="J204" s="37">
        <v>0.0</v>
      </c>
      <c r="K204" s="38" t="s">
        <v>1296</v>
      </c>
      <c r="L204" s="38" t="s">
        <v>1307</v>
      </c>
      <c r="M204" s="38" t="s">
        <v>54</v>
      </c>
      <c r="N204" s="38" t="s">
        <v>49</v>
      </c>
      <c r="O204" s="38" t="s">
        <v>50</v>
      </c>
      <c r="P204" s="38" t="s">
        <v>94</v>
      </c>
      <c r="Q204" s="38" t="s">
        <v>52</v>
      </c>
      <c r="R204" s="38" t="s">
        <v>53</v>
      </c>
      <c r="S204" s="38" t="s">
        <v>54</v>
      </c>
      <c r="T204" s="38" t="s">
        <v>55</v>
      </c>
      <c r="U204" s="38" t="s">
        <v>56</v>
      </c>
      <c r="V204" s="38" t="s">
        <v>57</v>
      </c>
      <c r="W204" s="37">
        <v>3.94352E8</v>
      </c>
      <c r="X204" s="38" t="s">
        <v>422</v>
      </c>
      <c r="Y204" s="38" t="s">
        <v>977</v>
      </c>
      <c r="Z204" s="38" t="s">
        <v>60</v>
      </c>
      <c r="AA204" s="38" t="s">
        <v>61</v>
      </c>
      <c r="AB204" s="38" t="s">
        <v>228</v>
      </c>
      <c r="AC204" s="38" t="s">
        <v>665</v>
      </c>
      <c r="AD204" s="38" t="s">
        <v>3832</v>
      </c>
      <c r="AE204" s="38" t="s">
        <v>54</v>
      </c>
      <c r="AF204" s="38" t="s">
        <v>54</v>
      </c>
    </row>
    <row r="205">
      <c r="A205" s="38" t="s">
        <v>1076</v>
      </c>
      <c r="B205" s="38" t="s">
        <v>54</v>
      </c>
      <c r="C205" s="38" t="s">
        <v>54</v>
      </c>
      <c r="D205" s="38" t="s">
        <v>185</v>
      </c>
      <c r="E205" s="38" t="s">
        <v>1310</v>
      </c>
      <c r="F205" s="38" t="s">
        <v>174</v>
      </c>
      <c r="G205" s="38" t="s">
        <v>1311</v>
      </c>
      <c r="H205" s="38" t="s">
        <v>1079</v>
      </c>
      <c r="I205" s="38" t="s">
        <v>185</v>
      </c>
      <c r="J205" s="37">
        <v>0.0</v>
      </c>
      <c r="K205" s="38" t="s">
        <v>1080</v>
      </c>
      <c r="L205" s="38" t="s">
        <v>1096</v>
      </c>
      <c r="M205" s="38" t="s">
        <v>54</v>
      </c>
      <c r="N205" s="38" t="s">
        <v>49</v>
      </c>
      <c r="O205" s="38" t="s">
        <v>50</v>
      </c>
      <c r="P205" s="38" t="s">
        <v>1312</v>
      </c>
      <c r="Q205" s="38" t="s">
        <v>52</v>
      </c>
      <c r="R205" s="38" t="s">
        <v>53</v>
      </c>
      <c r="S205" s="38" t="s">
        <v>54</v>
      </c>
      <c r="T205" s="38" t="s">
        <v>885</v>
      </c>
      <c r="U205" s="38" t="s">
        <v>56</v>
      </c>
      <c r="V205" s="38" t="s">
        <v>57</v>
      </c>
      <c r="W205" s="37">
        <v>4.5882855E8</v>
      </c>
      <c r="X205" s="38" t="s">
        <v>134</v>
      </c>
      <c r="Y205" s="38" t="s">
        <v>544</v>
      </c>
      <c r="Z205" s="38" t="s">
        <v>60</v>
      </c>
      <c r="AA205" s="38" t="s">
        <v>61</v>
      </c>
      <c r="AB205" s="38" t="s">
        <v>136</v>
      </c>
      <c r="AC205" s="38" t="s">
        <v>545</v>
      </c>
      <c r="AD205" s="38" t="s">
        <v>3833</v>
      </c>
      <c r="AE205" s="38" t="s">
        <v>54</v>
      </c>
      <c r="AF205" s="38" t="s">
        <v>54</v>
      </c>
    </row>
    <row r="206">
      <c r="A206" s="38" t="s">
        <v>1076</v>
      </c>
      <c r="B206" s="38" t="s">
        <v>54</v>
      </c>
      <c r="C206" s="38" t="s">
        <v>54</v>
      </c>
      <c r="D206" s="38" t="s">
        <v>185</v>
      </c>
      <c r="E206" s="38" t="s">
        <v>1314</v>
      </c>
      <c r="F206" s="38" t="s">
        <v>174</v>
      </c>
      <c r="G206" s="38" t="s">
        <v>1315</v>
      </c>
      <c r="H206" s="38" t="s">
        <v>1079</v>
      </c>
      <c r="I206" s="38" t="s">
        <v>185</v>
      </c>
      <c r="J206" s="37">
        <v>0.0</v>
      </c>
      <c r="K206" s="38" t="s">
        <v>1080</v>
      </c>
      <c r="L206" s="38" t="s">
        <v>1087</v>
      </c>
      <c r="M206" s="38" t="s">
        <v>54</v>
      </c>
      <c r="N206" s="38" t="s">
        <v>49</v>
      </c>
      <c r="O206" s="38" t="s">
        <v>50</v>
      </c>
      <c r="P206" s="38" t="s">
        <v>1316</v>
      </c>
      <c r="Q206" s="38" t="s">
        <v>52</v>
      </c>
      <c r="R206" s="38" t="s">
        <v>53</v>
      </c>
      <c r="S206" s="38" t="s">
        <v>54</v>
      </c>
      <c r="T206" s="38" t="s">
        <v>885</v>
      </c>
      <c r="U206" s="38" t="s">
        <v>56</v>
      </c>
      <c r="V206" s="38" t="s">
        <v>57</v>
      </c>
      <c r="W206" s="37">
        <v>7.93037E8</v>
      </c>
      <c r="X206" s="38" t="s">
        <v>134</v>
      </c>
      <c r="Y206" s="38" t="s">
        <v>544</v>
      </c>
      <c r="Z206" s="38" t="s">
        <v>60</v>
      </c>
      <c r="AA206" s="38" t="s">
        <v>61</v>
      </c>
      <c r="AB206" s="38" t="s">
        <v>136</v>
      </c>
      <c r="AC206" s="38" t="s">
        <v>545</v>
      </c>
      <c r="AD206" s="38" t="s">
        <v>3834</v>
      </c>
      <c r="AE206" s="38" t="s">
        <v>54</v>
      </c>
      <c r="AF206" s="38" t="s">
        <v>54</v>
      </c>
    </row>
    <row r="207">
      <c r="A207" s="38" t="s">
        <v>1317</v>
      </c>
      <c r="B207" s="37">
        <v>5.461289131147639</v>
      </c>
      <c r="C207" s="37">
        <v>5.585004156722372</v>
      </c>
      <c r="D207" s="38" t="s">
        <v>367</v>
      </c>
      <c r="E207" s="38" t="s">
        <v>1318</v>
      </c>
      <c r="F207" s="38" t="s">
        <v>3835</v>
      </c>
      <c r="G207" s="38" t="s">
        <v>1319</v>
      </c>
      <c r="H207" s="38" t="s">
        <v>1320</v>
      </c>
      <c r="I207" s="38" t="s">
        <v>367</v>
      </c>
      <c r="J207" s="37">
        <v>3.5</v>
      </c>
      <c r="K207" s="38" t="s">
        <v>1321</v>
      </c>
      <c r="L207" s="38" t="s">
        <v>663</v>
      </c>
      <c r="M207" s="37">
        <v>3.5</v>
      </c>
      <c r="N207" s="38" t="s">
        <v>115</v>
      </c>
      <c r="O207" s="38" t="s">
        <v>116</v>
      </c>
      <c r="P207" s="38" t="s">
        <v>262</v>
      </c>
      <c r="Q207" s="38" t="s">
        <v>459</v>
      </c>
      <c r="R207" s="38" t="s">
        <v>53</v>
      </c>
      <c r="S207" s="38" t="s">
        <v>411</v>
      </c>
      <c r="T207" s="38" t="s">
        <v>55</v>
      </c>
      <c r="U207" s="38" t="s">
        <v>56</v>
      </c>
      <c r="V207" s="38" t="s">
        <v>71</v>
      </c>
      <c r="W207" s="37">
        <v>8.4954E8</v>
      </c>
      <c r="X207" s="38" t="s">
        <v>309</v>
      </c>
      <c r="Y207" s="38" t="s">
        <v>1322</v>
      </c>
      <c r="Z207" s="38" t="s">
        <v>60</v>
      </c>
      <c r="AA207" s="38" t="s">
        <v>61</v>
      </c>
      <c r="AB207" s="38" t="s">
        <v>309</v>
      </c>
      <c r="AC207" s="38" t="s">
        <v>1323</v>
      </c>
      <c r="AD207" s="38" t="s">
        <v>3836</v>
      </c>
      <c r="AE207" s="37">
        <v>3.684</v>
      </c>
      <c r="AF207" s="37">
        <v>3.5</v>
      </c>
    </row>
    <row r="208">
      <c r="A208" s="38" t="s">
        <v>1317</v>
      </c>
      <c r="B208" s="37">
        <v>5.4472005611272145</v>
      </c>
      <c r="C208" s="37">
        <v>5.585581558774075</v>
      </c>
      <c r="D208" s="38" t="s">
        <v>367</v>
      </c>
      <c r="E208" s="38" t="s">
        <v>1326</v>
      </c>
      <c r="F208" s="38" t="s">
        <v>3837</v>
      </c>
      <c r="G208" s="38" t="s">
        <v>1327</v>
      </c>
      <c r="H208" s="38" t="s">
        <v>1320</v>
      </c>
      <c r="I208" s="38" t="s">
        <v>367</v>
      </c>
      <c r="J208" s="37">
        <v>3.5</v>
      </c>
      <c r="K208" s="38" t="s">
        <v>1321</v>
      </c>
      <c r="L208" s="38" t="s">
        <v>663</v>
      </c>
      <c r="M208" s="37">
        <v>3.5</v>
      </c>
      <c r="N208" s="38" t="s">
        <v>115</v>
      </c>
      <c r="O208" s="38" t="s">
        <v>116</v>
      </c>
      <c r="P208" s="38" t="s">
        <v>271</v>
      </c>
      <c r="Q208" s="38" t="s">
        <v>459</v>
      </c>
      <c r="R208" s="38" t="s">
        <v>53</v>
      </c>
      <c r="S208" s="38" t="s">
        <v>411</v>
      </c>
      <c r="T208" s="38" t="s">
        <v>55</v>
      </c>
      <c r="U208" s="38" t="s">
        <v>56</v>
      </c>
      <c r="V208" s="38" t="s">
        <v>71</v>
      </c>
      <c r="W208" s="37">
        <v>8.4954E8</v>
      </c>
      <c r="X208" s="38" t="s">
        <v>309</v>
      </c>
      <c r="Y208" s="38" t="s">
        <v>1322</v>
      </c>
      <c r="Z208" s="38" t="s">
        <v>60</v>
      </c>
      <c r="AA208" s="38" t="s">
        <v>61</v>
      </c>
      <c r="AB208" s="38" t="s">
        <v>309</v>
      </c>
      <c r="AC208" s="38" t="s">
        <v>1323</v>
      </c>
      <c r="AD208" s="38" t="s">
        <v>3838</v>
      </c>
      <c r="AE208" s="37">
        <v>3.678</v>
      </c>
      <c r="AF208" s="37">
        <v>3.5</v>
      </c>
    </row>
    <row r="209">
      <c r="A209" s="38" t="s">
        <v>1317</v>
      </c>
      <c r="B209" s="37">
        <v>6.94857848385179</v>
      </c>
      <c r="C209" s="37">
        <v>7.163040140094</v>
      </c>
      <c r="D209" s="38" t="s">
        <v>367</v>
      </c>
      <c r="E209" s="38" t="s">
        <v>1328</v>
      </c>
      <c r="F209" s="38" t="s">
        <v>3839</v>
      </c>
      <c r="G209" s="38" t="s">
        <v>1329</v>
      </c>
      <c r="H209" s="38" t="s">
        <v>1320</v>
      </c>
      <c r="I209" s="38" t="s">
        <v>367</v>
      </c>
      <c r="J209" s="37">
        <v>5.0</v>
      </c>
      <c r="K209" s="38" t="s">
        <v>1321</v>
      </c>
      <c r="L209" s="38" t="s">
        <v>663</v>
      </c>
      <c r="M209" s="37">
        <v>5.125</v>
      </c>
      <c r="N209" s="38" t="s">
        <v>115</v>
      </c>
      <c r="O209" s="38" t="s">
        <v>116</v>
      </c>
      <c r="P209" s="38" t="s">
        <v>1330</v>
      </c>
      <c r="Q209" s="38" t="s">
        <v>459</v>
      </c>
      <c r="R209" s="38" t="s">
        <v>263</v>
      </c>
      <c r="S209" s="38" t="s">
        <v>411</v>
      </c>
      <c r="T209" s="38" t="s">
        <v>55</v>
      </c>
      <c r="U209" s="38" t="s">
        <v>56</v>
      </c>
      <c r="V209" s="38" t="s">
        <v>71</v>
      </c>
      <c r="W209" s="37">
        <v>1.525E9</v>
      </c>
      <c r="X209" s="38" t="s">
        <v>309</v>
      </c>
      <c r="Y209" s="38" t="s">
        <v>1322</v>
      </c>
      <c r="Z209" s="38" t="s">
        <v>60</v>
      </c>
      <c r="AA209" s="38" t="s">
        <v>61</v>
      </c>
      <c r="AB209" s="38" t="s">
        <v>309</v>
      </c>
      <c r="AC209" s="38" t="s">
        <v>1323</v>
      </c>
      <c r="AD209" s="38" t="s">
        <v>3840</v>
      </c>
      <c r="AE209" s="37">
        <v>5.107</v>
      </c>
      <c r="AF209" s="37">
        <v>5.125</v>
      </c>
    </row>
    <row r="210">
      <c r="A210" s="38" t="s">
        <v>1317</v>
      </c>
      <c r="B210" s="37">
        <v>7.045862997800088</v>
      </c>
      <c r="C210" s="37">
        <v>7.090931294787516</v>
      </c>
      <c r="D210" s="38" t="s">
        <v>367</v>
      </c>
      <c r="E210" s="38" t="s">
        <v>1332</v>
      </c>
      <c r="F210" s="38" t="s">
        <v>3841</v>
      </c>
      <c r="G210" s="38" t="s">
        <v>1333</v>
      </c>
      <c r="H210" s="38" t="s">
        <v>1320</v>
      </c>
      <c r="I210" s="38" t="s">
        <v>367</v>
      </c>
      <c r="J210" s="37">
        <v>5.0</v>
      </c>
      <c r="K210" s="38" t="s">
        <v>1321</v>
      </c>
      <c r="L210" s="38" t="s">
        <v>663</v>
      </c>
      <c r="M210" s="37">
        <v>5.125</v>
      </c>
      <c r="N210" s="38" t="s">
        <v>115</v>
      </c>
      <c r="O210" s="38" t="s">
        <v>116</v>
      </c>
      <c r="P210" s="38" t="s">
        <v>1334</v>
      </c>
      <c r="Q210" s="38" t="s">
        <v>459</v>
      </c>
      <c r="R210" s="38" t="s">
        <v>263</v>
      </c>
      <c r="S210" s="38" t="s">
        <v>411</v>
      </c>
      <c r="T210" s="38" t="s">
        <v>55</v>
      </c>
      <c r="U210" s="38" t="s">
        <v>56</v>
      </c>
      <c r="V210" s="38" t="s">
        <v>71</v>
      </c>
      <c r="W210" s="37">
        <v>1.525E9</v>
      </c>
      <c r="X210" s="38" t="s">
        <v>309</v>
      </c>
      <c r="Y210" s="38" t="s">
        <v>1322</v>
      </c>
      <c r="Z210" s="38" t="s">
        <v>60</v>
      </c>
      <c r="AA210" s="38" t="s">
        <v>61</v>
      </c>
      <c r="AB210" s="38" t="s">
        <v>309</v>
      </c>
      <c r="AC210" s="38" t="s">
        <v>1323</v>
      </c>
      <c r="AD210" s="38" t="s">
        <v>3842</v>
      </c>
      <c r="AE210" s="37">
        <v>5.138</v>
      </c>
      <c r="AF210" s="37">
        <v>5.125</v>
      </c>
    </row>
    <row r="211">
      <c r="A211" s="38" t="s">
        <v>1336</v>
      </c>
      <c r="B211" s="37">
        <v>4.643964125476175</v>
      </c>
      <c r="C211" s="37">
        <v>4.753077109238795</v>
      </c>
      <c r="D211" s="38" t="s">
        <v>170</v>
      </c>
      <c r="E211" s="38" t="s">
        <v>1337</v>
      </c>
      <c r="F211" s="38" t="s">
        <v>3843</v>
      </c>
      <c r="G211" s="38" t="s">
        <v>1338</v>
      </c>
      <c r="H211" s="38" t="s">
        <v>1339</v>
      </c>
      <c r="I211" s="38" t="s">
        <v>170</v>
      </c>
      <c r="J211" s="37">
        <v>1.75</v>
      </c>
      <c r="K211" s="38" t="s">
        <v>1341</v>
      </c>
      <c r="L211" s="38" t="s">
        <v>1342</v>
      </c>
      <c r="M211" s="37">
        <v>2.017</v>
      </c>
      <c r="N211" s="38" t="s">
        <v>115</v>
      </c>
      <c r="O211" s="38" t="s">
        <v>116</v>
      </c>
      <c r="P211" s="38" t="s">
        <v>226</v>
      </c>
      <c r="Q211" s="38" t="s">
        <v>52</v>
      </c>
      <c r="R211" s="38" t="s">
        <v>53</v>
      </c>
      <c r="S211" s="38" t="s">
        <v>175</v>
      </c>
      <c r="T211" s="38" t="s">
        <v>55</v>
      </c>
      <c r="U211" s="38" t="s">
        <v>56</v>
      </c>
      <c r="V211" s="38" t="s">
        <v>57</v>
      </c>
      <c r="W211" s="37">
        <v>7.98147E8</v>
      </c>
      <c r="X211" s="38" t="s">
        <v>485</v>
      </c>
      <c r="Y211" s="38" t="s">
        <v>599</v>
      </c>
      <c r="Z211" s="38" t="s">
        <v>60</v>
      </c>
      <c r="AA211" s="38" t="s">
        <v>487</v>
      </c>
      <c r="AB211" s="38" t="s">
        <v>1152</v>
      </c>
      <c r="AC211" s="38" t="s">
        <v>1152</v>
      </c>
      <c r="AD211" s="38" t="s">
        <v>3844</v>
      </c>
      <c r="AE211" s="37">
        <v>2.021</v>
      </c>
      <c r="AF211" s="37">
        <v>2.017</v>
      </c>
    </row>
    <row r="212">
      <c r="A212" s="38" t="s">
        <v>642</v>
      </c>
      <c r="B212" s="37">
        <v>1.61019247808799</v>
      </c>
      <c r="C212" s="37">
        <v>1.6647000250314223</v>
      </c>
      <c r="D212" s="38" t="s">
        <v>367</v>
      </c>
      <c r="E212" s="38" t="s">
        <v>1345</v>
      </c>
      <c r="F212" s="38" t="s">
        <v>3845</v>
      </c>
      <c r="G212" s="38" t="s">
        <v>1346</v>
      </c>
      <c r="H212" s="38" t="s">
        <v>645</v>
      </c>
      <c r="I212" s="38" t="s">
        <v>367</v>
      </c>
      <c r="J212" s="37">
        <v>0.25</v>
      </c>
      <c r="K212" s="38" t="s">
        <v>1347</v>
      </c>
      <c r="L212" s="38" t="s">
        <v>1348</v>
      </c>
      <c r="M212" s="38" t="s">
        <v>54</v>
      </c>
      <c r="N212" s="38" t="s">
        <v>115</v>
      </c>
      <c r="O212" s="38" t="s">
        <v>116</v>
      </c>
      <c r="P212" s="38" t="s">
        <v>174</v>
      </c>
      <c r="Q212" s="38" t="s">
        <v>52</v>
      </c>
      <c r="R212" s="38" t="s">
        <v>53</v>
      </c>
      <c r="S212" s="38" t="s">
        <v>620</v>
      </c>
      <c r="T212" s="38" t="s">
        <v>55</v>
      </c>
      <c r="U212" s="38" t="s">
        <v>56</v>
      </c>
      <c r="V212" s="38" t="s">
        <v>57</v>
      </c>
      <c r="W212" s="37">
        <v>1.426475E9</v>
      </c>
      <c r="X212" s="38" t="s">
        <v>120</v>
      </c>
      <c r="Y212" s="38" t="s">
        <v>120</v>
      </c>
      <c r="Z212" s="38" t="s">
        <v>60</v>
      </c>
      <c r="AA212" s="38" t="s">
        <v>121</v>
      </c>
      <c r="AB212" s="38" t="s">
        <v>122</v>
      </c>
      <c r="AC212" s="38" t="s">
        <v>122</v>
      </c>
      <c r="AD212" s="38" t="s">
        <v>3846</v>
      </c>
      <c r="AE212" s="37">
        <v>0.302</v>
      </c>
      <c r="AF212" s="37">
        <v>0.302</v>
      </c>
    </row>
    <row r="213">
      <c r="A213" s="38" t="s">
        <v>642</v>
      </c>
      <c r="B213" s="37">
        <v>2.5261953889047835</v>
      </c>
      <c r="C213" s="37">
        <v>2.583762586288452</v>
      </c>
      <c r="D213" s="38" t="s">
        <v>367</v>
      </c>
      <c r="E213" s="38" t="s">
        <v>1350</v>
      </c>
      <c r="F213" s="38" t="s">
        <v>3847</v>
      </c>
      <c r="G213" s="38" t="s">
        <v>1351</v>
      </c>
      <c r="H213" s="38" t="s">
        <v>645</v>
      </c>
      <c r="I213" s="38" t="s">
        <v>367</v>
      </c>
      <c r="J213" s="37">
        <v>0.875</v>
      </c>
      <c r="K213" s="38" t="s">
        <v>1347</v>
      </c>
      <c r="L213" s="38" t="s">
        <v>1352</v>
      </c>
      <c r="M213" s="37">
        <v>1.027</v>
      </c>
      <c r="N213" s="38" t="s">
        <v>115</v>
      </c>
      <c r="O213" s="38" t="s">
        <v>116</v>
      </c>
      <c r="P213" s="38" t="s">
        <v>1353</v>
      </c>
      <c r="Q213" s="38" t="s">
        <v>52</v>
      </c>
      <c r="R213" s="38" t="s">
        <v>53</v>
      </c>
      <c r="S213" s="38" t="s">
        <v>620</v>
      </c>
      <c r="T213" s="38" t="s">
        <v>55</v>
      </c>
      <c r="U213" s="38" t="s">
        <v>56</v>
      </c>
      <c r="V213" s="38" t="s">
        <v>57</v>
      </c>
      <c r="W213" s="37">
        <v>8.55885E8</v>
      </c>
      <c r="X213" s="38" t="s">
        <v>120</v>
      </c>
      <c r="Y213" s="38" t="s">
        <v>120</v>
      </c>
      <c r="Z213" s="38" t="s">
        <v>60</v>
      </c>
      <c r="AA213" s="38" t="s">
        <v>121</v>
      </c>
      <c r="AB213" s="38" t="s">
        <v>122</v>
      </c>
      <c r="AC213" s="38" t="s">
        <v>122</v>
      </c>
      <c r="AD213" s="38" t="s">
        <v>3848</v>
      </c>
      <c r="AE213" s="37">
        <v>1.032</v>
      </c>
      <c r="AF213" s="37">
        <v>1.027</v>
      </c>
    </row>
    <row r="214">
      <c r="A214" s="38" t="s">
        <v>642</v>
      </c>
      <c r="B214" s="37">
        <v>2.8318988406737096</v>
      </c>
      <c r="C214" s="37">
        <v>2.8967313534731116</v>
      </c>
      <c r="D214" s="38" t="s">
        <v>367</v>
      </c>
      <c r="E214" s="38" t="s">
        <v>1356</v>
      </c>
      <c r="F214" s="38" t="s">
        <v>3849</v>
      </c>
      <c r="G214" s="38" t="s">
        <v>1357</v>
      </c>
      <c r="H214" s="38" t="s">
        <v>645</v>
      </c>
      <c r="I214" s="38" t="s">
        <v>367</v>
      </c>
      <c r="J214" s="37">
        <v>1.25</v>
      </c>
      <c r="K214" s="38" t="s">
        <v>1347</v>
      </c>
      <c r="L214" s="38" t="s">
        <v>1358</v>
      </c>
      <c r="M214" s="37">
        <v>1.306</v>
      </c>
      <c r="N214" s="38" t="s">
        <v>115</v>
      </c>
      <c r="O214" s="38" t="s">
        <v>116</v>
      </c>
      <c r="P214" s="38" t="s">
        <v>1353</v>
      </c>
      <c r="Q214" s="38" t="s">
        <v>52</v>
      </c>
      <c r="R214" s="38" t="s">
        <v>53</v>
      </c>
      <c r="S214" s="38" t="s">
        <v>620</v>
      </c>
      <c r="T214" s="38" t="s">
        <v>55</v>
      </c>
      <c r="U214" s="38" t="s">
        <v>56</v>
      </c>
      <c r="V214" s="38" t="s">
        <v>57</v>
      </c>
      <c r="W214" s="37">
        <v>8.55885E8</v>
      </c>
      <c r="X214" s="38" t="s">
        <v>120</v>
      </c>
      <c r="Y214" s="38" t="s">
        <v>120</v>
      </c>
      <c r="Z214" s="38" t="s">
        <v>60</v>
      </c>
      <c r="AA214" s="38" t="s">
        <v>121</v>
      </c>
      <c r="AB214" s="38" t="s">
        <v>122</v>
      </c>
      <c r="AC214" s="38" t="s">
        <v>122</v>
      </c>
      <c r="AD214" s="38" t="s">
        <v>3850</v>
      </c>
      <c r="AE214" s="37">
        <v>1.346</v>
      </c>
      <c r="AF214" s="37">
        <v>1.306</v>
      </c>
    </row>
    <row r="215">
      <c r="A215" s="38" t="s">
        <v>1360</v>
      </c>
      <c r="B215" s="37">
        <v>2.2883042201562653</v>
      </c>
      <c r="C215" s="37">
        <v>2.34187926073455</v>
      </c>
      <c r="D215" s="38" t="s">
        <v>200</v>
      </c>
      <c r="E215" s="38" t="s">
        <v>1361</v>
      </c>
      <c r="F215" s="38" t="s">
        <v>3851</v>
      </c>
      <c r="G215" s="38" t="s">
        <v>1362</v>
      </c>
      <c r="H215" s="38" t="s">
        <v>1363</v>
      </c>
      <c r="I215" s="38" t="s">
        <v>200</v>
      </c>
      <c r="J215" s="37">
        <v>0.75</v>
      </c>
      <c r="K215" s="38" t="s">
        <v>1321</v>
      </c>
      <c r="L215" s="38" t="s">
        <v>1364</v>
      </c>
      <c r="M215" s="38" t="s">
        <v>54</v>
      </c>
      <c r="N215" s="38" t="s">
        <v>115</v>
      </c>
      <c r="O215" s="38" t="s">
        <v>116</v>
      </c>
      <c r="P215" s="38" t="s">
        <v>226</v>
      </c>
      <c r="Q215" s="38" t="s">
        <v>52</v>
      </c>
      <c r="R215" s="38" t="s">
        <v>53</v>
      </c>
      <c r="S215" s="38" t="s">
        <v>175</v>
      </c>
      <c r="T215" s="38" t="s">
        <v>117</v>
      </c>
      <c r="U215" s="38" t="s">
        <v>56</v>
      </c>
      <c r="V215" s="38" t="s">
        <v>57</v>
      </c>
      <c r="W215" s="37">
        <v>9.62812E8</v>
      </c>
      <c r="X215" s="38" t="s">
        <v>120</v>
      </c>
      <c r="Y215" s="38" t="s">
        <v>120</v>
      </c>
      <c r="Z215" s="38" t="s">
        <v>60</v>
      </c>
      <c r="AA215" s="38" t="s">
        <v>121</v>
      </c>
      <c r="AB215" s="38" t="s">
        <v>1365</v>
      </c>
      <c r="AC215" s="38" t="s">
        <v>1365</v>
      </c>
      <c r="AD215" s="38" t="s">
        <v>3852</v>
      </c>
      <c r="AE215" s="37">
        <v>0.845</v>
      </c>
      <c r="AF215" s="37">
        <v>0.845</v>
      </c>
    </row>
    <row r="216">
      <c r="A216" s="38" t="s">
        <v>1360</v>
      </c>
      <c r="B216" s="37">
        <v>2.7453362528311804</v>
      </c>
      <c r="C216" s="37">
        <v>2.7957651135969868</v>
      </c>
      <c r="D216" s="38" t="s">
        <v>200</v>
      </c>
      <c r="E216" s="38" t="s">
        <v>1368</v>
      </c>
      <c r="F216" s="38" t="s">
        <v>3853</v>
      </c>
      <c r="G216" s="38" t="s">
        <v>1369</v>
      </c>
      <c r="H216" s="38" t="s">
        <v>1363</v>
      </c>
      <c r="I216" s="38" t="s">
        <v>200</v>
      </c>
      <c r="J216" s="37">
        <v>1.25</v>
      </c>
      <c r="K216" s="38" t="s">
        <v>1321</v>
      </c>
      <c r="L216" s="38" t="s">
        <v>1370</v>
      </c>
      <c r="M216" s="37">
        <v>1.2710000000000001</v>
      </c>
      <c r="N216" s="38" t="s">
        <v>115</v>
      </c>
      <c r="O216" s="38" t="s">
        <v>116</v>
      </c>
      <c r="P216" s="38" t="s">
        <v>226</v>
      </c>
      <c r="Q216" s="38" t="s">
        <v>52</v>
      </c>
      <c r="R216" s="38" t="s">
        <v>53</v>
      </c>
      <c r="S216" s="38" t="s">
        <v>175</v>
      </c>
      <c r="T216" s="38" t="s">
        <v>117</v>
      </c>
      <c r="U216" s="38" t="s">
        <v>56</v>
      </c>
      <c r="V216" s="38" t="s">
        <v>57</v>
      </c>
      <c r="W216" s="37">
        <v>7.36268E8</v>
      </c>
      <c r="X216" s="38" t="s">
        <v>120</v>
      </c>
      <c r="Y216" s="38" t="s">
        <v>120</v>
      </c>
      <c r="Z216" s="38" t="s">
        <v>60</v>
      </c>
      <c r="AA216" s="38" t="s">
        <v>121</v>
      </c>
      <c r="AB216" s="38" t="s">
        <v>1365</v>
      </c>
      <c r="AC216" s="38" t="s">
        <v>1365</v>
      </c>
      <c r="AD216" s="38" t="s">
        <v>3854</v>
      </c>
      <c r="AE216" s="37">
        <v>1.277</v>
      </c>
      <c r="AF216" s="37">
        <v>1.2710000000000001</v>
      </c>
    </row>
    <row r="217">
      <c r="A217" s="38" t="s">
        <v>1373</v>
      </c>
      <c r="B217" s="38" t="s">
        <v>54</v>
      </c>
      <c r="C217" s="38" t="s">
        <v>54</v>
      </c>
      <c r="D217" s="38" t="s">
        <v>45</v>
      </c>
      <c r="E217" s="38" t="s">
        <v>1374</v>
      </c>
      <c r="F217" s="38" t="s">
        <v>174</v>
      </c>
      <c r="G217" s="38" t="s">
        <v>1375</v>
      </c>
      <c r="H217" s="38" t="s">
        <v>1376</v>
      </c>
      <c r="I217" s="38" t="s">
        <v>45</v>
      </c>
      <c r="J217" s="37">
        <v>0.0</v>
      </c>
      <c r="K217" s="38" t="s">
        <v>1377</v>
      </c>
      <c r="L217" s="38" t="s">
        <v>1378</v>
      </c>
      <c r="M217" s="38" t="s">
        <v>54</v>
      </c>
      <c r="N217" s="38" t="s">
        <v>49</v>
      </c>
      <c r="O217" s="38" t="s">
        <v>50</v>
      </c>
      <c r="P217" s="38" t="s">
        <v>1379</v>
      </c>
      <c r="Q217" s="38" t="s">
        <v>52</v>
      </c>
      <c r="R217" s="38" t="s">
        <v>53</v>
      </c>
      <c r="S217" s="38" t="s">
        <v>54</v>
      </c>
      <c r="T217" s="38" t="s">
        <v>55</v>
      </c>
      <c r="U217" s="38" t="s">
        <v>70</v>
      </c>
      <c r="V217" s="38" t="s">
        <v>71</v>
      </c>
      <c r="W217" s="37">
        <v>5.5833E8</v>
      </c>
      <c r="X217" s="38" t="s">
        <v>485</v>
      </c>
      <c r="Y217" s="38" t="s">
        <v>599</v>
      </c>
      <c r="Z217" s="38" t="s">
        <v>203</v>
      </c>
      <c r="AA217" s="38" t="s">
        <v>204</v>
      </c>
      <c r="AB217" s="38" t="s">
        <v>204</v>
      </c>
      <c r="AC217" s="38" t="s">
        <v>204</v>
      </c>
      <c r="AD217" s="38" t="s">
        <v>3855</v>
      </c>
      <c r="AE217" s="38" t="s">
        <v>54</v>
      </c>
      <c r="AF217" s="38" t="s">
        <v>54</v>
      </c>
    </row>
    <row r="218">
      <c r="A218" s="38" t="s">
        <v>1373</v>
      </c>
      <c r="B218" s="38" t="s">
        <v>54</v>
      </c>
      <c r="C218" s="38" t="s">
        <v>54</v>
      </c>
      <c r="D218" s="38" t="s">
        <v>45</v>
      </c>
      <c r="E218" s="38" t="s">
        <v>1382</v>
      </c>
      <c r="F218" s="38" t="s">
        <v>174</v>
      </c>
      <c r="G218" s="38" t="s">
        <v>1383</v>
      </c>
      <c r="H218" s="38" t="s">
        <v>1376</v>
      </c>
      <c r="I218" s="38" t="s">
        <v>45</v>
      </c>
      <c r="J218" s="37">
        <v>0.0</v>
      </c>
      <c r="K218" s="38" t="s">
        <v>1377</v>
      </c>
      <c r="L218" s="38" t="s">
        <v>1384</v>
      </c>
      <c r="M218" s="38" t="s">
        <v>54</v>
      </c>
      <c r="N218" s="38" t="s">
        <v>49</v>
      </c>
      <c r="O218" s="38" t="s">
        <v>50</v>
      </c>
      <c r="P218" s="38" t="s">
        <v>1385</v>
      </c>
      <c r="Q218" s="38" t="s">
        <v>52</v>
      </c>
      <c r="R218" s="38" t="s">
        <v>53</v>
      </c>
      <c r="S218" s="38" t="s">
        <v>54</v>
      </c>
      <c r="T218" s="38" t="s">
        <v>55</v>
      </c>
      <c r="U218" s="38" t="s">
        <v>70</v>
      </c>
      <c r="V218" s="38" t="s">
        <v>71</v>
      </c>
      <c r="W218" s="37">
        <v>5.5833E8</v>
      </c>
      <c r="X218" s="38" t="s">
        <v>485</v>
      </c>
      <c r="Y218" s="38" t="s">
        <v>599</v>
      </c>
      <c r="Z218" s="38" t="s">
        <v>203</v>
      </c>
      <c r="AA218" s="38" t="s">
        <v>204</v>
      </c>
      <c r="AB218" s="38" t="s">
        <v>204</v>
      </c>
      <c r="AC218" s="38" t="s">
        <v>204</v>
      </c>
      <c r="AD218" s="38" t="s">
        <v>3856</v>
      </c>
      <c r="AE218" s="38" t="s">
        <v>54</v>
      </c>
      <c r="AF218" s="38" t="s">
        <v>54</v>
      </c>
    </row>
    <row r="219">
      <c r="A219" s="38" t="s">
        <v>1373</v>
      </c>
      <c r="B219" s="38" t="s">
        <v>54</v>
      </c>
      <c r="C219" s="38" t="s">
        <v>54</v>
      </c>
      <c r="D219" s="38" t="s">
        <v>45</v>
      </c>
      <c r="E219" s="38" t="s">
        <v>1386</v>
      </c>
      <c r="F219" s="38" t="s">
        <v>174</v>
      </c>
      <c r="G219" s="38" t="s">
        <v>1387</v>
      </c>
      <c r="H219" s="38" t="s">
        <v>1376</v>
      </c>
      <c r="I219" s="38" t="s">
        <v>45</v>
      </c>
      <c r="J219" s="37">
        <v>0.0</v>
      </c>
      <c r="K219" s="38" t="s">
        <v>1377</v>
      </c>
      <c r="L219" s="38" t="s">
        <v>1388</v>
      </c>
      <c r="M219" s="38" t="s">
        <v>54</v>
      </c>
      <c r="N219" s="38" t="s">
        <v>49</v>
      </c>
      <c r="O219" s="38" t="s">
        <v>50</v>
      </c>
      <c r="P219" s="38" t="s">
        <v>1389</v>
      </c>
      <c r="Q219" s="38" t="s">
        <v>52</v>
      </c>
      <c r="R219" s="38" t="s">
        <v>53</v>
      </c>
      <c r="S219" s="38" t="s">
        <v>54</v>
      </c>
      <c r="T219" s="38" t="s">
        <v>55</v>
      </c>
      <c r="U219" s="38" t="s">
        <v>70</v>
      </c>
      <c r="V219" s="38" t="s">
        <v>71</v>
      </c>
      <c r="W219" s="37">
        <v>5.5833E8</v>
      </c>
      <c r="X219" s="38" t="s">
        <v>485</v>
      </c>
      <c r="Y219" s="38" t="s">
        <v>599</v>
      </c>
      <c r="Z219" s="38" t="s">
        <v>203</v>
      </c>
      <c r="AA219" s="38" t="s">
        <v>204</v>
      </c>
      <c r="AB219" s="38" t="s">
        <v>204</v>
      </c>
      <c r="AC219" s="38" t="s">
        <v>204</v>
      </c>
      <c r="AD219" s="38" t="s">
        <v>3857</v>
      </c>
      <c r="AE219" s="38" t="s">
        <v>54</v>
      </c>
      <c r="AF219" s="38" t="s">
        <v>54</v>
      </c>
    </row>
    <row r="220">
      <c r="A220" s="38" t="s">
        <v>1373</v>
      </c>
      <c r="B220" s="38" t="s">
        <v>54</v>
      </c>
      <c r="C220" s="38" t="s">
        <v>54</v>
      </c>
      <c r="D220" s="38" t="s">
        <v>45</v>
      </c>
      <c r="E220" s="38" t="s">
        <v>1390</v>
      </c>
      <c r="F220" s="38" t="s">
        <v>174</v>
      </c>
      <c r="G220" s="38" t="s">
        <v>1391</v>
      </c>
      <c r="H220" s="38" t="s">
        <v>1376</v>
      </c>
      <c r="I220" s="38" t="s">
        <v>45</v>
      </c>
      <c r="J220" s="37">
        <v>0.0</v>
      </c>
      <c r="K220" s="38" t="s">
        <v>1377</v>
      </c>
      <c r="L220" s="38" t="s">
        <v>1392</v>
      </c>
      <c r="M220" s="38" t="s">
        <v>54</v>
      </c>
      <c r="N220" s="38" t="s">
        <v>49</v>
      </c>
      <c r="O220" s="38" t="s">
        <v>50</v>
      </c>
      <c r="P220" s="38" t="s">
        <v>1393</v>
      </c>
      <c r="Q220" s="38" t="s">
        <v>52</v>
      </c>
      <c r="R220" s="38" t="s">
        <v>53</v>
      </c>
      <c r="S220" s="38" t="s">
        <v>54</v>
      </c>
      <c r="T220" s="38" t="s">
        <v>55</v>
      </c>
      <c r="U220" s="38" t="s">
        <v>70</v>
      </c>
      <c r="V220" s="38" t="s">
        <v>71</v>
      </c>
      <c r="W220" s="37">
        <v>5.5833E8</v>
      </c>
      <c r="X220" s="38" t="s">
        <v>485</v>
      </c>
      <c r="Y220" s="38" t="s">
        <v>599</v>
      </c>
      <c r="Z220" s="38" t="s">
        <v>203</v>
      </c>
      <c r="AA220" s="38" t="s">
        <v>204</v>
      </c>
      <c r="AB220" s="38" t="s">
        <v>204</v>
      </c>
      <c r="AC220" s="38" t="s">
        <v>204</v>
      </c>
      <c r="AD220" s="38" t="s">
        <v>3858</v>
      </c>
      <c r="AE220" s="38" t="s">
        <v>54</v>
      </c>
      <c r="AF220" s="38" t="s">
        <v>54</v>
      </c>
    </row>
    <row r="221">
      <c r="A221" s="38" t="s">
        <v>1373</v>
      </c>
      <c r="B221" s="38" t="s">
        <v>54</v>
      </c>
      <c r="C221" s="38" t="s">
        <v>54</v>
      </c>
      <c r="D221" s="38" t="s">
        <v>45</v>
      </c>
      <c r="E221" s="38" t="s">
        <v>1394</v>
      </c>
      <c r="F221" s="38" t="s">
        <v>174</v>
      </c>
      <c r="G221" s="38" t="s">
        <v>1395</v>
      </c>
      <c r="H221" s="38" t="s">
        <v>1376</v>
      </c>
      <c r="I221" s="38" t="s">
        <v>45</v>
      </c>
      <c r="J221" s="37">
        <v>0.0</v>
      </c>
      <c r="K221" s="38" t="s">
        <v>1377</v>
      </c>
      <c r="L221" s="38" t="s">
        <v>1396</v>
      </c>
      <c r="M221" s="38" t="s">
        <v>54</v>
      </c>
      <c r="N221" s="38" t="s">
        <v>49</v>
      </c>
      <c r="O221" s="38" t="s">
        <v>50</v>
      </c>
      <c r="P221" s="38" t="s">
        <v>1397</v>
      </c>
      <c r="Q221" s="38" t="s">
        <v>52</v>
      </c>
      <c r="R221" s="38" t="s">
        <v>53</v>
      </c>
      <c r="S221" s="38" t="s">
        <v>54</v>
      </c>
      <c r="T221" s="38" t="s">
        <v>55</v>
      </c>
      <c r="U221" s="38" t="s">
        <v>70</v>
      </c>
      <c r="V221" s="38" t="s">
        <v>71</v>
      </c>
      <c r="W221" s="37">
        <v>5.5833E8</v>
      </c>
      <c r="X221" s="38" t="s">
        <v>485</v>
      </c>
      <c r="Y221" s="38" t="s">
        <v>599</v>
      </c>
      <c r="Z221" s="38" t="s">
        <v>203</v>
      </c>
      <c r="AA221" s="38" t="s">
        <v>204</v>
      </c>
      <c r="AB221" s="38" t="s">
        <v>204</v>
      </c>
      <c r="AC221" s="38" t="s">
        <v>204</v>
      </c>
      <c r="AD221" s="38" t="s">
        <v>3859</v>
      </c>
      <c r="AE221" s="38" t="s">
        <v>54</v>
      </c>
      <c r="AF221" s="38" t="s">
        <v>54</v>
      </c>
    </row>
    <row r="222">
      <c r="A222" s="38" t="s">
        <v>1373</v>
      </c>
      <c r="B222" s="38" t="s">
        <v>54</v>
      </c>
      <c r="C222" s="38" t="s">
        <v>54</v>
      </c>
      <c r="D222" s="38" t="s">
        <v>45</v>
      </c>
      <c r="E222" s="38" t="s">
        <v>1398</v>
      </c>
      <c r="F222" s="38" t="s">
        <v>174</v>
      </c>
      <c r="G222" s="38" t="s">
        <v>1399</v>
      </c>
      <c r="H222" s="38" t="s">
        <v>1376</v>
      </c>
      <c r="I222" s="38" t="s">
        <v>45</v>
      </c>
      <c r="J222" s="37">
        <v>0.0</v>
      </c>
      <c r="K222" s="38" t="s">
        <v>1377</v>
      </c>
      <c r="L222" s="38" t="s">
        <v>1400</v>
      </c>
      <c r="M222" s="38" t="s">
        <v>54</v>
      </c>
      <c r="N222" s="38" t="s">
        <v>49</v>
      </c>
      <c r="O222" s="38" t="s">
        <v>50</v>
      </c>
      <c r="P222" s="38" t="s">
        <v>1401</v>
      </c>
      <c r="Q222" s="38" t="s">
        <v>52</v>
      </c>
      <c r="R222" s="38" t="s">
        <v>53</v>
      </c>
      <c r="S222" s="38" t="s">
        <v>54</v>
      </c>
      <c r="T222" s="38" t="s">
        <v>55</v>
      </c>
      <c r="U222" s="38" t="s">
        <v>70</v>
      </c>
      <c r="V222" s="38" t="s">
        <v>71</v>
      </c>
      <c r="W222" s="37">
        <v>5.5833E8</v>
      </c>
      <c r="X222" s="38" t="s">
        <v>485</v>
      </c>
      <c r="Y222" s="38" t="s">
        <v>599</v>
      </c>
      <c r="Z222" s="38" t="s">
        <v>203</v>
      </c>
      <c r="AA222" s="38" t="s">
        <v>204</v>
      </c>
      <c r="AB222" s="38" t="s">
        <v>204</v>
      </c>
      <c r="AC222" s="38" t="s">
        <v>204</v>
      </c>
      <c r="AD222" s="38" t="s">
        <v>3860</v>
      </c>
      <c r="AE222" s="38" t="s">
        <v>54</v>
      </c>
      <c r="AF222" s="38" t="s">
        <v>54</v>
      </c>
    </row>
    <row r="223">
      <c r="A223" s="38" t="s">
        <v>1373</v>
      </c>
      <c r="B223" s="38" t="s">
        <v>54</v>
      </c>
      <c r="C223" s="38" t="s">
        <v>54</v>
      </c>
      <c r="D223" s="38" t="s">
        <v>45</v>
      </c>
      <c r="E223" s="38" t="s">
        <v>1402</v>
      </c>
      <c r="F223" s="38" t="s">
        <v>174</v>
      </c>
      <c r="G223" s="38" t="s">
        <v>1403</v>
      </c>
      <c r="H223" s="38" t="s">
        <v>1376</v>
      </c>
      <c r="I223" s="38" t="s">
        <v>45</v>
      </c>
      <c r="J223" s="37">
        <v>0.0</v>
      </c>
      <c r="K223" s="38" t="s">
        <v>1377</v>
      </c>
      <c r="L223" s="38" t="s">
        <v>1404</v>
      </c>
      <c r="M223" s="38" t="s">
        <v>54</v>
      </c>
      <c r="N223" s="38" t="s">
        <v>49</v>
      </c>
      <c r="O223" s="38" t="s">
        <v>50</v>
      </c>
      <c r="P223" s="38" t="s">
        <v>51</v>
      </c>
      <c r="Q223" s="38" t="s">
        <v>52</v>
      </c>
      <c r="R223" s="38" t="s">
        <v>53</v>
      </c>
      <c r="S223" s="38" t="s">
        <v>54</v>
      </c>
      <c r="T223" s="38" t="s">
        <v>55</v>
      </c>
      <c r="U223" s="38" t="s">
        <v>70</v>
      </c>
      <c r="V223" s="38" t="s">
        <v>71</v>
      </c>
      <c r="W223" s="37">
        <v>5.5833E8</v>
      </c>
      <c r="X223" s="38" t="s">
        <v>485</v>
      </c>
      <c r="Y223" s="38" t="s">
        <v>599</v>
      </c>
      <c r="Z223" s="38" t="s">
        <v>203</v>
      </c>
      <c r="AA223" s="38" t="s">
        <v>204</v>
      </c>
      <c r="AB223" s="38" t="s">
        <v>204</v>
      </c>
      <c r="AC223" s="38" t="s">
        <v>204</v>
      </c>
      <c r="AD223" s="38" t="s">
        <v>3861</v>
      </c>
      <c r="AE223" s="38" t="s">
        <v>54</v>
      </c>
      <c r="AF223" s="38" t="s">
        <v>54</v>
      </c>
    </row>
    <row r="224">
      <c r="A224" s="38" t="s">
        <v>1373</v>
      </c>
      <c r="B224" s="38" t="s">
        <v>54</v>
      </c>
      <c r="C224" s="38" t="s">
        <v>54</v>
      </c>
      <c r="D224" s="38" t="s">
        <v>45</v>
      </c>
      <c r="E224" s="38" t="s">
        <v>1405</v>
      </c>
      <c r="F224" s="38" t="s">
        <v>174</v>
      </c>
      <c r="G224" s="38" t="s">
        <v>1406</v>
      </c>
      <c r="H224" s="38" t="s">
        <v>1376</v>
      </c>
      <c r="I224" s="38" t="s">
        <v>45</v>
      </c>
      <c r="J224" s="37">
        <v>0.0</v>
      </c>
      <c r="K224" s="38" t="s">
        <v>1377</v>
      </c>
      <c r="L224" s="38" t="s">
        <v>1407</v>
      </c>
      <c r="M224" s="38" t="s">
        <v>54</v>
      </c>
      <c r="N224" s="38" t="s">
        <v>49</v>
      </c>
      <c r="O224" s="38" t="s">
        <v>50</v>
      </c>
      <c r="P224" s="38" t="s">
        <v>69</v>
      </c>
      <c r="Q224" s="38" t="s">
        <v>52</v>
      </c>
      <c r="R224" s="38" t="s">
        <v>53</v>
      </c>
      <c r="S224" s="38" t="s">
        <v>54</v>
      </c>
      <c r="T224" s="38" t="s">
        <v>55</v>
      </c>
      <c r="U224" s="38" t="s">
        <v>70</v>
      </c>
      <c r="V224" s="38" t="s">
        <v>71</v>
      </c>
      <c r="W224" s="37">
        <v>5.5833E8</v>
      </c>
      <c r="X224" s="38" t="s">
        <v>485</v>
      </c>
      <c r="Y224" s="38" t="s">
        <v>599</v>
      </c>
      <c r="Z224" s="38" t="s">
        <v>203</v>
      </c>
      <c r="AA224" s="38" t="s">
        <v>204</v>
      </c>
      <c r="AB224" s="38" t="s">
        <v>204</v>
      </c>
      <c r="AC224" s="38" t="s">
        <v>204</v>
      </c>
      <c r="AD224" s="38" t="s">
        <v>3862</v>
      </c>
      <c r="AE224" s="38" t="s">
        <v>54</v>
      </c>
      <c r="AF224" s="38" t="s">
        <v>54</v>
      </c>
    </row>
    <row r="225">
      <c r="A225" s="38" t="s">
        <v>1373</v>
      </c>
      <c r="B225" s="38" t="s">
        <v>54</v>
      </c>
      <c r="C225" s="38" t="s">
        <v>54</v>
      </c>
      <c r="D225" s="38" t="s">
        <v>45</v>
      </c>
      <c r="E225" s="38" t="s">
        <v>1408</v>
      </c>
      <c r="F225" s="38" t="s">
        <v>174</v>
      </c>
      <c r="G225" s="38" t="s">
        <v>1409</v>
      </c>
      <c r="H225" s="38" t="s">
        <v>1376</v>
      </c>
      <c r="I225" s="38" t="s">
        <v>45</v>
      </c>
      <c r="J225" s="37">
        <v>0.0</v>
      </c>
      <c r="K225" s="38" t="s">
        <v>1377</v>
      </c>
      <c r="L225" s="38" t="s">
        <v>1410</v>
      </c>
      <c r="M225" s="38" t="s">
        <v>54</v>
      </c>
      <c r="N225" s="38" t="s">
        <v>49</v>
      </c>
      <c r="O225" s="38" t="s">
        <v>50</v>
      </c>
      <c r="P225" s="38" t="s">
        <v>76</v>
      </c>
      <c r="Q225" s="38" t="s">
        <v>52</v>
      </c>
      <c r="R225" s="38" t="s">
        <v>53</v>
      </c>
      <c r="S225" s="38" t="s">
        <v>54</v>
      </c>
      <c r="T225" s="38" t="s">
        <v>55</v>
      </c>
      <c r="U225" s="38" t="s">
        <v>70</v>
      </c>
      <c r="V225" s="38" t="s">
        <v>71</v>
      </c>
      <c r="W225" s="37">
        <v>5.5833E8</v>
      </c>
      <c r="X225" s="38" t="s">
        <v>485</v>
      </c>
      <c r="Y225" s="38" t="s">
        <v>599</v>
      </c>
      <c r="Z225" s="38" t="s">
        <v>203</v>
      </c>
      <c r="AA225" s="38" t="s">
        <v>204</v>
      </c>
      <c r="AB225" s="38" t="s">
        <v>204</v>
      </c>
      <c r="AC225" s="38" t="s">
        <v>204</v>
      </c>
      <c r="AD225" s="38" t="s">
        <v>3863</v>
      </c>
      <c r="AE225" s="38" t="s">
        <v>54</v>
      </c>
      <c r="AF225" s="38" t="s">
        <v>54</v>
      </c>
    </row>
    <row r="226">
      <c r="A226" s="38" t="s">
        <v>1373</v>
      </c>
      <c r="B226" s="38" t="s">
        <v>54</v>
      </c>
      <c r="C226" s="38" t="s">
        <v>54</v>
      </c>
      <c r="D226" s="38" t="s">
        <v>45</v>
      </c>
      <c r="E226" s="38" t="s">
        <v>1411</v>
      </c>
      <c r="F226" s="38" t="s">
        <v>174</v>
      </c>
      <c r="G226" s="38" t="s">
        <v>1412</v>
      </c>
      <c r="H226" s="38" t="s">
        <v>1376</v>
      </c>
      <c r="I226" s="38" t="s">
        <v>45</v>
      </c>
      <c r="J226" s="37">
        <v>0.0</v>
      </c>
      <c r="K226" s="38" t="s">
        <v>1377</v>
      </c>
      <c r="L226" s="38" t="s">
        <v>1413</v>
      </c>
      <c r="M226" s="38" t="s">
        <v>54</v>
      </c>
      <c r="N226" s="38" t="s">
        <v>49</v>
      </c>
      <c r="O226" s="38" t="s">
        <v>50</v>
      </c>
      <c r="P226" s="38" t="s">
        <v>145</v>
      </c>
      <c r="Q226" s="38" t="s">
        <v>52</v>
      </c>
      <c r="R226" s="38" t="s">
        <v>53</v>
      </c>
      <c r="S226" s="38" t="s">
        <v>54</v>
      </c>
      <c r="T226" s="38" t="s">
        <v>55</v>
      </c>
      <c r="U226" s="38" t="s">
        <v>70</v>
      </c>
      <c r="V226" s="38" t="s">
        <v>71</v>
      </c>
      <c r="W226" s="37">
        <v>5.5833E8</v>
      </c>
      <c r="X226" s="38" t="s">
        <v>485</v>
      </c>
      <c r="Y226" s="38" t="s">
        <v>599</v>
      </c>
      <c r="Z226" s="38" t="s">
        <v>203</v>
      </c>
      <c r="AA226" s="38" t="s">
        <v>204</v>
      </c>
      <c r="AB226" s="38" t="s">
        <v>204</v>
      </c>
      <c r="AC226" s="38" t="s">
        <v>204</v>
      </c>
      <c r="AD226" s="38" t="s">
        <v>3864</v>
      </c>
      <c r="AE226" s="38" t="s">
        <v>54</v>
      </c>
      <c r="AF226" s="38" t="s">
        <v>54</v>
      </c>
    </row>
    <row r="227">
      <c r="A227" s="38" t="s">
        <v>1414</v>
      </c>
      <c r="B227" s="37">
        <v>6.457374843825652</v>
      </c>
      <c r="C227" s="37">
        <v>6.833750233877482</v>
      </c>
      <c r="D227" s="38" t="s">
        <v>200</v>
      </c>
      <c r="E227" s="38" t="s">
        <v>1415</v>
      </c>
      <c r="F227" s="38" t="s">
        <v>3865</v>
      </c>
      <c r="G227" s="38" t="s">
        <v>1416</v>
      </c>
      <c r="H227" s="38" t="s">
        <v>1417</v>
      </c>
      <c r="I227" s="38" t="s">
        <v>200</v>
      </c>
      <c r="J227" s="37">
        <v>3.875</v>
      </c>
      <c r="K227" s="38" t="s">
        <v>1418</v>
      </c>
      <c r="L227" s="38" t="s">
        <v>1419</v>
      </c>
      <c r="M227" s="37">
        <v>3.879</v>
      </c>
      <c r="N227" s="38" t="s">
        <v>115</v>
      </c>
      <c r="O227" s="38" t="s">
        <v>116</v>
      </c>
      <c r="P227" s="38" t="s">
        <v>174</v>
      </c>
      <c r="Q227" s="38" t="s">
        <v>52</v>
      </c>
      <c r="R227" s="38" t="s">
        <v>53</v>
      </c>
      <c r="S227" s="38" t="s">
        <v>297</v>
      </c>
      <c r="T227" s="38" t="s">
        <v>55</v>
      </c>
      <c r="U227" s="38" t="s">
        <v>56</v>
      </c>
      <c r="V227" s="38" t="s">
        <v>57</v>
      </c>
      <c r="W227" s="37">
        <v>4.46048E8</v>
      </c>
      <c r="X227" s="38" t="s">
        <v>58</v>
      </c>
      <c r="Y227" s="38" t="s">
        <v>506</v>
      </c>
      <c r="Z227" s="38" t="s">
        <v>60</v>
      </c>
      <c r="AA227" s="38" t="s">
        <v>61</v>
      </c>
      <c r="AB227" s="38" t="s">
        <v>62</v>
      </c>
      <c r="AC227" s="38" t="s">
        <v>62</v>
      </c>
      <c r="AD227" s="38" t="s">
        <v>3866</v>
      </c>
      <c r="AE227" s="37">
        <v>4.006</v>
      </c>
      <c r="AF227" s="37">
        <v>3.879</v>
      </c>
    </row>
    <row r="228">
      <c r="A228" s="38" t="s">
        <v>1422</v>
      </c>
      <c r="B228" s="37">
        <v>7.6394462411975</v>
      </c>
      <c r="C228" s="37">
        <v>7.84960097637273</v>
      </c>
      <c r="D228" s="38" t="s">
        <v>200</v>
      </c>
      <c r="E228" s="38" t="s">
        <v>1423</v>
      </c>
      <c r="F228" s="38" t="s">
        <v>3867</v>
      </c>
      <c r="G228" s="38" t="s">
        <v>1424</v>
      </c>
      <c r="H228" s="38" t="s">
        <v>1425</v>
      </c>
      <c r="I228" s="38" t="s">
        <v>200</v>
      </c>
      <c r="J228" s="37">
        <v>5.625</v>
      </c>
      <c r="K228" s="38" t="s">
        <v>1426</v>
      </c>
      <c r="L228" s="38" t="s">
        <v>1427</v>
      </c>
      <c r="M228" s="38" t="s">
        <v>54</v>
      </c>
      <c r="N228" s="38" t="s">
        <v>115</v>
      </c>
      <c r="O228" s="38" t="s">
        <v>116</v>
      </c>
      <c r="P228" s="38" t="s">
        <v>271</v>
      </c>
      <c r="Q228" s="38" t="s">
        <v>459</v>
      </c>
      <c r="R228" s="38" t="s">
        <v>53</v>
      </c>
      <c r="S228" s="38" t="s">
        <v>351</v>
      </c>
      <c r="T228" s="38" t="s">
        <v>55</v>
      </c>
      <c r="U228" s="38" t="s">
        <v>56</v>
      </c>
      <c r="V228" s="38" t="s">
        <v>71</v>
      </c>
      <c r="W228" s="37">
        <v>4.012785E8</v>
      </c>
      <c r="X228" s="38" t="s">
        <v>85</v>
      </c>
      <c r="Y228" s="38" t="s">
        <v>515</v>
      </c>
      <c r="Z228" s="38" t="s">
        <v>60</v>
      </c>
      <c r="AA228" s="38" t="s">
        <v>61</v>
      </c>
      <c r="AB228" s="38" t="s">
        <v>87</v>
      </c>
      <c r="AC228" s="38" t="s">
        <v>515</v>
      </c>
      <c r="AD228" s="38" t="s">
        <v>3868</v>
      </c>
      <c r="AE228" s="37">
        <v>5.737</v>
      </c>
      <c r="AF228" s="37">
        <v>5.737</v>
      </c>
    </row>
    <row r="229">
      <c r="A229" s="38" t="s">
        <v>1422</v>
      </c>
      <c r="B229" s="37">
        <v>7.675720055852114</v>
      </c>
      <c r="C229" s="37">
        <v>7.797970139870072</v>
      </c>
      <c r="D229" s="38" t="s">
        <v>200</v>
      </c>
      <c r="E229" s="38" t="s">
        <v>1430</v>
      </c>
      <c r="F229" s="38" t="s">
        <v>3869</v>
      </c>
      <c r="G229" s="38" t="s">
        <v>1431</v>
      </c>
      <c r="H229" s="38" t="s">
        <v>1425</v>
      </c>
      <c r="I229" s="38" t="s">
        <v>200</v>
      </c>
      <c r="J229" s="37">
        <v>5.625</v>
      </c>
      <c r="K229" s="38" t="s">
        <v>1426</v>
      </c>
      <c r="L229" s="38" t="s">
        <v>1427</v>
      </c>
      <c r="M229" s="38" t="s">
        <v>54</v>
      </c>
      <c r="N229" s="38" t="s">
        <v>115</v>
      </c>
      <c r="O229" s="38" t="s">
        <v>116</v>
      </c>
      <c r="P229" s="38" t="s">
        <v>262</v>
      </c>
      <c r="Q229" s="38" t="s">
        <v>459</v>
      </c>
      <c r="R229" s="38" t="s">
        <v>53</v>
      </c>
      <c r="S229" s="38" t="s">
        <v>351</v>
      </c>
      <c r="T229" s="38" t="s">
        <v>55</v>
      </c>
      <c r="U229" s="38" t="s">
        <v>56</v>
      </c>
      <c r="V229" s="38" t="s">
        <v>71</v>
      </c>
      <c r="W229" s="37">
        <v>4.012785E8</v>
      </c>
      <c r="X229" s="38" t="s">
        <v>85</v>
      </c>
      <c r="Y229" s="38" t="s">
        <v>515</v>
      </c>
      <c r="Z229" s="38" t="s">
        <v>60</v>
      </c>
      <c r="AA229" s="38" t="s">
        <v>61</v>
      </c>
      <c r="AB229" s="38" t="s">
        <v>87</v>
      </c>
      <c r="AC229" s="38" t="s">
        <v>515</v>
      </c>
      <c r="AD229" s="38" t="s">
        <v>3870</v>
      </c>
      <c r="AE229" s="37">
        <v>5.79</v>
      </c>
      <c r="AF229" s="37">
        <v>5.79</v>
      </c>
    </row>
    <row r="230">
      <c r="A230" s="38" t="s">
        <v>1432</v>
      </c>
      <c r="B230" s="37">
        <v>2.248133467283946</v>
      </c>
      <c r="C230" s="37">
        <v>2.397965834147015</v>
      </c>
      <c r="D230" s="38" t="s">
        <v>368</v>
      </c>
      <c r="E230" s="38" t="s">
        <v>1433</v>
      </c>
      <c r="F230" s="38" t="s">
        <v>3871</v>
      </c>
      <c r="G230" s="38" t="s">
        <v>1434</v>
      </c>
      <c r="H230" s="38" t="s">
        <v>1435</v>
      </c>
      <c r="I230" s="38" t="s">
        <v>368</v>
      </c>
      <c r="J230" s="37">
        <v>1.332</v>
      </c>
      <c r="K230" s="38" t="s">
        <v>1436</v>
      </c>
      <c r="L230" s="38" t="s">
        <v>1437</v>
      </c>
      <c r="M230" s="38" t="s">
        <v>54</v>
      </c>
      <c r="N230" s="38" t="s">
        <v>49</v>
      </c>
      <c r="O230" s="38" t="s">
        <v>50</v>
      </c>
      <c r="P230" s="38" t="s">
        <v>174</v>
      </c>
      <c r="Q230" s="38" t="s">
        <v>52</v>
      </c>
      <c r="R230" s="38" t="s">
        <v>687</v>
      </c>
      <c r="S230" s="38" t="s">
        <v>54</v>
      </c>
      <c r="T230" s="38" t="s">
        <v>55</v>
      </c>
      <c r="U230" s="38" t="s">
        <v>70</v>
      </c>
      <c r="V230" s="38" t="s">
        <v>392</v>
      </c>
      <c r="W230" s="37">
        <v>1.07087E8</v>
      </c>
      <c r="X230" s="38" t="s">
        <v>485</v>
      </c>
      <c r="Y230" s="38" t="s">
        <v>599</v>
      </c>
      <c r="Z230" s="38" t="s">
        <v>60</v>
      </c>
      <c r="AA230" s="38" t="s">
        <v>61</v>
      </c>
      <c r="AB230" s="38" t="s">
        <v>136</v>
      </c>
      <c r="AC230" s="38" t="s">
        <v>311</v>
      </c>
      <c r="AD230" s="38" t="s">
        <v>3872</v>
      </c>
      <c r="AE230" s="37">
        <v>1.417</v>
      </c>
      <c r="AF230" s="37">
        <v>1.417</v>
      </c>
    </row>
    <row r="231">
      <c r="A231" s="38" t="s">
        <v>1440</v>
      </c>
      <c r="B231" s="37">
        <v>2.207746032876372</v>
      </c>
      <c r="C231" s="37">
        <v>2.2719664213295196</v>
      </c>
      <c r="D231" s="38" t="s">
        <v>367</v>
      </c>
      <c r="E231" s="38" t="s">
        <v>1441</v>
      </c>
      <c r="F231" s="38" t="s">
        <v>3873</v>
      </c>
      <c r="G231" s="38" t="s">
        <v>1442</v>
      </c>
      <c r="H231" s="38" t="s">
        <v>1443</v>
      </c>
      <c r="I231" s="38" t="s">
        <v>367</v>
      </c>
      <c r="J231" s="37">
        <v>1.5</v>
      </c>
      <c r="K231" s="38" t="s">
        <v>1444</v>
      </c>
      <c r="L231" s="38" t="s">
        <v>1445</v>
      </c>
      <c r="M231" s="37">
        <v>1.524</v>
      </c>
      <c r="N231" s="38" t="s">
        <v>115</v>
      </c>
      <c r="O231" s="38" t="s">
        <v>116</v>
      </c>
      <c r="P231" s="38" t="s">
        <v>226</v>
      </c>
      <c r="Q231" s="38" t="s">
        <v>52</v>
      </c>
      <c r="R231" s="38" t="s">
        <v>53</v>
      </c>
      <c r="S231" s="38" t="s">
        <v>190</v>
      </c>
      <c r="T231" s="38" t="s">
        <v>55</v>
      </c>
      <c r="U231" s="38" t="s">
        <v>56</v>
      </c>
      <c r="V231" s="38" t="s">
        <v>57</v>
      </c>
      <c r="W231" s="37">
        <v>5.4692E8</v>
      </c>
      <c r="X231" s="38" t="s">
        <v>214</v>
      </c>
      <c r="Y231" s="38" t="s">
        <v>961</v>
      </c>
      <c r="Z231" s="38" t="s">
        <v>60</v>
      </c>
      <c r="AA231" s="38" t="s">
        <v>61</v>
      </c>
      <c r="AB231" s="38" t="s">
        <v>177</v>
      </c>
      <c r="AC231" s="38" t="s">
        <v>192</v>
      </c>
      <c r="AD231" s="38" t="s">
        <v>3874</v>
      </c>
      <c r="AE231" s="37">
        <v>1.516</v>
      </c>
      <c r="AF231" s="37">
        <v>1.524</v>
      </c>
    </row>
    <row r="232">
      <c r="A232" s="38" t="s">
        <v>1440</v>
      </c>
      <c r="B232" s="37">
        <v>2.77386517248157</v>
      </c>
      <c r="C232" s="37">
        <v>2.847116485567727</v>
      </c>
      <c r="D232" s="38" t="s">
        <v>367</v>
      </c>
      <c r="E232" s="38" t="s">
        <v>1448</v>
      </c>
      <c r="F232" s="38" t="s">
        <v>3875</v>
      </c>
      <c r="G232" s="38" t="s">
        <v>1449</v>
      </c>
      <c r="H232" s="38" t="s">
        <v>1443</v>
      </c>
      <c r="I232" s="38" t="s">
        <v>367</v>
      </c>
      <c r="J232" s="37">
        <v>2.0</v>
      </c>
      <c r="K232" s="38" t="s">
        <v>1444</v>
      </c>
      <c r="L232" s="38" t="s">
        <v>1450</v>
      </c>
      <c r="M232" s="37">
        <v>2.119</v>
      </c>
      <c r="N232" s="38" t="s">
        <v>115</v>
      </c>
      <c r="O232" s="38" t="s">
        <v>116</v>
      </c>
      <c r="P232" s="38" t="s">
        <v>226</v>
      </c>
      <c r="Q232" s="38" t="s">
        <v>52</v>
      </c>
      <c r="R232" s="38" t="s">
        <v>53</v>
      </c>
      <c r="S232" s="38" t="s">
        <v>190</v>
      </c>
      <c r="T232" s="38" t="s">
        <v>55</v>
      </c>
      <c r="U232" s="38" t="s">
        <v>56</v>
      </c>
      <c r="V232" s="38" t="s">
        <v>57</v>
      </c>
      <c r="W232" s="37">
        <v>5.4692E8</v>
      </c>
      <c r="X232" s="38" t="s">
        <v>214</v>
      </c>
      <c r="Y232" s="38" t="s">
        <v>961</v>
      </c>
      <c r="Z232" s="38" t="s">
        <v>60</v>
      </c>
      <c r="AA232" s="38" t="s">
        <v>61</v>
      </c>
      <c r="AB232" s="38" t="s">
        <v>177</v>
      </c>
      <c r="AC232" s="38" t="s">
        <v>192</v>
      </c>
      <c r="AD232" s="38" t="s">
        <v>3876</v>
      </c>
      <c r="AE232" s="37">
        <v>2.126</v>
      </c>
      <c r="AF232" s="37">
        <v>2.119</v>
      </c>
    </row>
    <row r="233">
      <c r="A233" s="38" t="s">
        <v>1451</v>
      </c>
      <c r="B233" s="38" t="s">
        <v>54</v>
      </c>
      <c r="C233" s="38" t="s">
        <v>54</v>
      </c>
      <c r="D233" s="38" t="s">
        <v>45</v>
      </c>
      <c r="E233" s="38" t="s">
        <v>1452</v>
      </c>
      <c r="F233" s="38" t="s">
        <v>174</v>
      </c>
      <c r="G233" s="38" t="s">
        <v>1453</v>
      </c>
      <c r="H233" s="38" t="s">
        <v>1454</v>
      </c>
      <c r="I233" s="38" t="s">
        <v>45</v>
      </c>
      <c r="J233" s="37">
        <v>0.0</v>
      </c>
      <c r="K233" s="38" t="s">
        <v>1455</v>
      </c>
      <c r="L233" s="38" t="s">
        <v>1456</v>
      </c>
      <c r="M233" s="38" t="s">
        <v>54</v>
      </c>
      <c r="N233" s="38" t="s">
        <v>49</v>
      </c>
      <c r="O233" s="38" t="s">
        <v>50</v>
      </c>
      <c r="P233" s="38" t="s">
        <v>69</v>
      </c>
      <c r="Q233" s="38" t="s">
        <v>52</v>
      </c>
      <c r="R233" s="38" t="s">
        <v>53</v>
      </c>
      <c r="S233" s="38" t="s">
        <v>54</v>
      </c>
      <c r="T233" s="38" t="s">
        <v>55</v>
      </c>
      <c r="U233" s="38" t="s">
        <v>70</v>
      </c>
      <c r="V233" s="38" t="s">
        <v>71</v>
      </c>
      <c r="W233" s="37">
        <v>2.789325E8</v>
      </c>
      <c r="X233" s="38" t="s">
        <v>422</v>
      </c>
      <c r="Y233" s="38" t="s">
        <v>229</v>
      </c>
      <c r="Z233" s="38" t="s">
        <v>60</v>
      </c>
      <c r="AA233" s="38" t="s">
        <v>61</v>
      </c>
      <c r="AB233" s="38" t="s">
        <v>177</v>
      </c>
      <c r="AC233" s="38" t="s">
        <v>192</v>
      </c>
      <c r="AD233" s="38" t="s">
        <v>3877</v>
      </c>
      <c r="AE233" s="38" t="s">
        <v>54</v>
      </c>
      <c r="AF233" s="38" t="s">
        <v>54</v>
      </c>
    </row>
    <row r="234">
      <c r="A234" s="38" t="s">
        <v>1451</v>
      </c>
      <c r="B234" s="38" t="s">
        <v>54</v>
      </c>
      <c r="C234" s="38" t="s">
        <v>54</v>
      </c>
      <c r="D234" s="38" t="s">
        <v>45</v>
      </c>
      <c r="E234" s="38" t="s">
        <v>1459</v>
      </c>
      <c r="F234" s="38" t="s">
        <v>174</v>
      </c>
      <c r="G234" s="38" t="s">
        <v>1460</v>
      </c>
      <c r="H234" s="38" t="s">
        <v>1454</v>
      </c>
      <c r="I234" s="38" t="s">
        <v>45</v>
      </c>
      <c r="J234" s="37">
        <v>0.0</v>
      </c>
      <c r="K234" s="38" t="s">
        <v>1455</v>
      </c>
      <c r="L234" s="38" t="s">
        <v>1461</v>
      </c>
      <c r="M234" s="38" t="s">
        <v>54</v>
      </c>
      <c r="N234" s="38" t="s">
        <v>49</v>
      </c>
      <c r="O234" s="38" t="s">
        <v>50</v>
      </c>
      <c r="P234" s="38" t="s">
        <v>76</v>
      </c>
      <c r="Q234" s="38" t="s">
        <v>52</v>
      </c>
      <c r="R234" s="38" t="s">
        <v>53</v>
      </c>
      <c r="S234" s="38" t="s">
        <v>54</v>
      </c>
      <c r="T234" s="38" t="s">
        <v>55</v>
      </c>
      <c r="U234" s="38" t="s">
        <v>70</v>
      </c>
      <c r="V234" s="38" t="s">
        <v>71</v>
      </c>
      <c r="W234" s="37">
        <v>2.789325E8</v>
      </c>
      <c r="X234" s="38" t="s">
        <v>422</v>
      </c>
      <c r="Y234" s="38" t="s">
        <v>229</v>
      </c>
      <c r="Z234" s="38" t="s">
        <v>60</v>
      </c>
      <c r="AA234" s="38" t="s">
        <v>61</v>
      </c>
      <c r="AB234" s="38" t="s">
        <v>177</v>
      </c>
      <c r="AC234" s="38" t="s">
        <v>192</v>
      </c>
      <c r="AD234" s="38" t="s">
        <v>3878</v>
      </c>
      <c r="AE234" s="38" t="s">
        <v>54</v>
      </c>
      <c r="AF234" s="38" t="s">
        <v>54</v>
      </c>
    </row>
    <row r="235">
      <c r="A235" s="38" t="s">
        <v>775</v>
      </c>
      <c r="B235" s="37">
        <v>2.342919842829516</v>
      </c>
      <c r="C235" s="37">
        <v>2.4129441832965792</v>
      </c>
      <c r="D235" s="38" t="s">
        <v>200</v>
      </c>
      <c r="E235" s="38" t="s">
        <v>1462</v>
      </c>
      <c r="F235" s="38" t="s">
        <v>3879</v>
      </c>
      <c r="G235" s="38" t="s">
        <v>1463</v>
      </c>
      <c r="H235" s="38" t="s">
        <v>778</v>
      </c>
      <c r="I235" s="38" t="s">
        <v>200</v>
      </c>
      <c r="J235" s="37">
        <v>1.5</v>
      </c>
      <c r="K235" s="38" t="s">
        <v>1464</v>
      </c>
      <c r="L235" s="38" t="s">
        <v>1465</v>
      </c>
      <c r="M235" s="37">
        <v>1.622</v>
      </c>
      <c r="N235" s="38" t="s">
        <v>115</v>
      </c>
      <c r="O235" s="38" t="s">
        <v>116</v>
      </c>
      <c r="P235" s="38" t="s">
        <v>226</v>
      </c>
      <c r="Q235" s="38" t="s">
        <v>52</v>
      </c>
      <c r="R235" s="38" t="s">
        <v>53</v>
      </c>
      <c r="S235" s="38" t="s">
        <v>175</v>
      </c>
      <c r="T235" s="38" t="s">
        <v>55</v>
      </c>
      <c r="U235" s="38" t="s">
        <v>56</v>
      </c>
      <c r="V235" s="38" t="s">
        <v>57</v>
      </c>
      <c r="W235" s="37">
        <v>5.49215E8</v>
      </c>
      <c r="X235" s="38" t="s">
        <v>120</v>
      </c>
      <c r="Y235" s="38" t="s">
        <v>238</v>
      </c>
      <c r="Z235" s="38" t="s">
        <v>203</v>
      </c>
      <c r="AA235" s="38" t="s">
        <v>204</v>
      </c>
      <c r="AB235" s="38" t="s">
        <v>204</v>
      </c>
      <c r="AC235" s="38" t="s">
        <v>204</v>
      </c>
      <c r="AD235" s="38" t="s">
        <v>3880</v>
      </c>
      <c r="AE235" s="37">
        <v>1.707</v>
      </c>
      <c r="AF235" s="37">
        <v>1.622</v>
      </c>
    </row>
    <row r="236">
      <c r="A236" s="38" t="s">
        <v>1217</v>
      </c>
      <c r="B236" s="37">
        <v>2.789710011004912</v>
      </c>
      <c r="C236" s="37">
        <v>2.851528037833435</v>
      </c>
      <c r="D236" s="38" t="s">
        <v>45</v>
      </c>
      <c r="E236" s="38" t="s">
        <v>1468</v>
      </c>
      <c r="F236" s="38" t="s">
        <v>3881</v>
      </c>
      <c r="G236" s="38" t="s">
        <v>1469</v>
      </c>
      <c r="H236" s="38" t="s">
        <v>1220</v>
      </c>
      <c r="I236" s="38" t="s">
        <v>45</v>
      </c>
      <c r="J236" s="37">
        <v>1.75</v>
      </c>
      <c r="K236" s="38" t="s">
        <v>1470</v>
      </c>
      <c r="L236" s="38" t="s">
        <v>1471</v>
      </c>
      <c r="M236" s="37">
        <v>1.813</v>
      </c>
      <c r="N236" s="38" t="s">
        <v>115</v>
      </c>
      <c r="O236" s="38" t="s">
        <v>116</v>
      </c>
      <c r="P236" s="38" t="s">
        <v>226</v>
      </c>
      <c r="Q236" s="38" t="s">
        <v>52</v>
      </c>
      <c r="R236" s="38" t="s">
        <v>53</v>
      </c>
      <c r="S236" s="38" t="s">
        <v>175</v>
      </c>
      <c r="T236" s="38" t="s">
        <v>421</v>
      </c>
      <c r="U236" s="38" t="s">
        <v>56</v>
      </c>
      <c r="V236" s="38" t="s">
        <v>57</v>
      </c>
      <c r="W236" s="37">
        <v>6.61404E8</v>
      </c>
      <c r="X236" s="38" t="s">
        <v>85</v>
      </c>
      <c r="Y236" s="38" t="s">
        <v>515</v>
      </c>
      <c r="Z236" s="38" t="s">
        <v>60</v>
      </c>
      <c r="AA236" s="38" t="s">
        <v>61</v>
      </c>
      <c r="AB236" s="38" t="s">
        <v>87</v>
      </c>
      <c r="AC236" s="38" t="s">
        <v>515</v>
      </c>
      <c r="AD236" s="38" t="s">
        <v>3882</v>
      </c>
      <c r="AE236" s="37">
        <v>1.852</v>
      </c>
      <c r="AF236" s="37">
        <v>1.813</v>
      </c>
    </row>
    <row r="237">
      <c r="A237" s="38" t="s">
        <v>1474</v>
      </c>
      <c r="B237" s="37">
        <v>1.1828311609168103</v>
      </c>
      <c r="C237" s="37">
        <v>1.243749939203049</v>
      </c>
      <c r="D237" s="38" t="s">
        <v>185</v>
      </c>
      <c r="E237" s="38" t="s">
        <v>1475</v>
      </c>
      <c r="F237" s="38" t="s">
        <v>3883</v>
      </c>
      <c r="G237" s="38" t="s">
        <v>1476</v>
      </c>
      <c r="H237" s="38" t="s">
        <v>1477</v>
      </c>
      <c r="I237" s="38" t="s">
        <v>185</v>
      </c>
      <c r="J237" s="37">
        <v>0.875</v>
      </c>
      <c r="K237" s="38" t="s">
        <v>1478</v>
      </c>
      <c r="L237" s="38" t="s">
        <v>1479</v>
      </c>
      <c r="M237" s="37">
        <v>0.901</v>
      </c>
      <c r="N237" s="38" t="s">
        <v>115</v>
      </c>
      <c r="O237" s="38" t="s">
        <v>116</v>
      </c>
      <c r="P237" s="38" t="s">
        <v>174</v>
      </c>
      <c r="Q237" s="38" t="s">
        <v>52</v>
      </c>
      <c r="R237" s="38" t="s">
        <v>53</v>
      </c>
      <c r="S237" s="38" t="s">
        <v>421</v>
      </c>
      <c r="T237" s="38" t="s">
        <v>133</v>
      </c>
      <c r="U237" s="38" t="s">
        <v>56</v>
      </c>
      <c r="V237" s="38" t="s">
        <v>57</v>
      </c>
      <c r="W237" s="37">
        <v>1.3850375E9</v>
      </c>
      <c r="X237" s="38" t="s">
        <v>422</v>
      </c>
      <c r="Y237" s="38" t="s">
        <v>229</v>
      </c>
      <c r="Z237" s="38" t="s">
        <v>60</v>
      </c>
      <c r="AA237" s="38" t="s">
        <v>61</v>
      </c>
      <c r="AB237" s="38" t="s">
        <v>228</v>
      </c>
      <c r="AC237" s="38" t="s">
        <v>229</v>
      </c>
      <c r="AD237" s="38" t="s">
        <v>3884</v>
      </c>
      <c r="AE237" s="37">
        <v>0.857</v>
      </c>
      <c r="AF237" s="37">
        <v>0.901</v>
      </c>
    </row>
    <row r="238">
      <c r="A238" s="38" t="s">
        <v>1076</v>
      </c>
      <c r="B238" s="38" t="s">
        <v>54</v>
      </c>
      <c r="C238" s="38" t="s">
        <v>54</v>
      </c>
      <c r="D238" s="38" t="s">
        <v>185</v>
      </c>
      <c r="E238" s="38" t="s">
        <v>1482</v>
      </c>
      <c r="F238" s="38" t="s">
        <v>174</v>
      </c>
      <c r="G238" s="38" t="s">
        <v>1483</v>
      </c>
      <c r="H238" s="38" t="s">
        <v>1079</v>
      </c>
      <c r="I238" s="38" t="s">
        <v>185</v>
      </c>
      <c r="J238" s="37">
        <v>0.0</v>
      </c>
      <c r="K238" s="38" t="s">
        <v>1484</v>
      </c>
      <c r="L238" s="38" t="s">
        <v>1485</v>
      </c>
      <c r="M238" s="38" t="s">
        <v>54</v>
      </c>
      <c r="N238" s="38" t="s">
        <v>49</v>
      </c>
      <c r="O238" s="38" t="s">
        <v>50</v>
      </c>
      <c r="P238" s="38" t="s">
        <v>1036</v>
      </c>
      <c r="Q238" s="38" t="s">
        <v>52</v>
      </c>
      <c r="R238" s="38" t="s">
        <v>53</v>
      </c>
      <c r="S238" s="38" t="s">
        <v>54</v>
      </c>
      <c r="T238" s="38" t="s">
        <v>885</v>
      </c>
      <c r="U238" s="38" t="s">
        <v>70</v>
      </c>
      <c r="V238" s="38" t="s">
        <v>71</v>
      </c>
      <c r="W238" s="37">
        <v>5.62035E7</v>
      </c>
      <c r="X238" s="38" t="s">
        <v>134</v>
      </c>
      <c r="Y238" s="38" t="s">
        <v>544</v>
      </c>
      <c r="Z238" s="38" t="s">
        <v>60</v>
      </c>
      <c r="AA238" s="38" t="s">
        <v>61</v>
      </c>
      <c r="AB238" s="38" t="s">
        <v>136</v>
      </c>
      <c r="AC238" s="38" t="s">
        <v>545</v>
      </c>
      <c r="AD238" s="38" t="s">
        <v>3885</v>
      </c>
      <c r="AE238" s="38" t="s">
        <v>54</v>
      </c>
      <c r="AF238" s="38" t="s">
        <v>54</v>
      </c>
    </row>
    <row r="239">
      <c r="A239" s="38" t="s">
        <v>1487</v>
      </c>
      <c r="B239" s="37">
        <v>2.3359338249882935</v>
      </c>
      <c r="C239" s="37">
        <v>2.394454204120026</v>
      </c>
      <c r="D239" s="38" t="s">
        <v>185</v>
      </c>
      <c r="E239" s="38" t="s">
        <v>1488</v>
      </c>
      <c r="F239" s="38" t="s">
        <v>3886</v>
      </c>
      <c r="G239" s="38" t="s">
        <v>1489</v>
      </c>
      <c r="H239" s="38" t="s">
        <v>1490</v>
      </c>
      <c r="I239" s="38" t="s">
        <v>185</v>
      </c>
      <c r="J239" s="37">
        <v>1.875</v>
      </c>
      <c r="K239" s="38" t="s">
        <v>1455</v>
      </c>
      <c r="L239" s="38" t="s">
        <v>1491</v>
      </c>
      <c r="M239" s="38" t="s">
        <v>54</v>
      </c>
      <c r="N239" s="38" t="s">
        <v>115</v>
      </c>
      <c r="O239" s="38" t="s">
        <v>116</v>
      </c>
      <c r="P239" s="38" t="s">
        <v>226</v>
      </c>
      <c r="Q239" s="38" t="s">
        <v>52</v>
      </c>
      <c r="R239" s="38" t="s">
        <v>53</v>
      </c>
      <c r="S239" s="38" t="s">
        <v>190</v>
      </c>
      <c r="T239" s="38" t="s">
        <v>117</v>
      </c>
      <c r="U239" s="38" t="s">
        <v>56</v>
      </c>
      <c r="V239" s="38" t="s">
        <v>57</v>
      </c>
      <c r="W239" s="37">
        <v>8.367975E8</v>
      </c>
      <c r="X239" s="38" t="s">
        <v>422</v>
      </c>
      <c r="Y239" s="38" t="s">
        <v>423</v>
      </c>
      <c r="Z239" s="38" t="s">
        <v>60</v>
      </c>
      <c r="AA239" s="38" t="s">
        <v>61</v>
      </c>
      <c r="AB239" s="38" t="s">
        <v>228</v>
      </c>
      <c r="AC239" s="38" t="s">
        <v>424</v>
      </c>
      <c r="AD239" s="38" t="s">
        <v>3887</v>
      </c>
      <c r="AE239" s="37">
        <v>1.844</v>
      </c>
      <c r="AF239" s="37">
        <v>1.844</v>
      </c>
    </row>
    <row r="240">
      <c r="A240" s="38" t="s">
        <v>1487</v>
      </c>
      <c r="B240" s="37">
        <v>2.8119856860941863</v>
      </c>
      <c r="C240" s="37">
        <v>2.864175152277922</v>
      </c>
      <c r="D240" s="38" t="s">
        <v>185</v>
      </c>
      <c r="E240" s="38" t="s">
        <v>1494</v>
      </c>
      <c r="F240" s="38" t="s">
        <v>3888</v>
      </c>
      <c r="G240" s="38" t="s">
        <v>1495</v>
      </c>
      <c r="H240" s="38" t="s">
        <v>1490</v>
      </c>
      <c r="I240" s="38" t="s">
        <v>185</v>
      </c>
      <c r="J240" s="37">
        <v>2.375</v>
      </c>
      <c r="K240" s="38" t="s">
        <v>1455</v>
      </c>
      <c r="L240" s="38" t="s">
        <v>1496</v>
      </c>
      <c r="M240" s="37">
        <v>2.471</v>
      </c>
      <c r="N240" s="38" t="s">
        <v>115</v>
      </c>
      <c r="O240" s="38" t="s">
        <v>116</v>
      </c>
      <c r="P240" s="38" t="s">
        <v>226</v>
      </c>
      <c r="Q240" s="38" t="s">
        <v>52</v>
      </c>
      <c r="R240" s="38" t="s">
        <v>53</v>
      </c>
      <c r="S240" s="38" t="s">
        <v>190</v>
      </c>
      <c r="T240" s="38" t="s">
        <v>117</v>
      </c>
      <c r="U240" s="38" t="s">
        <v>56</v>
      </c>
      <c r="V240" s="38" t="s">
        <v>57</v>
      </c>
      <c r="W240" s="37">
        <v>8.367975E8</v>
      </c>
      <c r="X240" s="38" t="s">
        <v>422</v>
      </c>
      <c r="Y240" s="38" t="s">
        <v>423</v>
      </c>
      <c r="Z240" s="38" t="s">
        <v>60</v>
      </c>
      <c r="AA240" s="38" t="s">
        <v>61</v>
      </c>
      <c r="AB240" s="38" t="s">
        <v>228</v>
      </c>
      <c r="AC240" s="38" t="s">
        <v>424</v>
      </c>
      <c r="AD240" s="38" t="s">
        <v>3889</v>
      </c>
      <c r="AE240" s="37">
        <v>2.227</v>
      </c>
      <c r="AF240" s="37">
        <v>2.471</v>
      </c>
    </row>
    <row r="241">
      <c r="A241" s="38" t="s">
        <v>1499</v>
      </c>
      <c r="B241" s="37">
        <v>9.300744228359042</v>
      </c>
      <c r="C241" s="37">
        <v>9.600338861190465</v>
      </c>
      <c r="D241" s="38" t="s">
        <v>368</v>
      </c>
      <c r="E241" s="38" t="s">
        <v>1500</v>
      </c>
      <c r="F241" s="38" t="s">
        <v>3890</v>
      </c>
      <c r="G241" s="38" t="s">
        <v>1501</v>
      </c>
      <c r="H241" s="38" t="s">
        <v>1502</v>
      </c>
      <c r="I241" s="38" t="s">
        <v>368</v>
      </c>
      <c r="J241" s="37">
        <v>9.572000000000001</v>
      </c>
      <c r="K241" s="38" t="s">
        <v>1503</v>
      </c>
      <c r="L241" s="38" t="s">
        <v>1504</v>
      </c>
      <c r="M241" s="38" t="s">
        <v>54</v>
      </c>
      <c r="N241" s="38" t="s">
        <v>115</v>
      </c>
      <c r="O241" s="38" t="s">
        <v>116</v>
      </c>
      <c r="P241" s="38" t="s">
        <v>174</v>
      </c>
      <c r="Q241" s="38" t="s">
        <v>459</v>
      </c>
      <c r="R241" s="38" t="s">
        <v>687</v>
      </c>
      <c r="S241" s="38" t="s">
        <v>54</v>
      </c>
      <c r="T241" s="38" t="s">
        <v>55</v>
      </c>
      <c r="U241" s="38" t="s">
        <v>70</v>
      </c>
      <c r="V241" s="38" t="s">
        <v>392</v>
      </c>
      <c r="W241" s="37">
        <v>1.726659E8</v>
      </c>
      <c r="X241" s="38" t="s">
        <v>378</v>
      </c>
      <c r="Y241" s="38" t="s">
        <v>1073</v>
      </c>
      <c r="Z241" s="38" t="s">
        <v>60</v>
      </c>
      <c r="AA241" s="38" t="s">
        <v>61</v>
      </c>
      <c r="AB241" s="38" t="s">
        <v>378</v>
      </c>
      <c r="AC241" s="38" t="s">
        <v>378</v>
      </c>
      <c r="AD241" s="38" t="s">
        <v>3891</v>
      </c>
      <c r="AE241" s="37">
        <v>9.001</v>
      </c>
      <c r="AF241" s="37">
        <v>9.001</v>
      </c>
    </row>
    <row r="242">
      <c r="A242" s="38" t="s">
        <v>558</v>
      </c>
      <c r="B242" s="37">
        <v>2.9041421309851336</v>
      </c>
      <c r="C242" s="37">
        <v>2.9805601989998043</v>
      </c>
      <c r="D242" s="38" t="s">
        <v>368</v>
      </c>
      <c r="E242" s="38" t="s">
        <v>1507</v>
      </c>
      <c r="F242" s="38" t="s">
        <v>3892</v>
      </c>
      <c r="G242" s="38" t="s">
        <v>1508</v>
      </c>
      <c r="H242" s="38" t="s">
        <v>561</v>
      </c>
      <c r="I242" s="38" t="s">
        <v>368</v>
      </c>
      <c r="J242" s="37">
        <v>2.375</v>
      </c>
      <c r="K242" s="38" t="s">
        <v>1509</v>
      </c>
      <c r="L242" s="38" t="s">
        <v>1510</v>
      </c>
      <c r="M242" s="37">
        <v>2.46</v>
      </c>
      <c r="N242" s="38" t="s">
        <v>115</v>
      </c>
      <c r="O242" s="38" t="s">
        <v>116</v>
      </c>
      <c r="P242" s="38" t="s">
        <v>174</v>
      </c>
      <c r="Q242" s="38" t="s">
        <v>52</v>
      </c>
      <c r="R242" s="38" t="s">
        <v>53</v>
      </c>
      <c r="S242" s="38" t="s">
        <v>190</v>
      </c>
      <c r="T242" s="38" t="s">
        <v>421</v>
      </c>
      <c r="U242" s="38" t="s">
        <v>56</v>
      </c>
      <c r="V242" s="38" t="s">
        <v>57</v>
      </c>
      <c r="W242" s="37">
        <v>8.18115E8</v>
      </c>
      <c r="X242" s="38" t="s">
        <v>485</v>
      </c>
      <c r="Y242" s="38" t="s">
        <v>563</v>
      </c>
      <c r="Z242" s="38" t="s">
        <v>60</v>
      </c>
      <c r="AA242" s="38" t="s">
        <v>487</v>
      </c>
      <c r="AB242" s="38" t="s">
        <v>564</v>
      </c>
      <c r="AC242" s="38" t="s">
        <v>564</v>
      </c>
      <c r="AD242" s="38" t="s">
        <v>3893</v>
      </c>
      <c r="AE242" s="37">
        <v>2.393</v>
      </c>
      <c r="AF242" s="37">
        <v>2.46</v>
      </c>
    </row>
    <row r="243">
      <c r="A243" s="38" t="s">
        <v>1513</v>
      </c>
      <c r="B243" s="37">
        <v>2.7003278973527194</v>
      </c>
      <c r="C243" s="37">
        <v>2.756328861765926</v>
      </c>
      <c r="D243" s="38" t="s">
        <v>1340</v>
      </c>
      <c r="E243" s="38" t="s">
        <v>1514</v>
      </c>
      <c r="F243" s="38" t="s">
        <v>3894</v>
      </c>
      <c r="G243" s="38" t="s">
        <v>1515</v>
      </c>
      <c r="H243" s="38" t="s">
        <v>1516</v>
      </c>
      <c r="I243" s="38" t="s">
        <v>1340</v>
      </c>
      <c r="J243" s="37">
        <v>2.375</v>
      </c>
      <c r="K243" s="38" t="s">
        <v>1509</v>
      </c>
      <c r="L243" s="38" t="s">
        <v>68</v>
      </c>
      <c r="M243" s="37">
        <v>2.462</v>
      </c>
      <c r="N243" s="38" t="s">
        <v>115</v>
      </c>
      <c r="O243" s="38" t="s">
        <v>116</v>
      </c>
      <c r="P243" s="38" t="s">
        <v>226</v>
      </c>
      <c r="Q243" s="38" t="s">
        <v>52</v>
      </c>
      <c r="R243" s="38" t="s">
        <v>53</v>
      </c>
      <c r="S243" s="38" t="s">
        <v>620</v>
      </c>
      <c r="T243" s="38" t="s">
        <v>421</v>
      </c>
      <c r="U243" s="38" t="s">
        <v>56</v>
      </c>
      <c r="V243" s="38" t="s">
        <v>57</v>
      </c>
      <c r="W243" s="37">
        <v>6.54492E8</v>
      </c>
      <c r="X243" s="38" t="s">
        <v>120</v>
      </c>
      <c r="Y243" s="38" t="s">
        <v>238</v>
      </c>
      <c r="Z243" s="38" t="s">
        <v>203</v>
      </c>
      <c r="AA243" s="38" t="s">
        <v>412</v>
      </c>
      <c r="AB243" s="38" t="s">
        <v>413</v>
      </c>
      <c r="AC243" s="38" t="s">
        <v>413</v>
      </c>
      <c r="AD243" s="38" t="s">
        <v>3895</v>
      </c>
      <c r="AE243" s="37">
        <v>2.285</v>
      </c>
      <c r="AF243" s="37">
        <v>2.462</v>
      </c>
    </row>
    <row r="244">
      <c r="A244" s="38" t="s">
        <v>1519</v>
      </c>
      <c r="B244" s="37">
        <v>1.6815563366699244</v>
      </c>
      <c r="C244" s="37">
        <v>1.7159668409635132</v>
      </c>
      <c r="D244" s="38" t="s">
        <v>185</v>
      </c>
      <c r="E244" s="38" t="s">
        <v>1520</v>
      </c>
      <c r="F244" s="38" t="s">
        <v>3896</v>
      </c>
      <c r="G244" s="38" t="s">
        <v>1521</v>
      </c>
      <c r="H244" s="38" t="s">
        <v>1522</v>
      </c>
      <c r="I244" s="38" t="s">
        <v>185</v>
      </c>
      <c r="J244" s="37">
        <v>1.25</v>
      </c>
      <c r="K244" s="38" t="s">
        <v>1509</v>
      </c>
      <c r="L244" s="38" t="s">
        <v>1523</v>
      </c>
      <c r="M244" s="37">
        <v>1.302</v>
      </c>
      <c r="N244" s="38" t="s">
        <v>115</v>
      </c>
      <c r="O244" s="38" t="s">
        <v>116</v>
      </c>
      <c r="P244" s="38" t="s">
        <v>174</v>
      </c>
      <c r="Q244" s="38" t="s">
        <v>52</v>
      </c>
      <c r="R244" s="38" t="s">
        <v>53</v>
      </c>
      <c r="S244" s="38" t="s">
        <v>484</v>
      </c>
      <c r="T244" s="38" t="s">
        <v>117</v>
      </c>
      <c r="U244" s="38" t="s">
        <v>56</v>
      </c>
      <c r="V244" s="38" t="s">
        <v>57</v>
      </c>
      <c r="W244" s="37">
        <v>7.09033E8</v>
      </c>
      <c r="X244" s="38" t="s">
        <v>1050</v>
      </c>
      <c r="Y244" s="38" t="s">
        <v>1051</v>
      </c>
      <c r="Z244" s="38" t="s">
        <v>60</v>
      </c>
      <c r="AA244" s="38" t="s">
        <v>61</v>
      </c>
      <c r="AB244" s="38" t="s">
        <v>228</v>
      </c>
      <c r="AC244" s="38" t="s">
        <v>1051</v>
      </c>
      <c r="AD244" s="38" t="s">
        <v>3897</v>
      </c>
      <c r="AE244" s="37">
        <v>1.328</v>
      </c>
      <c r="AF244" s="37">
        <v>1.302</v>
      </c>
    </row>
    <row r="245">
      <c r="A245" s="38" t="s">
        <v>1526</v>
      </c>
      <c r="B245" s="37">
        <v>2.0052556492398286</v>
      </c>
      <c r="C245" s="37">
        <v>2.0454834916765954</v>
      </c>
      <c r="D245" s="38" t="s">
        <v>185</v>
      </c>
      <c r="E245" s="38" t="s">
        <v>1527</v>
      </c>
      <c r="F245" s="38" t="s">
        <v>3898</v>
      </c>
      <c r="G245" s="38" t="s">
        <v>1528</v>
      </c>
      <c r="H245" s="38" t="s">
        <v>1529</v>
      </c>
      <c r="I245" s="38" t="s">
        <v>185</v>
      </c>
      <c r="J245" s="37">
        <v>1.375</v>
      </c>
      <c r="K245" s="38" t="s">
        <v>1530</v>
      </c>
      <c r="L245" s="38" t="s">
        <v>1531</v>
      </c>
      <c r="M245" s="37">
        <v>1.563</v>
      </c>
      <c r="N245" s="38" t="s">
        <v>115</v>
      </c>
      <c r="O245" s="38" t="s">
        <v>116</v>
      </c>
      <c r="P245" s="38" t="s">
        <v>174</v>
      </c>
      <c r="Q245" s="38" t="s">
        <v>52</v>
      </c>
      <c r="R245" s="38" t="s">
        <v>53</v>
      </c>
      <c r="S245" s="38" t="s">
        <v>620</v>
      </c>
      <c r="T245" s="38" t="s">
        <v>421</v>
      </c>
      <c r="U245" s="38" t="s">
        <v>56</v>
      </c>
      <c r="V245" s="38" t="s">
        <v>57</v>
      </c>
      <c r="W245" s="37">
        <v>8.157825E8</v>
      </c>
      <c r="X245" s="38" t="s">
        <v>422</v>
      </c>
      <c r="Y245" s="38" t="s">
        <v>664</v>
      </c>
      <c r="Z245" s="38" t="s">
        <v>60</v>
      </c>
      <c r="AA245" s="38" t="s">
        <v>61</v>
      </c>
      <c r="AB245" s="38" t="s">
        <v>228</v>
      </c>
      <c r="AC245" s="38" t="s">
        <v>665</v>
      </c>
      <c r="AD245" s="38" t="s">
        <v>3899</v>
      </c>
      <c r="AE245" s="37">
        <v>1.612</v>
      </c>
      <c r="AF245" s="37">
        <v>1.563</v>
      </c>
    </row>
    <row r="246">
      <c r="A246" s="38" t="s">
        <v>558</v>
      </c>
      <c r="B246" s="37">
        <v>3.5937007589142373</v>
      </c>
      <c r="C246" s="37">
        <v>3.662187233320407</v>
      </c>
      <c r="D246" s="38" t="s">
        <v>368</v>
      </c>
      <c r="E246" s="38" t="s">
        <v>1534</v>
      </c>
      <c r="F246" s="38" t="s">
        <v>3900</v>
      </c>
      <c r="G246" s="38" t="s">
        <v>1535</v>
      </c>
      <c r="H246" s="38" t="s">
        <v>561</v>
      </c>
      <c r="I246" s="38" t="s">
        <v>368</v>
      </c>
      <c r="J246" s="37">
        <v>2.875</v>
      </c>
      <c r="K246" s="38" t="s">
        <v>1509</v>
      </c>
      <c r="L246" s="38" t="s">
        <v>1536</v>
      </c>
      <c r="M246" s="37">
        <v>2.944</v>
      </c>
      <c r="N246" s="38" t="s">
        <v>115</v>
      </c>
      <c r="O246" s="38" t="s">
        <v>116</v>
      </c>
      <c r="P246" s="38" t="s">
        <v>174</v>
      </c>
      <c r="Q246" s="38" t="s">
        <v>52</v>
      </c>
      <c r="R246" s="38" t="s">
        <v>53</v>
      </c>
      <c r="S246" s="38" t="s">
        <v>190</v>
      </c>
      <c r="T246" s="38" t="s">
        <v>421</v>
      </c>
      <c r="U246" s="38" t="s">
        <v>56</v>
      </c>
      <c r="V246" s="38" t="s">
        <v>57</v>
      </c>
      <c r="W246" s="37">
        <v>8.18115E8</v>
      </c>
      <c r="X246" s="38" t="s">
        <v>485</v>
      </c>
      <c r="Y246" s="38" t="s">
        <v>563</v>
      </c>
      <c r="Z246" s="38" t="s">
        <v>60</v>
      </c>
      <c r="AA246" s="38" t="s">
        <v>487</v>
      </c>
      <c r="AB246" s="38" t="s">
        <v>564</v>
      </c>
      <c r="AC246" s="38" t="s">
        <v>564</v>
      </c>
      <c r="AD246" s="38" t="s">
        <v>3901</v>
      </c>
      <c r="AE246" s="37">
        <v>2.994</v>
      </c>
      <c r="AF246" s="37">
        <v>2.944</v>
      </c>
    </row>
    <row r="247">
      <c r="A247" s="38" t="s">
        <v>166</v>
      </c>
      <c r="B247" s="37">
        <v>1.948187735622314</v>
      </c>
      <c r="C247" s="37">
        <v>2.03499205419145</v>
      </c>
      <c r="D247" s="38" t="s">
        <v>170</v>
      </c>
      <c r="E247" s="38" t="s">
        <v>1538</v>
      </c>
      <c r="F247" s="38" t="s">
        <v>3902</v>
      </c>
      <c r="G247" s="38" t="s">
        <v>1539</v>
      </c>
      <c r="H247" s="38" t="s">
        <v>169</v>
      </c>
      <c r="I247" s="38" t="s">
        <v>170</v>
      </c>
      <c r="J247" s="37">
        <v>1.625</v>
      </c>
      <c r="K247" s="38" t="s">
        <v>1540</v>
      </c>
      <c r="L247" s="38" t="s">
        <v>1541</v>
      </c>
      <c r="M247" s="38" t="s">
        <v>54</v>
      </c>
      <c r="N247" s="38" t="s">
        <v>49</v>
      </c>
      <c r="O247" s="38" t="s">
        <v>50</v>
      </c>
      <c r="P247" s="38" t="s">
        <v>226</v>
      </c>
      <c r="Q247" s="38" t="s">
        <v>52</v>
      </c>
      <c r="R247" s="38" t="s">
        <v>53</v>
      </c>
      <c r="S247" s="38" t="s">
        <v>175</v>
      </c>
      <c r="T247" s="38" t="s">
        <v>55</v>
      </c>
      <c r="U247" s="38" t="s">
        <v>56</v>
      </c>
      <c r="V247" s="38" t="s">
        <v>57</v>
      </c>
      <c r="W247" s="37">
        <v>1.656045E8</v>
      </c>
      <c r="X247" s="38" t="s">
        <v>85</v>
      </c>
      <c r="Y247" s="38" t="s">
        <v>176</v>
      </c>
      <c r="Z247" s="38" t="s">
        <v>60</v>
      </c>
      <c r="AA247" s="38" t="s">
        <v>61</v>
      </c>
      <c r="AB247" s="38" t="s">
        <v>177</v>
      </c>
      <c r="AC247" s="38" t="s">
        <v>178</v>
      </c>
      <c r="AD247" s="38" t="s">
        <v>3903</v>
      </c>
      <c r="AE247" s="37">
        <v>1.417</v>
      </c>
      <c r="AF247" s="37">
        <v>1.417</v>
      </c>
    </row>
    <row r="248">
      <c r="A248" s="38" t="s">
        <v>642</v>
      </c>
      <c r="B248" s="37">
        <v>3.501077502594372</v>
      </c>
      <c r="C248" s="37">
        <v>3.57185089804367</v>
      </c>
      <c r="D248" s="38" t="s">
        <v>367</v>
      </c>
      <c r="E248" s="38" t="s">
        <v>1544</v>
      </c>
      <c r="F248" s="38" t="s">
        <v>3904</v>
      </c>
      <c r="G248" s="38" t="s">
        <v>1545</v>
      </c>
      <c r="H248" s="38" t="s">
        <v>645</v>
      </c>
      <c r="I248" s="38" t="s">
        <v>367</v>
      </c>
      <c r="J248" s="37">
        <v>2.875</v>
      </c>
      <c r="K248" s="38" t="s">
        <v>1546</v>
      </c>
      <c r="L248" s="38" t="s">
        <v>1547</v>
      </c>
      <c r="M248" s="38" t="s">
        <v>54</v>
      </c>
      <c r="N248" s="38" t="s">
        <v>115</v>
      </c>
      <c r="O248" s="38" t="s">
        <v>116</v>
      </c>
      <c r="P248" s="38" t="s">
        <v>226</v>
      </c>
      <c r="Q248" s="38" t="s">
        <v>52</v>
      </c>
      <c r="R248" s="38" t="s">
        <v>1548</v>
      </c>
      <c r="S248" s="38" t="s">
        <v>620</v>
      </c>
      <c r="T248" s="38" t="s">
        <v>55</v>
      </c>
      <c r="U248" s="38" t="s">
        <v>56</v>
      </c>
      <c r="V248" s="38" t="s">
        <v>57</v>
      </c>
      <c r="W248" s="37">
        <v>9.768675E8</v>
      </c>
      <c r="X248" s="38" t="s">
        <v>120</v>
      </c>
      <c r="Y248" s="38" t="s">
        <v>120</v>
      </c>
      <c r="Z248" s="38" t="s">
        <v>60</v>
      </c>
      <c r="AA248" s="38" t="s">
        <v>121</v>
      </c>
      <c r="AB248" s="38" t="s">
        <v>122</v>
      </c>
      <c r="AC248" s="38" t="s">
        <v>122</v>
      </c>
      <c r="AD248" s="38" t="s">
        <v>3905</v>
      </c>
      <c r="AE248" s="37">
        <v>3.166</v>
      </c>
      <c r="AF248" s="37">
        <v>3.166</v>
      </c>
    </row>
    <row r="249">
      <c r="A249" s="38" t="s">
        <v>1551</v>
      </c>
      <c r="B249" s="37">
        <v>4.635286860897315</v>
      </c>
      <c r="C249" s="37">
        <v>4.851209775380299</v>
      </c>
      <c r="D249" s="38" t="s">
        <v>1555</v>
      </c>
      <c r="E249" s="38" t="s">
        <v>1552</v>
      </c>
      <c r="F249" s="38" t="s">
        <v>3906</v>
      </c>
      <c r="G249" s="38" t="s">
        <v>1553</v>
      </c>
      <c r="H249" s="38" t="s">
        <v>1554</v>
      </c>
      <c r="I249" s="38" t="s">
        <v>1555</v>
      </c>
      <c r="J249" s="37">
        <v>4.5</v>
      </c>
      <c r="K249" s="38" t="s">
        <v>1556</v>
      </c>
      <c r="L249" s="38" t="s">
        <v>1557</v>
      </c>
      <c r="M249" s="37">
        <v>4.5</v>
      </c>
      <c r="N249" s="38" t="s">
        <v>115</v>
      </c>
      <c r="O249" s="38" t="s">
        <v>116</v>
      </c>
      <c r="P249" s="38" t="s">
        <v>174</v>
      </c>
      <c r="Q249" s="38" t="s">
        <v>52</v>
      </c>
      <c r="R249" s="38" t="s">
        <v>53</v>
      </c>
      <c r="S249" s="38" t="s">
        <v>54</v>
      </c>
      <c r="T249" s="38" t="s">
        <v>55</v>
      </c>
      <c r="U249" s="38" t="s">
        <v>56</v>
      </c>
      <c r="V249" s="38" t="s">
        <v>57</v>
      </c>
      <c r="W249" s="37">
        <v>4.35284E7</v>
      </c>
      <c r="X249" s="38" t="s">
        <v>485</v>
      </c>
      <c r="Y249" s="38" t="s">
        <v>563</v>
      </c>
      <c r="Z249" s="38" t="s">
        <v>60</v>
      </c>
      <c r="AA249" s="38" t="s">
        <v>487</v>
      </c>
      <c r="AB249" s="38" t="s">
        <v>564</v>
      </c>
      <c r="AC249" s="38" t="s">
        <v>564</v>
      </c>
      <c r="AD249" s="38" t="s">
        <v>3907</v>
      </c>
      <c r="AE249" s="37">
        <v>4.5</v>
      </c>
      <c r="AF249" s="37">
        <v>4.5</v>
      </c>
    </row>
    <row r="250">
      <c r="A250" s="38" t="s">
        <v>1560</v>
      </c>
      <c r="B250" s="37">
        <v>5.467761144906248</v>
      </c>
      <c r="C250" s="37">
        <v>5.508074662401494</v>
      </c>
      <c r="D250" s="38" t="s">
        <v>367</v>
      </c>
      <c r="E250" s="38" t="s">
        <v>1561</v>
      </c>
      <c r="F250" s="38" t="s">
        <v>3908</v>
      </c>
      <c r="G250" s="38" t="s">
        <v>1562</v>
      </c>
      <c r="H250" s="38" t="s">
        <v>1563</v>
      </c>
      <c r="I250" s="38" t="s">
        <v>367</v>
      </c>
      <c r="J250" s="37">
        <v>4.5</v>
      </c>
      <c r="K250" s="38" t="s">
        <v>1564</v>
      </c>
      <c r="L250" s="38" t="s">
        <v>1565</v>
      </c>
      <c r="M250" s="37">
        <v>4.6080000000000005</v>
      </c>
      <c r="N250" s="38" t="s">
        <v>115</v>
      </c>
      <c r="O250" s="38" t="s">
        <v>116</v>
      </c>
      <c r="P250" s="38" t="s">
        <v>262</v>
      </c>
      <c r="Q250" s="38" t="s">
        <v>52</v>
      </c>
      <c r="R250" s="38" t="s">
        <v>263</v>
      </c>
      <c r="S250" s="38" t="s">
        <v>175</v>
      </c>
      <c r="T250" s="38" t="s">
        <v>55</v>
      </c>
      <c r="U250" s="38" t="s">
        <v>56</v>
      </c>
      <c r="V250" s="38" t="s">
        <v>71</v>
      </c>
      <c r="W250" s="37">
        <v>5.0E8</v>
      </c>
      <c r="X250" s="38" t="s">
        <v>485</v>
      </c>
      <c r="Y250" s="38" t="s">
        <v>563</v>
      </c>
      <c r="Z250" s="38" t="s">
        <v>60</v>
      </c>
      <c r="AA250" s="38" t="s">
        <v>61</v>
      </c>
      <c r="AB250" s="38" t="s">
        <v>228</v>
      </c>
      <c r="AC250" s="38" t="s">
        <v>229</v>
      </c>
      <c r="AD250" s="38" t="s">
        <v>3909</v>
      </c>
      <c r="AE250" s="38" t="s">
        <v>54</v>
      </c>
      <c r="AF250" s="37">
        <v>4.6080000000000005</v>
      </c>
    </row>
    <row r="251">
      <c r="A251" s="38" t="s">
        <v>1560</v>
      </c>
      <c r="B251" s="37">
        <v>5.468602040071828</v>
      </c>
      <c r="C251" s="37">
        <v>5.486912111399823</v>
      </c>
      <c r="D251" s="38" t="s">
        <v>367</v>
      </c>
      <c r="E251" s="38" t="s">
        <v>1568</v>
      </c>
      <c r="F251" s="38" t="s">
        <v>3910</v>
      </c>
      <c r="G251" s="38" t="s">
        <v>1569</v>
      </c>
      <c r="H251" s="38" t="s">
        <v>1563</v>
      </c>
      <c r="I251" s="38" t="s">
        <v>367</v>
      </c>
      <c r="J251" s="37">
        <v>4.5</v>
      </c>
      <c r="K251" s="38" t="s">
        <v>1564</v>
      </c>
      <c r="L251" s="38" t="s">
        <v>1565</v>
      </c>
      <c r="M251" s="37">
        <v>4.6080000000000005</v>
      </c>
      <c r="N251" s="38" t="s">
        <v>115</v>
      </c>
      <c r="O251" s="38" t="s">
        <v>116</v>
      </c>
      <c r="P251" s="38" t="s">
        <v>271</v>
      </c>
      <c r="Q251" s="38" t="s">
        <v>52</v>
      </c>
      <c r="R251" s="38" t="s">
        <v>263</v>
      </c>
      <c r="S251" s="38" t="s">
        <v>175</v>
      </c>
      <c r="T251" s="38" t="s">
        <v>55</v>
      </c>
      <c r="U251" s="38" t="s">
        <v>56</v>
      </c>
      <c r="V251" s="38" t="s">
        <v>71</v>
      </c>
      <c r="W251" s="37">
        <v>5.0E8</v>
      </c>
      <c r="X251" s="38" t="s">
        <v>485</v>
      </c>
      <c r="Y251" s="38" t="s">
        <v>563</v>
      </c>
      <c r="Z251" s="38" t="s">
        <v>60</v>
      </c>
      <c r="AA251" s="38" t="s">
        <v>61</v>
      </c>
      <c r="AB251" s="38" t="s">
        <v>228</v>
      </c>
      <c r="AC251" s="38" t="s">
        <v>229</v>
      </c>
      <c r="AD251" s="38" t="s">
        <v>3911</v>
      </c>
      <c r="AE251" s="37">
        <v>4.919</v>
      </c>
      <c r="AF251" s="37">
        <v>4.6080000000000005</v>
      </c>
    </row>
    <row r="252">
      <c r="A252" s="38" t="s">
        <v>1570</v>
      </c>
      <c r="B252" s="37">
        <v>6.399499016443777</v>
      </c>
      <c r="C252" s="37">
        <v>6.497524135305064</v>
      </c>
      <c r="D252" s="38" t="s">
        <v>367</v>
      </c>
      <c r="E252" s="38" t="s">
        <v>1571</v>
      </c>
      <c r="F252" s="38" t="s">
        <v>3912</v>
      </c>
      <c r="G252" s="38" t="s">
        <v>1572</v>
      </c>
      <c r="H252" s="38" t="s">
        <v>1573</v>
      </c>
      <c r="I252" s="38" t="s">
        <v>367</v>
      </c>
      <c r="J252" s="37">
        <v>6.125</v>
      </c>
      <c r="K252" s="38" t="s">
        <v>1574</v>
      </c>
      <c r="L252" s="38" t="s">
        <v>1575</v>
      </c>
      <c r="M252" s="37">
        <v>6.125</v>
      </c>
      <c r="N252" s="38" t="s">
        <v>115</v>
      </c>
      <c r="O252" s="38" t="s">
        <v>116</v>
      </c>
      <c r="P252" s="38" t="s">
        <v>262</v>
      </c>
      <c r="Q252" s="38" t="s">
        <v>52</v>
      </c>
      <c r="R252" s="38" t="s">
        <v>263</v>
      </c>
      <c r="S252" s="38" t="s">
        <v>190</v>
      </c>
      <c r="T252" s="38" t="s">
        <v>55</v>
      </c>
      <c r="U252" s="38" t="s">
        <v>56</v>
      </c>
      <c r="V252" s="38" t="s">
        <v>71</v>
      </c>
      <c r="W252" s="37">
        <v>3.5E8</v>
      </c>
      <c r="X252" s="38" t="s">
        <v>134</v>
      </c>
      <c r="Y252" s="38" t="s">
        <v>738</v>
      </c>
      <c r="Z252" s="38" t="s">
        <v>60</v>
      </c>
      <c r="AA252" s="38" t="s">
        <v>61</v>
      </c>
      <c r="AB252" s="38" t="s">
        <v>136</v>
      </c>
      <c r="AC252" s="38" t="s">
        <v>738</v>
      </c>
      <c r="AD252" s="38" t="s">
        <v>3913</v>
      </c>
      <c r="AE252" s="37">
        <v>6.271</v>
      </c>
      <c r="AF252" s="37">
        <v>6.125</v>
      </c>
    </row>
    <row r="253">
      <c r="A253" s="38" t="s">
        <v>1570</v>
      </c>
      <c r="B253" s="37">
        <v>6.4230877635177475</v>
      </c>
      <c r="C253" s="37">
        <v>6.458271379556417</v>
      </c>
      <c r="D253" s="38" t="s">
        <v>367</v>
      </c>
      <c r="E253" s="38" t="s">
        <v>1578</v>
      </c>
      <c r="F253" s="38" t="s">
        <v>3914</v>
      </c>
      <c r="G253" s="38" t="s">
        <v>1579</v>
      </c>
      <c r="H253" s="38" t="s">
        <v>1573</v>
      </c>
      <c r="I253" s="38" t="s">
        <v>367</v>
      </c>
      <c r="J253" s="37">
        <v>6.125</v>
      </c>
      <c r="K253" s="38" t="s">
        <v>1574</v>
      </c>
      <c r="L253" s="38" t="s">
        <v>1575</v>
      </c>
      <c r="M253" s="37">
        <v>6.125</v>
      </c>
      <c r="N253" s="38" t="s">
        <v>115</v>
      </c>
      <c r="O253" s="38" t="s">
        <v>116</v>
      </c>
      <c r="P253" s="38" t="s">
        <v>271</v>
      </c>
      <c r="Q253" s="38" t="s">
        <v>52</v>
      </c>
      <c r="R253" s="38" t="s">
        <v>263</v>
      </c>
      <c r="S253" s="38" t="s">
        <v>190</v>
      </c>
      <c r="T253" s="38" t="s">
        <v>55</v>
      </c>
      <c r="U253" s="38" t="s">
        <v>56</v>
      </c>
      <c r="V253" s="38" t="s">
        <v>71</v>
      </c>
      <c r="W253" s="37">
        <v>3.5E8</v>
      </c>
      <c r="X253" s="38" t="s">
        <v>134</v>
      </c>
      <c r="Y253" s="38" t="s">
        <v>738</v>
      </c>
      <c r="Z253" s="38" t="s">
        <v>60</v>
      </c>
      <c r="AA253" s="38" t="s">
        <v>61</v>
      </c>
      <c r="AB253" s="38" t="s">
        <v>136</v>
      </c>
      <c r="AC253" s="38" t="s">
        <v>738</v>
      </c>
      <c r="AD253" s="38" t="s">
        <v>3915</v>
      </c>
      <c r="AE253" s="37">
        <v>6.268</v>
      </c>
      <c r="AF253" s="37">
        <v>6.125</v>
      </c>
    </row>
    <row r="254">
      <c r="A254" s="38" t="s">
        <v>1580</v>
      </c>
      <c r="B254" s="37">
        <v>7.022877634669922</v>
      </c>
      <c r="C254" s="37">
        <v>7.169459848549423</v>
      </c>
      <c r="D254" s="38" t="s">
        <v>170</v>
      </c>
      <c r="E254" s="38" t="s">
        <v>1581</v>
      </c>
      <c r="F254" s="38" t="s">
        <v>3916</v>
      </c>
      <c r="G254" s="38" t="s">
        <v>1582</v>
      </c>
      <c r="H254" s="38" t="s">
        <v>1583</v>
      </c>
      <c r="I254" s="38" t="s">
        <v>170</v>
      </c>
      <c r="J254" s="37">
        <v>6.75</v>
      </c>
      <c r="K254" s="38" t="s">
        <v>1584</v>
      </c>
      <c r="L254" s="38" t="s">
        <v>1585</v>
      </c>
      <c r="M254" s="37">
        <v>7.0</v>
      </c>
      <c r="N254" s="38" t="s">
        <v>115</v>
      </c>
      <c r="O254" s="38" t="s">
        <v>116</v>
      </c>
      <c r="P254" s="38" t="s">
        <v>262</v>
      </c>
      <c r="Q254" s="38" t="s">
        <v>52</v>
      </c>
      <c r="R254" s="38" t="s">
        <v>263</v>
      </c>
      <c r="S254" s="38" t="s">
        <v>885</v>
      </c>
      <c r="T254" s="38" t="s">
        <v>55</v>
      </c>
      <c r="U254" s="38" t="s">
        <v>56</v>
      </c>
      <c r="V254" s="38" t="s">
        <v>71</v>
      </c>
      <c r="W254" s="37">
        <v>5.0E8</v>
      </c>
      <c r="X254" s="38" t="s">
        <v>120</v>
      </c>
      <c r="Y254" s="38" t="s">
        <v>120</v>
      </c>
      <c r="Z254" s="38" t="s">
        <v>60</v>
      </c>
      <c r="AA254" s="38" t="s">
        <v>121</v>
      </c>
      <c r="AB254" s="38" t="s">
        <v>846</v>
      </c>
      <c r="AC254" s="38" t="s">
        <v>846</v>
      </c>
      <c r="AD254" s="38" t="s">
        <v>3917</v>
      </c>
      <c r="AE254" s="38" t="s">
        <v>54</v>
      </c>
      <c r="AF254" s="37">
        <v>7.0</v>
      </c>
    </row>
    <row r="255">
      <c r="A255" s="38" t="s">
        <v>1580</v>
      </c>
      <c r="B255" s="37">
        <v>7.073240448527822</v>
      </c>
      <c r="C255" s="37">
        <v>7.106540616360856</v>
      </c>
      <c r="D255" s="38" t="s">
        <v>170</v>
      </c>
      <c r="E255" s="38" t="s">
        <v>1587</v>
      </c>
      <c r="F255" s="38" t="s">
        <v>3918</v>
      </c>
      <c r="G255" s="38" t="s">
        <v>1588</v>
      </c>
      <c r="H255" s="38" t="s">
        <v>1583</v>
      </c>
      <c r="I255" s="38" t="s">
        <v>170</v>
      </c>
      <c r="J255" s="37">
        <v>6.75</v>
      </c>
      <c r="K255" s="38" t="s">
        <v>1584</v>
      </c>
      <c r="L255" s="38" t="s">
        <v>1585</v>
      </c>
      <c r="M255" s="37">
        <v>7.0</v>
      </c>
      <c r="N255" s="38" t="s">
        <v>115</v>
      </c>
      <c r="O255" s="38" t="s">
        <v>116</v>
      </c>
      <c r="P255" s="38" t="s">
        <v>271</v>
      </c>
      <c r="Q255" s="38" t="s">
        <v>52</v>
      </c>
      <c r="R255" s="38" t="s">
        <v>263</v>
      </c>
      <c r="S255" s="38" t="s">
        <v>885</v>
      </c>
      <c r="T255" s="38" t="s">
        <v>55</v>
      </c>
      <c r="U255" s="38" t="s">
        <v>56</v>
      </c>
      <c r="V255" s="38" t="s">
        <v>71</v>
      </c>
      <c r="W255" s="37">
        <v>5.0E8</v>
      </c>
      <c r="X255" s="38" t="s">
        <v>120</v>
      </c>
      <c r="Y255" s="38" t="s">
        <v>120</v>
      </c>
      <c r="Z255" s="38" t="s">
        <v>60</v>
      </c>
      <c r="AA255" s="38" t="s">
        <v>121</v>
      </c>
      <c r="AB255" s="38" t="s">
        <v>846</v>
      </c>
      <c r="AC255" s="38" t="s">
        <v>846</v>
      </c>
      <c r="AD255" s="38" t="s">
        <v>3919</v>
      </c>
      <c r="AE255" s="38" t="s">
        <v>54</v>
      </c>
      <c r="AF255" s="37">
        <v>7.0</v>
      </c>
    </row>
    <row r="256">
      <c r="A256" s="38" t="s">
        <v>1590</v>
      </c>
      <c r="B256" s="38" t="s">
        <v>54</v>
      </c>
      <c r="C256" s="38" t="s">
        <v>54</v>
      </c>
      <c r="D256" s="38" t="s">
        <v>367</v>
      </c>
      <c r="E256" s="38" t="s">
        <v>1591</v>
      </c>
      <c r="F256" s="38" t="s">
        <v>174</v>
      </c>
      <c r="G256" s="38" t="s">
        <v>1592</v>
      </c>
      <c r="H256" s="38" t="s">
        <v>1593</v>
      </c>
      <c r="I256" s="38" t="s">
        <v>367</v>
      </c>
      <c r="J256" s="37">
        <v>0.0</v>
      </c>
      <c r="K256" s="38" t="s">
        <v>1594</v>
      </c>
      <c r="L256" s="38" t="s">
        <v>1595</v>
      </c>
      <c r="M256" s="38" t="s">
        <v>54</v>
      </c>
      <c r="N256" s="38" t="s">
        <v>49</v>
      </c>
      <c r="O256" s="38" t="s">
        <v>50</v>
      </c>
      <c r="P256" s="38" t="s">
        <v>69</v>
      </c>
      <c r="Q256" s="38" t="s">
        <v>52</v>
      </c>
      <c r="R256" s="38" t="s">
        <v>53</v>
      </c>
      <c r="S256" s="38" t="s">
        <v>54</v>
      </c>
      <c r="T256" s="38" t="s">
        <v>55</v>
      </c>
      <c r="U256" s="38" t="s">
        <v>70</v>
      </c>
      <c r="V256" s="38" t="s">
        <v>71</v>
      </c>
      <c r="W256" s="37">
        <v>1.76271E8</v>
      </c>
      <c r="X256" s="38" t="s">
        <v>58</v>
      </c>
      <c r="Y256" s="38" t="s">
        <v>506</v>
      </c>
      <c r="Z256" s="38" t="s">
        <v>60</v>
      </c>
      <c r="AA256" s="38" t="s">
        <v>61</v>
      </c>
      <c r="AB256" s="38" t="s">
        <v>62</v>
      </c>
      <c r="AC256" s="38" t="s">
        <v>62</v>
      </c>
      <c r="AD256" s="38" t="s">
        <v>3920</v>
      </c>
      <c r="AE256" s="38" t="s">
        <v>54</v>
      </c>
      <c r="AF256" s="38" t="s">
        <v>54</v>
      </c>
    </row>
    <row r="257">
      <c r="A257" s="38" t="s">
        <v>1590</v>
      </c>
      <c r="B257" s="38" t="s">
        <v>54</v>
      </c>
      <c r="C257" s="38" t="s">
        <v>54</v>
      </c>
      <c r="D257" s="38" t="s">
        <v>367</v>
      </c>
      <c r="E257" s="38" t="s">
        <v>1598</v>
      </c>
      <c r="F257" s="38" t="s">
        <v>174</v>
      </c>
      <c r="G257" s="38" t="s">
        <v>1599</v>
      </c>
      <c r="H257" s="38" t="s">
        <v>1593</v>
      </c>
      <c r="I257" s="38" t="s">
        <v>367</v>
      </c>
      <c r="J257" s="37">
        <v>0.0</v>
      </c>
      <c r="K257" s="38" t="s">
        <v>1594</v>
      </c>
      <c r="L257" s="38" t="s">
        <v>1600</v>
      </c>
      <c r="M257" s="38" t="s">
        <v>54</v>
      </c>
      <c r="N257" s="38" t="s">
        <v>49</v>
      </c>
      <c r="O257" s="38" t="s">
        <v>50</v>
      </c>
      <c r="P257" s="38" t="s">
        <v>76</v>
      </c>
      <c r="Q257" s="38" t="s">
        <v>52</v>
      </c>
      <c r="R257" s="38" t="s">
        <v>53</v>
      </c>
      <c r="S257" s="38" t="s">
        <v>54</v>
      </c>
      <c r="T257" s="38" t="s">
        <v>55</v>
      </c>
      <c r="U257" s="38" t="s">
        <v>70</v>
      </c>
      <c r="V257" s="38" t="s">
        <v>71</v>
      </c>
      <c r="W257" s="37">
        <v>1.76271E8</v>
      </c>
      <c r="X257" s="38" t="s">
        <v>58</v>
      </c>
      <c r="Y257" s="38" t="s">
        <v>506</v>
      </c>
      <c r="Z257" s="38" t="s">
        <v>60</v>
      </c>
      <c r="AA257" s="38" t="s">
        <v>61</v>
      </c>
      <c r="AB257" s="38" t="s">
        <v>62</v>
      </c>
      <c r="AC257" s="38" t="s">
        <v>62</v>
      </c>
      <c r="AD257" s="38" t="s">
        <v>3921</v>
      </c>
      <c r="AE257" s="38" t="s">
        <v>54</v>
      </c>
      <c r="AF257" s="38" t="s">
        <v>54</v>
      </c>
    </row>
    <row r="258">
      <c r="A258" s="38" t="s">
        <v>1590</v>
      </c>
      <c r="B258" s="38" t="s">
        <v>54</v>
      </c>
      <c r="C258" s="38" t="s">
        <v>54</v>
      </c>
      <c r="D258" s="38" t="s">
        <v>367</v>
      </c>
      <c r="E258" s="38" t="s">
        <v>1601</v>
      </c>
      <c r="F258" s="38" t="s">
        <v>174</v>
      </c>
      <c r="G258" s="38" t="s">
        <v>1602</v>
      </c>
      <c r="H258" s="38" t="s">
        <v>1593</v>
      </c>
      <c r="I258" s="38" t="s">
        <v>367</v>
      </c>
      <c r="J258" s="37">
        <v>0.0</v>
      </c>
      <c r="K258" s="38" t="s">
        <v>1594</v>
      </c>
      <c r="L258" s="38" t="s">
        <v>1603</v>
      </c>
      <c r="M258" s="38" t="s">
        <v>54</v>
      </c>
      <c r="N258" s="38" t="s">
        <v>49</v>
      </c>
      <c r="O258" s="38" t="s">
        <v>50</v>
      </c>
      <c r="P258" s="38" t="s">
        <v>145</v>
      </c>
      <c r="Q258" s="38" t="s">
        <v>52</v>
      </c>
      <c r="R258" s="38" t="s">
        <v>53</v>
      </c>
      <c r="S258" s="38" t="s">
        <v>54</v>
      </c>
      <c r="T258" s="38" t="s">
        <v>55</v>
      </c>
      <c r="U258" s="38" t="s">
        <v>70</v>
      </c>
      <c r="V258" s="38" t="s">
        <v>71</v>
      </c>
      <c r="W258" s="37">
        <v>1.76271E8</v>
      </c>
      <c r="X258" s="38" t="s">
        <v>58</v>
      </c>
      <c r="Y258" s="38" t="s">
        <v>506</v>
      </c>
      <c r="Z258" s="38" t="s">
        <v>60</v>
      </c>
      <c r="AA258" s="38" t="s">
        <v>61</v>
      </c>
      <c r="AB258" s="38" t="s">
        <v>62</v>
      </c>
      <c r="AC258" s="38" t="s">
        <v>62</v>
      </c>
      <c r="AD258" s="38" t="s">
        <v>3922</v>
      </c>
      <c r="AE258" s="38" t="s">
        <v>54</v>
      </c>
      <c r="AF258" s="38" t="s">
        <v>54</v>
      </c>
    </row>
    <row r="259">
      <c r="A259" s="38" t="s">
        <v>1604</v>
      </c>
      <c r="B259" s="38" t="s">
        <v>54</v>
      </c>
      <c r="C259" s="38" t="s">
        <v>54</v>
      </c>
      <c r="D259" s="38" t="s">
        <v>45</v>
      </c>
      <c r="E259" s="38" t="s">
        <v>1605</v>
      </c>
      <c r="F259" s="38" t="s">
        <v>174</v>
      </c>
      <c r="G259" s="38" t="s">
        <v>1606</v>
      </c>
      <c r="H259" s="38" t="s">
        <v>1607</v>
      </c>
      <c r="I259" s="38" t="s">
        <v>45</v>
      </c>
      <c r="J259" s="37">
        <v>0.0</v>
      </c>
      <c r="K259" s="38" t="s">
        <v>1608</v>
      </c>
      <c r="L259" s="38" t="s">
        <v>1609</v>
      </c>
      <c r="M259" s="38" t="s">
        <v>54</v>
      </c>
      <c r="N259" s="38" t="s">
        <v>49</v>
      </c>
      <c r="O259" s="38" t="s">
        <v>50</v>
      </c>
      <c r="P259" s="38" t="s">
        <v>145</v>
      </c>
      <c r="Q259" s="38" t="s">
        <v>52</v>
      </c>
      <c r="R259" s="38" t="s">
        <v>53</v>
      </c>
      <c r="S259" s="38" t="s">
        <v>54</v>
      </c>
      <c r="T259" s="38" t="s">
        <v>55</v>
      </c>
      <c r="U259" s="38" t="s">
        <v>70</v>
      </c>
      <c r="V259" s="38" t="s">
        <v>71</v>
      </c>
      <c r="W259" s="37">
        <v>1.19544E8</v>
      </c>
      <c r="X259" s="38" t="s">
        <v>58</v>
      </c>
      <c r="Y259" s="38" t="s">
        <v>865</v>
      </c>
      <c r="Z259" s="38" t="s">
        <v>60</v>
      </c>
      <c r="AA259" s="38" t="s">
        <v>61</v>
      </c>
      <c r="AB259" s="38" t="s">
        <v>177</v>
      </c>
      <c r="AC259" s="38" t="s">
        <v>866</v>
      </c>
      <c r="AD259" s="38" t="s">
        <v>3923</v>
      </c>
      <c r="AE259" s="38" t="s">
        <v>54</v>
      </c>
      <c r="AF259" s="38" t="s">
        <v>54</v>
      </c>
    </row>
    <row r="260">
      <c r="A260" s="38" t="s">
        <v>1604</v>
      </c>
      <c r="B260" s="38" t="s">
        <v>54</v>
      </c>
      <c r="C260" s="38" t="s">
        <v>54</v>
      </c>
      <c r="D260" s="38" t="s">
        <v>45</v>
      </c>
      <c r="E260" s="38" t="s">
        <v>1612</v>
      </c>
      <c r="F260" s="38" t="s">
        <v>174</v>
      </c>
      <c r="G260" s="38" t="s">
        <v>1613</v>
      </c>
      <c r="H260" s="38" t="s">
        <v>1607</v>
      </c>
      <c r="I260" s="38" t="s">
        <v>45</v>
      </c>
      <c r="J260" s="37">
        <v>0.0</v>
      </c>
      <c r="K260" s="38" t="s">
        <v>1608</v>
      </c>
      <c r="L260" s="38" t="s">
        <v>1614</v>
      </c>
      <c r="M260" s="38" t="s">
        <v>54</v>
      </c>
      <c r="N260" s="38" t="s">
        <v>49</v>
      </c>
      <c r="O260" s="38" t="s">
        <v>50</v>
      </c>
      <c r="P260" s="38" t="s">
        <v>76</v>
      </c>
      <c r="Q260" s="38" t="s">
        <v>52</v>
      </c>
      <c r="R260" s="38" t="s">
        <v>53</v>
      </c>
      <c r="S260" s="38" t="s">
        <v>54</v>
      </c>
      <c r="T260" s="38" t="s">
        <v>55</v>
      </c>
      <c r="U260" s="38" t="s">
        <v>70</v>
      </c>
      <c r="V260" s="38" t="s">
        <v>71</v>
      </c>
      <c r="W260" s="37">
        <v>1.19544E8</v>
      </c>
      <c r="X260" s="38" t="s">
        <v>58</v>
      </c>
      <c r="Y260" s="38" t="s">
        <v>865</v>
      </c>
      <c r="Z260" s="38" t="s">
        <v>60</v>
      </c>
      <c r="AA260" s="38" t="s">
        <v>61</v>
      </c>
      <c r="AB260" s="38" t="s">
        <v>177</v>
      </c>
      <c r="AC260" s="38" t="s">
        <v>866</v>
      </c>
      <c r="AD260" s="38" t="s">
        <v>3924</v>
      </c>
      <c r="AE260" s="38" t="s">
        <v>54</v>
      </c>
      <c r="AF260" s="38" t="s">
        <v>54</v>
      </c>
    </row>
    <row r="261">
      <c r="A261" s="38" t="s">
        <v>1604</v>
      </c>
      <c r="B261" s="38" t="s">
        <v>54</v>
      </c>
      <c r="C261" s="38" t="s">
        <v>54</v>
      </c>
      <c r="D261" s="38" t="s">
        <v>45</v>
      </c>
      <c r="E261" s="38" t="s">
        <v>1615</v>
      </c>
      <c r="F261" s="38" t="s">
        <v>174</v>
      </c>
      <c r="G261" s="38" t="s">
        <v>1616</v>
      </c>
      <c r="H261" s="38" t="s">
        <v>1607</v>
      </c>
      <c r="I261" s="38" t="s">
        <v>45</v>
      </c>
      <c r="J261" s="37">
        <v>0.0</v>
      </c>
      <c r="K261" s="38" t="s">
        <v>1608</v>
      </c>
      <c r="L261" s="38" t="s">
        <v>1617</v>
      </c>
      <c r="M261" s="38" t="s">
        <v>54</v>
      </c>
      <c r="N261" s="38" t="s">
        <v>49</v>
      </c>
      <c r="O261" s="38" t="s">
        <v>50</v>
      </c>
      <c r="P261" s="38" t="s">
        <v>69</v>
      </c>
      <c r="Q261" s="38" t="s">
        <v>52</v>
      </c>
      <c r="R261" s="38" t="s">
        <v>53</v>
      </c>
      <c r="S261" s="38" t="s">
        <v>54</v>
      </c>
      <c r="T261" s="38" t="s">
        <v>55</v>
      </c>
      <c r="U261" s="38" t="s">
        <v>70</v>
      </c>
      <c r="V261" s="38" t="s">
        <v>71</v>
      </c>
      <c r="W261" s="37">
        <v>1.19544E8</v>
      </c>
      <c r="X261" s="38" t="s">
        <v>58</v>
      </c>
      <c r="Y261" s="38" t="s">
        <v>865</v>
      </c>
      <c r="Z261" s="38" t="s">
        <v>60</v>
      </c>
      <c r="AA261" s="38" t="s">
        <v>61</v>
      </c>
      <c r="AB261" s="38" t="s">
        <v>177</v>
      </c>
      <c r="AC261" s="38" t="s">
        <v>866</v>
      </c>
      <c r="AD261" s="38" t="s">
        <v>3925</v>
      </c>
      <c r="AE261" s="38" t="s">
        <v>54</v>
      </c>
      <c r="AF261" s="38" t="s">
        <v>54</v>
      </c>
    </row>
    <row r="262">
      <c r="A262" s="38" t="s">
        <v>1604</v>
      </c>
      <c r="B262" s="38" t="s">
        <v>54</v>
      </c>
      <c r="C262" s="38" t="s">
        <v>54</v>
      </c>
      <c r="D262" s="38" t="s">
        <v>45</v>
      </c>
      <c r="E262" s="38" t="s">
        <v>1618</v>
      </c>
      <c r="F262" s="38" t="s">
        <v>174</v>
      </c>
      <c r="G262" s="38" t="s">
        <v>1619</v>
      </c>
      <c r="H262" s="38" t="s">
        <v>1607</v>
      </c>
      <c r="I262" s="38" t="s">
        <v>45</v>
      </c>
      <c r="J262" s="37">
        <v>0.0</v>
      </c>
      <c r="K262" s="38" t="s">
        <v>1608</v>
      </c>
      <c r="L262" s="38" t="s">
        <v>1614</v>
      </c>
      <c r="M262" s="38" t="s">
        <v>54</v>
      </c>
      <c r="N262" s="38" t="s">
        <v>49</v>
      </c>
      <c r="O262" s="38" t="s">
        <v>50</v>
      </c>
      <c r="P262" s="38" t="s">
        <v>51</v>
      </c>
      <c r="Q262" s="38" t="s">
        <v>52</v>
      </c>
      <c r="R262" s="38" t="s">
        <v>53</v>
      </c>
      <c r="S262" s="38" t="s">
        <v>54</v>
      </c>
      <c r="T262" s="38" t="s">
        <v>55</v>
      </c>
      <c r="U262" s="38" t="s">
        <v>70</v>
      </c>
      <c r="V262" s="38" t="s">
        <v>71</v>
      </c>
      <c r="W262" s="37">
        <v>1.19544E8</v>
      </c>
      <c r="X262" s="38" t="s">
        <v>58</v>
      </c>
      <c r="Y262" s="38" t="s">
        <v>865</v>
      </c>
      <c r="Z262" s="38" t="s">
        <v>60</v>
      </c>
      <c r="AA262" s="38" t="s">
        <v>61</v>
      </c>
      <c r="AB262" s="38" t="s">
        <v>177</v>
      </c>
      <c r="AC262" s="38" t="s">
        <v>866</v>
      </c>
      <c r="AD262" s="38" t="s">
        <v>3926</v>
      </c>
      <c r="AE262" s="38" t="s">
        <v>54</v>
      </c>
      <c r="AF262" s="38" t="s">
        <v>54</v>
      </c>
    </row>
    <row r="263">
      <c r="A263" s="38" t="s">
        <v>755</v>
      </c>
      <c r="B263" s="37">
        <v>5.701290231078103</v>
      </c>
      <c r="C263" s="37">
        <v>5.739203881316832</v>
      </c>
      <c r="D263" s="38" t="s">
        <v>258</v>
      </c>
      <c r="E263" s="38" t="s">
        <v>1620</v>
      </c>
      <c r="F263" s="38" t="s">
        <v>3927</v>
      </c>
      <c r="G263" s="38" t="s">
        <v>1621</v>
      </c>
      <c r="H263" s="38" t="s">
        <v>758</v>
      </c>
      <c r="I263" s="38" t="s">
        <v>258</v>
      </c>
      <c r="J263" s="37">
        <v>3.75</v>
      </c>
      <c r="K263" s="38" t="s">
        <v>1622</v>
      </c>
      <c r="L263" s="38" t="s">
        <v>1623</v>
      </c>
      <c r="M263" s="37">
        <v>3.9499999999999997</v>
      </c>
      <c r="N263" s="38" t="s">
        <v>115</v>
      </c>
      <c r="O263" s="38" t="s">
        <v>116</v>
      </c>
      <c r="P263" s="38" t="s">
        <v>174</v>
      </c>
      <c r="Q263" s="38" t="s">
        <v>52</v>
      </c>
      <c r="R263" s="38" t="s">
        <v>263</v>
      </c>
      <c r="S263" s="38" t="s">
        <v>497</v>
      </c>
      <c r="T263" s="38" t="s">
        <v>55</v>
      </c>
      <c r="U263" s="38" t="s">
        <v>56</v>
      </c>
      <c r="V263" s="38" t="s">
        <v>71</v>
      </c>
      <c r="W263" s="37">
        <v>1.25E9</v>
      </c>
      <c r="X263" s="38" t="s">
        <v>85</v>
      </c>
      <c r="Y263" s="38" t="s">
        <v>760</v>
      </c>
      <c r="Z263" s="38" t="s">
        <v>60</v>
      </c>
      <c r="AA263" s="38" t="s">
        <v>61</v>
      </c>
      <c r="AB263" s="38" t="s">
        <v>87</v>
      </c>
      <c r="AC263" s="38" t="s">
        <v>266</v>
      </c>
      <c r="AD263" s="38" t="s">
        <v>3928</v>
      </c>
      <c r="AE263" s="37">
        <v>3.637</v>
      </c>
      <c r="AF263" s="37">
        <v>3.9499999999999997</v>
      </c>
    </row>
    <row r="264">
      <c r="A264" s="38" t="s">
        <v>1626</v>
      </c>
      <c r="B264" s="38" t="s">
        <v>54</v>
      </c>
      <c r="C264" s="38" t="s">
        <v>54</v>
      </c>
      <c r="D264" s="38" t="s">
        <v>45</v>
      </c>
      <c r="E264" s="38" t="s">
        <v>1627</v>
      </c>
      <c r="F264" s="38" t="s">
        <v>174</v>
      </c>
      <c r="G264" s="38" t="s">
        <v>1628</v>
      </c>
      <c r="H264" s="38" t="s">
        <v>1629</v>
      </c>
      <c r="I264" s="38" t="s">
        <v>45</v>
      </c>
      <c r="J264" s="37">
        <v>0.0</v>
      </c>
      <c r="K264" s="38" t="s">
        <v>1630</v>
      </c>
      <c r="L264" s="38" t="s">
        <v>1631</v>
      </c>
      <c r="M264" s="38" t="s">
        <v>54</v>
      </c>
      <c r="N264" s="38" t="s">
        <v>49</v>
      </c>
      <c r="O264" s="38" t="s">
        <v>50</v>
      </c>
      <c r="P264" s="38" t="s">
        <v>51</v>
      </c>
      <c r="Q264" s="38" t="s">
        <v>52</v>
      </c>
      <c r="R264" s="38" t="s">
        <v>53</v>
      </c>
      <c r="S264" s="38" t="s">
        <v>54</v>
      </c>
      <c r="T264" s="38" t="s">
        <v>55</v>
      </c>
      <c r="U264" s="38" t="s">
        <v>70</v>
      </c>
      <c r="V264" s="38" t="s">
        <v>71</v>
      </c>
      <c r="W264" s="37">
        <v>7.11168E7</v>
      </c>
      <c r="X264" s="38" t="s">
        <v>58</v>
      </c>
      <c r="Y264" s="38" t="s">
        <v>1632</v>
      </c>
      <c r="Z264" s="38" t="s">
        <v>60</v>
      </c>
      <c r="AA264" s="38" t="s">
        <v>61</v>
      </c>
      <c r="AB264" s="38" t="s">
        <v>177</v>
      </c>
      <c r="AC264" s="38" t="s">
        <v>192</v>
      </c>
      <c r="AD264" s="38" t="s">
        <v>3929</v>
      </c>
      <c r="AE264" s="38" t="s">
        <v>54</v>
      </c>
      <c r="AF264" s="38" t="s">
        <v>54</v>
      </c>
    </row>
    <row r="265">
      <c r="A265" s="38" t="s">
        <v>1626</v>
      </c>
      <c r="B265" s="38" t="s">
        <v>54</v>
      </c>
      <c r="C265" s="38" t="s">
        <v>54</v>
      </c>
      <c r="D265" s="38" t="s">
        <v>45</v>
      </c>
      <c r="E265" s="38" t="s">
        <v>1634</v>
      </c>
      <c r="F265" s="38" t="s">
        <v>174</v>
      </c>
      <c r="G265" s="38" t="s">
        <v>1635</v>
      </c>
      <c r="H265" s="38" t="s">
        <v>1629</v>
      </c>
      <c r="I265" s="38" t="s">
        <v>45</v>
      </c>
      <c r="J265" s="37">
        <v>0.0</v>
      </c>
      <c r="K265" s="38" t="s">
        <v>1630</v>
      </c>
      <c r="L265" s="38" t="s">
        <v>1636</v>
      </c>
      <c r="M265" s="38" t="s">
        <v>54</v>
      </c>
      <c r="N265" s="38" t="s">
        <v>49</v>
      </c>
      <c r="O265" s="38" t="s">
        <v>50</v>
      </c>
      <c r="P265" s="38" t="s">
        <v>69</v>
      </c>
      <c r="Q265" s="38" t="s">
        <v>52</v>
      </c>
      <c r="R265" s="38" t="s">
        <v>53</v>
      </c>
      <c r="S265" s="38" t="s">
        <v>54</v>
      </c>
      <c r="T265" s="38" t="s">
        <v>55</v>
      </c>
      <c r="U265" s="38" t="s">
        <v>70</v>
      </c>
      <c r="V265" s="38" t="s">
        <v>71</v>
      </c>
      <c r="W265" s="37">
        <v>7.11168E7</v>
      </c>
      <c r="X265" s="38" t="s">
        <v>58</v>
      </c>
      <c r="Y265" s="38" t="s">
        <v>1632</v>
      </c>
      <c r="Z265" s="38" t="s">
        <v>60</v>
      </c>
      <c r="AA265" s="38" t="s">
        <v>61</v>
      </c>
      <c r="AB265" s="38" t="s">
        <v>177</v>
      </c>
      <c r="AC265" s="38" t="s">
        <v>192</v>
      </c>
      <c r="AD265" s="38" t="s">
        <v>3930</v>
      </c>
      <c r="AE265" s="38" t="s">
        <v>54</v>
      </c>
      <c r="AF265" s="38" t="s">
        <v>54</v>
      </c>
    </row>
    <row r="266">
      <c r="A266" s="38" t="s">
        <v>1626</v>
      </c>
      <c r="B266" s="38" t="s">
        <v>54</v>
      </c>
      <c r="C266" s="38" t="s">
        <v>54</v>
      </c>
      <c r="D266" s="38" t="s">
        <v>45</v>
      </c>
      <c r="E266" s="38" t="s">
        <v>1637</v>
      </c>
      <c r="F266" s="38" t="s">
        <v>174</v>
      </c>
      <c r="G266" s="38" t="s">
        <v>1638</v>
      </c>
      <c r="H266" s="38" t="s">
        <v>1629</v>
      </c>
      <c r="I266" s="38" t="s">
        <v>45</v>
      </c>
      <c r="J266" s="37">
        <v>0.0</v>
      </c>
      <c r="K266" s="38" t="s">
        <v>1630</v>
      </c>
      <c r="L266" s="38" t="s">
        <v>1639</v>
      </c>
      <c r="M266" s="38" t="s">
        <v>54</v>
      </c>
      <c r="N266" s="38" t="s">
        <v>49</v>
      </c>
      <c r="O266" s="38" t="s">
        <v>50</v>
      </c>
      <c r="P266" s="38" t="s">
        <v>76</v>
      </c>
      <c r="Q266" s="38" t="s">
        <v>52</v>
      </c>
      <c r="R266" s="38" t="s">
        <v>53</v>
      </c>
      <c r="S266" s="38" t="s">
        <v>54</v>
      </c>
      <c r="T266" s="38" t="s">
        <v>55</v>
      </c>
      <c r="U266" s="38" t="s">
        <v>70</v>
      </c>
      <c r="V266" s="38" t="s">
        <v>71</v>
      </c>
      <c r="W266" s="37">
        <v>7.11168E7</v>
      </c>
      <c r="X266" s="38" t="s">
        <v>58</v>
      </c>
      <c r="Y266" s="38" t="s">
        <v>1632</v>
      </c>
      <c r="Z266" s="38" t="s">
        <v>60</v>
      </c>
      <c r="AA266" s="38" t="s">
        <v>61</v>
      </c>
      <c r="AB266" s="38" t="s">
        <v>177</v>
      </c>
      <c r="AC266" s="38" t="s">
        <v>192</v>
      </c>
      <c r="AD266" s="38" t="s">
        <v>3931</v>
      </c>
      <c r="AE266" s="38" t="s">
        <v>54</v>
      </c>
      <c r="AF266" s="38" t="s">
        <v>54</v>
      </c>
    </row>
    <row r="267">
      <c r="A267" s="38" t="s">
        <v>1640</v>
      </c>
      <c r="B267" s="37">
        <v>1.6803056162243202</v>
      </c>
      <c r="C267" s="37">
        <v>1.7397831239167827</v>
      </c>
      <c r="D267" s="38" t="s">
        <v>170</v>
      </c>
      <c r="E267" s="38" t="s">
        <v>1641</v>
      </c>
      <c r="F267" s="38" t="s">
        <v>3932</v>
      </c>
      <c r="G267" s="38" t="s">
        <v>1642</v>
      </c>
      <c r="H267" s="38" t="s">
        <v>1643</v>
      </c>
      <c r="I267" s="38" t="s">
        <v>170</v>
      </c>
      <c r="J267" s="37">
        <v>0.0</v>
      </c>
      <c r="K267" s="38" t="s">
        <v>1644</v>
      </c>
      <c r="L267" s="38" t="s">
        <v>1645</v>
      </c>
      <c r="M267" s="38" t="s">
        <v>54</v>
      </c>
      <c r="N267" s="38" t="s">
        <v>115</v>
      </c>
      <c r="O267" s="38" t="s">
        <v>116</v>
      </c>
      <c r="P267" s="38" t="s">
        <v>174</v>
      </c>
      <c r="Q267" s="38" t="s">
        <v>52</v>
      </c>
      <c r="R267" s="38" t="s">
        <v>53</v>
      </c>
      <c r="S267" s="38" t="s">
        <v>1646</v>
      </c>
      <c r="T267" s="38" t="s">
        <v>55</v>
      </c>
      <c r="U267" s="38" t="s">
        <v>56</v>
      </c>
      <c r="V267" s="38" t="s">
        <v>57</v>
      </c>
      <c r="W267" s="37">
        <v>2.1610405E9</v>
      </c>
      <c r="X267" s="38" t="s">
        <v>1050</v>
      </c>
      <c r="Y267" s="38" t="s">
        <v>1051</v>
      </c>
      <c r="Z267" s="38" t="s">
        <v>60</v>
      </c>
      <c r="AA267" s="38" t="s">
        <v>61</v>
      </c>
      <c r="AB267" s="38" t="s">
        <v>228</v>
      </c>
      <c r="AC267" s="38" t="s">
        <v>1051</v>
      </c>
      <c r="AD267" s="38" t="s">
        <v>3933</v>
      </c>
      <c r="AE267" s="37">
        <v>0.039</v>
      </c>
      <c r="AF267" s="37">
        <v>0.039</v>
      </c>
    </row>
    <row r="268">
      <c r="A268" s="38" t="s">
        <v>642</v>
      </c>
      <c r="B268" s="37">
        <v>3.1340459840165025</v>
      </c>
      <c r="C268" s="37">
        <v>3.206006197420318</v>
      </c>
      <c r="D268" s="38" t="s">
        <v>367</v>
      </c>
      <c r="E268" s="38" t="s">
        <v>1649</v>
      </c>
      <c r="F268" s="38" t="s">
        <v>3934</v>
      </c>
      <c r="G268" s="38" t="s">
        <v>1650</v>
      </c>
      <c r="H268" s="38" t="s">
        <v>645</v>
      </c>
      <c r="I268" s="38" t="s">
        <v>367</v>
      </c>
      <c r="J268" s="37">
        <v>1.0</v>
      </c>
      <c r="K268" s="38" t="s">
        <v>1651</v>
      </c>
      <c r="L268" s="38" t="s">
        <v>1652</v>
      </c>
      <c r="M268" s="38" t="s">
        <v>54</v>
      </c>
      <c r="N268" s="38" t="s">
        <v>115</v>
      </c>
      <c r="O268" s="38" t="s">
        <v>116</v>
      </c>
      <c r="P268" s="38" t="s">
        <v>226</v>
      </c>
      <c r="Q268" s="38" t="s">
        <v>52</v>
      </c>
      <c r="R268" s="38" t="s">
        <v>1548</v>
      </c>
      <c r="S268" s="38" t="s">
        <v>620</v>
      </c>
      <c r="T268" s="38" t="s">
        <v>55</v>
      </c>
      <c r="U268" s="38" t="s">
        <v>56</v>
      </c>
      <c r="V268" s="38" t="s">
        <v>57</v>
      </c>
      <c r="W268" s="37">
        <v>6.46985E8</v>
      </c>
      <c r="X268" s="38" t="s">
        <v>120</v>
      </c>
      <c r="Y268" s="38" t="s">
        <v>120</v>
      </c>
      <c r="Z268" s="38" t="s">
        <v>60</v>
      </c>
      <c r="AA268" s="38" t="s">
        <v>121</v>
      </c>
      <c r="AB268" s="38" t="s">
        <v>122</v>
      </c>
      <c r="AC268" s="38" t="s">
        <v>122</v>
      </c>
      <c r="AD268" s="38" t="s">
        <v>3935</v>
      </c>
      <c r="AE268" s="37">
        <v>0.928</v>
      </c>
      <c r="AF268" s="37">
        <v>0.928</v>
      </c>
    </row>
    <row r="269">
      <c r="A269" s="38" t="s">
        <v>1655</v>
      </c>
      <c r="B269" s="38" t="s">
        <v>54</v>
      </c>
      <c r="C269" s="38" t="s">
        <v>54</v>
      </c>
      <c r="D269" s="38" t="s">
        <v>45</v>
      </c>
      <c r="E269" s="38" t="s">
        <v>1656</v>
      </c>
      <c r="F269" s="38" t="s">
        <v>174</v>
      </c>
      <c r="G269" s="38" t="s">
        <v>1657</v>
      </c>
      <c r="H269" s="38" t="s">
        <v>1658</v>
      </c>
      <c r="I269" s="38" t="s">
        <v>45</v>
      </c>
      <c r="J269" s="37">
        <v>0.0</v>
      </c>
      <c r="K269" s="38" t="s">
        <v>1659</v>
      </c>
      <c r="L269" s="38" t="s">
        <v>1660</v>
      </c>
      <c r="M269" s="38" t="s">
        <v>54</v>
      </c>
      <c r="N269" s="38" t="s">
        <v>49</v>
      </c>
      <c r="O269" s="38" t="s">
        <v>50</v>
      </c>
      <c r="P269" s="38" t="s">
        <v>69</v>
      </c>
      <c r="Q269" s="38" t="s">
        <v>52</v>
      </c>
      <c r="R269" s="38" t="s">
        <v>53</v>
      </c>
      <c r="S269" s="38" t="s">
        <v>54</v>
      </c>
      <c r="T269" s="38" t="s">
        <v>55</v>
      </c>
      <c r="U269" s="38" t="s">
        <v>56</v>
      </c>
      <c r="V269" s="38" t="s">
        <v>57</v>
      </c>
      <c r="W269" s="37">
        <v>1.22531E8</v>
      </c>
      <c r="X269" s="38" t="s">
        <v>1050</v>
      </c>
      <c r="Y269" s="38" t="s">
        <v>1254</v>
      </c>
      <c r="Z269" s="38" t="s">
        <v>60</v>
      </c>
      <c r="AA269" s="38" t="s">
        <v>61</v>
      </c>
      <c r="AB269" s="38" t="s">
        <v>228</v>
      </c>
      <c r="AC269" s="38" t="s">
        <v>1255</v>
      </c>
      <c r="AD269" s="38" t="s">
        <v>3936</v>
      </c>
      <c r="AE269" s="38" t="s">
        <v>54</v>
      </c>
      <c r="AF269" s="38" t="s">
        <v>54</v>
      </c>
    </row>
    <row r="270">
      <c r="A270" s="38" t="s">
        <v>1655</v>
      </c>
      <c r="B270" s="38" t="s">
        <v>54</v>
      </c>
      <c r="C270" s="38" t="s">
        <v>54</v>
      </c>
      <c r="D270" s="38" t="s">
        <v>45</v>
      </c>
      <c r="E270" s="38" t="s">
        <v>1663</v>
      </c>
      <c r="F270" s="38" t="s">
        <v>174</v>
      </c>
      <c r="G270" s="38" t="s">
        <v>1664</v>
      </c>
      <c r="H270" s="38" t="s">
        <v>1658</v>
      </c>
      <c r="I270" s="38" t="s">
        <v>45</v>
      </c>
      <c r="J270" s="37">
        <v>0.0</v>
      </c>
      <c r="K270" s="38" t="s">
        <v>1659</v>
      </c>
      <c r="L270" s="38" t="s">
        <v>1665</v>
      </c>
      <c r="M270" s="38" t="s">
        <v>54</v>
      </c>
      <c r="N270" s="38" t="s">
        <v>49</v>
      </c>
      <c r="O270" s="38" t="s">
        <v>50</v>
      </c>
      <c r="P270" s="38" t="s">
        <v>76</v>
      </c>
      <c r="Q270" s="38" t="s">
        <v>52</v>
      </c>
      <c r="R270" s="38" t="s">
        <v>53</v>
      </c>
      <c r="S270" s="38" t="s">
        <v>54</v>
      </c>
      <c r="T270" s="38" t="s">
        <v>55</v>
      </c>
      <c r="U270" s="38" t="s">
        <v>56</v>
      </c>
      <c r="V270" s="38" t="s">
        <v>57</v>
      </c>
      <c r="W270" s="37">
        <v>1.22531E8</v>
      </c>
      <c r="X270" s="38" t="s">
        <v>1050</v>
      </c>
      <c r="Y270" s="38" t="s">
        <v>1254</v>
      </c>
      <c r="Z270" s="38" t="s">
        <v>60</v>
      </c>
      <c r="AA270" s="38" t="s">
        <v>61</v>
      </c>
      <c r="AB270" s="38" t="s">
        <v>228</v>
      </c>
      <c r="AC270" s="38" t="s">
        <v>1255</v>
      </c>
      <c r="AD270" s="38" t="s">
        <v>3937</v>
      </c>
      <c r="AE270" s="38" t="s">
        <v>54</v>
      </c>
      <c r="AF270" s="38" t="s">
        <v>54</v>
      </c>
    </row>
    <row r="271">
      <c r="A271" s="38" t="s">
        <v>1666</v>
      </c>
      <c r="B271" s="38" t="s">
        <v>54</v>
      </c>
      <c r="C271" s="38" t="s">
        <v>54</v>
      </c>
      <c r="D271" s="38" t="s">
        <v>45</v>
      </c>
      <c r="E271" s="38" t="s">
        <v>1667</v>
      </c>
      <c r="F271" s="38" t="s">
        <v>174</v>
      </c>
      <c r="G271" s="38" t="s">
        <v>1668</v>
      </c>
      <c r="H271" s="38" t="s">
        <v>1669</v>
      </c>
      <c r="I271" s="38" t="s">
        <v>45</v>
      </c>
      <c r="J271" s="37">
        <v>0.0</v>
      </c>
      <c r="K271" s="38" t="s">
        <v>1670</v>
      </c>
      <c r="L271" s="38" t="s">
        <v>1671</v>
      </c>
      <c r="M271" s="38" t="s">
        <v>54</v>
      </c>
      <c r="N271" s="38" t="s">
        <v>49</v>
      </c>
      <c r="O271" s="38" t="s">
        <v>50</v>
      </c>
      <c r="P271" s="38" t="s">
        <v>69</v>
      </c>
      <c r="Q271" s="38" t="s">
        <v>52</v>
      </c>
      <c r="R271" s="38" t="s">
        <v>53</v>
      </c>
      <c r="S271" s="38" t="s">
        <v>54</v>
      </c>
      <c r="T271" s="38" t="s">
        <v>55</v>
      </c>
      <c r="U271" s="38" t="s">
        <v>70</v>
      </c>
      <c r="V271" s="38" t="s">
        <v>71</v>
      </c>
      <c r="W271" s="37">
        <v>5.935545E7</v>
      </c>
      <c r="X271" s="38" t="s">
        <v>134</v>
      </c>
      <c r="Y271" s="38" t="s">
        <v>227</v>
      </c>
      <c r="Z271" s="38" t="s">
        <v>60</v>
      </c>
      <c r="AA271" s="38" t="s">
        <v>61</v>
      </c>
      <c r="AB271" s="38" t="s">
        <v>228</v>
      </c>
      <c r="AC271" s="38" t="s">
        <v>229</v>
      </c>
      <c r="AD271" s="38" t="s">
        <v>3938</v>
      </c>
      <c r="AE271" s="38" t="s">
        <v>54</v>
      </c>
      <c r="AF271" s="38" t="s">
        <v>54</v>
      </c>
    </row>
    <row r="272">
      <c r="A272" s="38" t="s">
        <v>1666</v>
      </c>
      <c r="B272" s="38" t="s">
        <v>54</v>
      </c>
      <c r="C272" s="38" t="s">
        <v>54</v>
      </c>
      <c r="D272" s="38" t="s">
        <v>45</v>
      </c>
      <c r="E272" s="38" t="s">
        <v>1674</v>
      </c>
      <c r="F272" s="38" t="s">
        <v>174</v>
      </c>
      <c r="G272" s="38" t="s">
        <v>1675</v>
      </c>
      <c r="H272" s="38" t="s">
        <v>1669</v>
      </c>
      <c r="I272" s="38" t="s">
        <v>45</v>
      </c>
      <c r="J272" s="37">
        <v>0.0</v>
      </c>
      <c r="K272" s="38" t="s">
        <v>1670</v>
      </c>
      <c r="L272" s="38" t="s">
        <v>1676</v>
      </c>
      <c r="M272" s="38" t="s">
        <v>54</v>
      </c>
      <c r="N272" s="38" t="s">
        <v>49</v>
      </c>
      <c r="O272" s="38" t="s">
        <v>50</v>
      </c>
      <c r="P272" s="38" t="s">
        <v>76</v>
      </c>
      <c r="Q272" s="38" t="s">
        <v>52</v>
      </c>
      <c r="R272" s="38" t="s">
        <v>53</v>
      </c>
      <c r="S272" s="38" t="s">
        <v>54</v>
      </c>
      <c r="T272" s="38" t="s">
        <v>55</v>
      </c>
      <c r="U272" s="38" t="s">
        <v>70</v>
      </c>
      <c r="V272" s="38" t="s">
        <v>71</v>
      </c>
      <c r="W272" s="37">
        <v>5.935545E7</v>
      </c>
      <c r="X272" s="38" t="s">
        <v>134</v>
      </c>
      <c r="Y272" s="38" t="s">
        <v>227</v>
      </c>
      <c r="Z272" s="38" t="s">
        <v>60</v>
      </c>
      <c r="AA272" s="38" t="s">
        <v>61</v>
      </c>
      <c r="AB272" s="38" t="s">
        <v>228</v>
      </c>
      <c r="AC272" s="38" t="s">
        <v>229</v>
      </c>
      <c r="AD272" s="38" t="s">
        <v>3939</v>
      </c>
      <c r="AE272" s="38" t="s">
        <v>54</v>
      </c>
      <c r="AF272" s="38" t="s">
        <v>54</v>
      </c>
    </row>
    <row r="273">
      <c r="A273" s="38" t="s">
        <v>1677</v>
      </c>
      <c r="B273" s="38" t="s">
        <v>54</v>
      </c>
      <c r="C273" s="38" t="s">
        <v>54</v>
      </c>
      <c r="D273" s="38" t="s">
        <v>45</v>
      </c>
      <c r="E273" s="38" t="s">
        <v>1678</v>
      </c>
      <c r="F273" s="38" t="s">
        <v>174</v>
      </c>
      <c r="G273" s="38" t="s">
        <v>1679</v>
      </c>
      <c r="H273" s="38" t="s">
        <v>1680</v>
      </c>
      <c r="I273" s="38" t="s">
        <v>45</v>
      </c>
      <c r="J273" s="37">
        <v>0.0</v>
      </c>
      <c r="K273" s="38" t="s">
        <v>1681</v>
      </c>
      <c r="L273" s="38" t="s">
        <v>1682</v>
      </c>
      <c r="M273" s="38" t="s">
        <v>54</v>
      </c>
      <c r="N273" s="38" t="s">
        <v>49</v>
      </c>
      <c r="O273" s="38" t="s">
        <v>50</v>
      </c>
      <c r="P273" s="38" t="s">
        <v>51</v>
      </c>
      <c r="Q273" s="38" t="s">
        <v>52</v>
      </c>
      <c r="R273" s="38" t="s">
        <v>53</v>
      </c>
      <c r="S273" s="38" t="s">
        <v>54</v>
      </c>
      <c r="T273" s="38" t="s">
        <v>55</v>
      </c>
      <c r="U273" s="38" t="s">
        <v>70</v>
      </c>
      <c r="V273" s="38" t="s">
        <v>71</v>
      </c>
      <c r="W273" s="37">
        <v>4.35148E8</v>
      </c>
      <c r="X273" s="38" t="s">
        <v>58</v>
      </c>
      <c r="Y273" s="38" t="s">
        <v>59</v>
      </c>
      <c r="Z273" s="38" t="s">
        <v>60</v>
      </c>
      <c r="AA273" s="38" t="s">
        <v>61</v>
      </c>
      <c r="AB273" s="38" t="s">
        <v>177</v>
      </c>
      <c r="AC273" s="38" t="s">
        <v>192</v>
      </c>
      <c r="AD273" s="38" t="s">
        <v>3940</v>
      </c>
      <c r="AE273" s="38" t="s">
        <v>54</v>
      </c>
      <c r="AF273" s="38" t="s">
        <v>54</v>
      </c>
    </row>
    <row r="274">
      <c r="A274" s="38" t="s">
        <v>1677</v>
      </c>
      <c r="B274" s="38" t="s">
        <v>54</v>
      </c>
      <c r="C274" s="38" t="s">
        <v>54</v>
      </c>
      <c r="D274" s="38" t="s">
        <v>45</v>
      </c>
      <c r="E274" s="38" t="s">
        <v>1685</v>
      </c>
      <c r="F274" s="38" t="s">
        <v>174</v>
      </c>
      <c r="G274" s="38" t="s">
        <v>1686</v>
      </c>
      <c r="H274" s="38" t="s">
        <v>1680</v>
      </c>
      <c r="I274" s="38" t="s">
        <v>45</v>
      </c>
      <c r="J274" s="37">
        <v>0.0</v>
      </c>
      <c r="K274" s="38" t="s">
        <v>1681</v>
      </c>
      <c r="L274" s="38" t="s">
        <v>1687</v>
      </c>
      <c r="M274" s="38" t="s">
        <v>54</v>
      </c>
      <c r="N274" s="38" t="s">
        <v>49</v>
      </c>
      <c r="O274" s="38" t="s">
        <v>50</v>
      </c>
      <c r="P274" s="38" t="s">
        <v>69</v>
      </c>
      <c r="Q274" s="38" t="s">
        <v>52</v>
      </c>
      <c r="R274" s="38" t="s">
        <v>53</v>
      </c>
      <c r="S274" s="38" t="s">
        <v>54</v>
      </c>
      <c r="T274" s="38" t="s">
        <v>55</v>
      </c>
      <c r="U274" s="38" t="s">
        <v>70</v>
      </c>
      <c r="V274" s="38" t="s">
        <v>71</v>
      </c>
      <c r="W274" s="37">
        <v>4.35148E8</v>
      </c>
      <c r="X274" s="38" t="s">
        <v>58</v>
      </c>
      <c r="Y274" s="38" t="s">
        <v>59</v>
      </c>
      <c r="Z274" s="38" t="s">
        <v>60</v>
      </c>
      <c r="AA274" s="38" t="s">
        <v>61</v>
      </c>
      <c r="AB274" s="38" t="s">
        <v>177</v>
      </c>
      <c r="AC274" s="38" t="s">
        <v>192</v>
      </c>
      <c r="AD274" s="38" t="s">
        <v>3941</v>
      </c>
      <c r="AE274" s="38" t="s">
        <v>54</v>
      </c>
      <c r="AF274" s="38" t="s">
        <v>54</v>
      </c>
    </row>
    <row r="275">
      <c r="A275" s="38" t="s">
        <v>1677</v>
      </c>
      <c r="B275" s="38" t="s">
        <v>54</v>
      </c>
      <c r="C275" s="38" t="s">
        <v>54</v>
      </c>
      <c r="D275" s="38" t="s">
        <v>45</v>
      </c>
      <c r="E275" s="38" t="s">
        <v>1688</v>
      </c>
      <c r="F275" s="38" t="s">
        <v>174</v>
      </c>
      <c r="G275" s="38" t="s">
        <v>1689</v>
      </c>
      <c r="H275" s="38" t="s">
        <v>1680</v>
      </c>
      <c r="I275" s="38" t="s">
        <v>45</v>
      </c>
      <c r="J275" s="37">
        <v>0.0</v>
      </c>
      <c r="K275" s="38" t="s">
        <v>1681</v>
      </c>
      <c r="L275" s="38" t="s">
        <v>1690</v>
      </c>
      <c r="M275" s="38" t="s">
        <v>54</v>
      </c>
      <c r="N275" s="38" t="s">
        <v>49</v>
      </c>
      <c r="O275" s="38" t="s">
        <v>50</v>
      </c>
      <c r="P275" s="38" t="s">
        <v>76</v>
      </c>
      <c r="Q275" s="38" t="s">
        <v>52</v>
      </c>
      <c r="R275" s="38" t="s">
        <v>53</v>
      </c>
      <c r="S275" s="38" t="s">
        <v>54</v>
      </c>
      <c r="T275" s="38" t="s">
        <v>55</v>
      </c>
      <c r="U275" s="38" t="s">
        <v>70</v>
      </c>
      <c r="V275" s="38" t="s">
        <v>71</v>
      </c>
      <c r="W275" s="37">
        <v>4.35148E8</v>
      </c>
      <c r="X275" s="38" t="s">
        <v>58</v>
      </c>
      <c r="Y275" s="38" t="s">
        <v>59</v>
      </c>
      <c r="Z275" s="38" t="s">
        <v>60</v>
      </c>
      <c r="AA275" s="38" t="s">
        <v>61</v>
      </c>
      <c r="AB275" s="38" t="s">
        <v>177</v>
      </c>
      <c r="AC275" s="38" t="s">
        <v>192</v>
      </c>
      <c r="AD275" s="38" t="s">
        <v>3942</v>
      </c>
      <c r="AE275" s="38" t="s">
        <v>54</v>
      </c>
      <c r="AF275" s="38" t="s">
        <v>54</v>
      </c>
    </row>
    <row r="276">
      <c r="A276" s="38" t="s">
        <v>642</v>
      </c>
      <c r="B276" s="37">
        <v>1.1194228970780262</v>
      </c>
      <c r="C276" s="37">
        <v>1.1890036666322157</v>
      </c>
      <c r="D276" s="38" t="s">
        <v>367</v>
      </c>
      <c r="E276" s="38" t="s">
        <v>1691</v>
      </c>
      <c r="F276" s="38" t="s">
        <v>3943</v>
      </c>
      <c r="G276" s="38" t="s">
        <v>1692</v>
      </c>
      <c r="H276" s="38" t="s">
        <v>645</v>
      </c>
      <c r="I276" s="38" t="s">
        <v>367</v>
      </c>
      <c r="J276" s="37">
        <v>0.0</v>
      </c>
      <c r="K276" s="38" t="s">
        <v>1693</v>
      </c>
      <c r="L276" s="38" t="s">
        <v>1694</v>
      </c>
      <c r="M276" s="38" t="s">
        <v>54</v>
      </c>
      <c r="N276" s="38" t="s">
        <v>115</v>
      </c>
      <c r="O276" s="38" t="s">
        <v>116</v>
      </c>
      <c r="P276" s="38" t="s">
        <v>226</v>
      </c>
      <c r="Q276" s="38" t="s">
        <v>52</v>
      </c>
      <c r="R276" s="38" t="s">
        <v>53</v>
      </c>
      <c r="S276" s="38" t="s">
        <v>620</v>
      </c>
      <c r="T276" s="38" t="s">
        <v>55</v>
      </c>
      <c r="U276" s="38" t="s">
        <v>56</v>
      </c>
      <c r="V276" s="38" t="s">
        <v>57</v>
      </c>
      <c r="W276" s="37">
        <v>1.11262E9</v>
      </c>
      <c r="X276" s="38" t="s">
        <v>120</v>
      </c>
      <c r="Y276" s="38" t="s">
        <v>120</v>
      </c>
      <c r="Z276" s="38" t="s">
        <v>60</v>
      </c>
      <c r="AA276" s="38" t="s">
        <v>121</v>
      </c>
      <c r="AB276" s="38" t="s">
        <v>122</v>
      </c>
      <c r="AC276" s="38" t="s">
        <v>122</v>
      </c>
      <c r="AD276" s="38" t="s">
        <v>3944</v>
      </c>
      <c r="AE276" s="37">
        <v>0.172</v>
      </c>
      <c r="AF276" s="37">
        <v>0.172</v>
      </c>
    </row>
    <row r="277">
      <c r="A277" s="38" t="s">
        <v>642</v>
      </c>
      <c r="B277" s="37">
        <v>1.9192304768538309</v>
      </c>
      <c r="C277" s="37">
        <v>1.9877375019132149</v>
      </c>
      <c r="D277" s="38" t="s">
        <v>367</v>
      </c>
      <c r="E277" s="38" t="s">
        <v>1696</v>
      </c>
      <c r="F277" s="38" t="s">
        <v>3945</v>
      </c>
      <c r="G277" s="38" t="s">
        <v>1697</v>
      </c>
      <c r="H277" s="38" t="s">
        <v>645</v>
      </c>
      <c r="I277" s="38" t="s">
        <v>367</v>
      </c>
      <c r="J277" s="37">
        <v>0.375</v>
      </c>
      <c r="K277" s="38" t="s">
        <v>1693</v>
      </c>
      <c r="L277" s="38" t="s">
        <v>647</v>
      </c>
      <c r="M277" s="38" t="s">
        <v>54</v>
      </c>
      <c r="N277" s="38" t="s">
        <v>115</v>
      </c>
      <c r="O277" s="38" t="s">
        <v>116</v>
      </c>
      <c r="P277" s="38" t="s">
        <v>226</v>
      </c>
      <c r="Q277" s="38" t="s">
        <v>52</v>
      </c>
      <c r="R277" s="38" t="s">
        <v>53</v>
      </c>
      <c r="S277" s="38" t="s">
        <v>620</v>
      </c>
      <c r="T277" s="38" t="s">
        <v>55</v>
      </c>
      <c r="U277" s="38" t="s">
        <v>56</v>
      </c>
      <c r="V277" s="38" t="s">
        <v>57</v>
      </c>
      <c r="W277" s="37">
        <v>1.11262E9</v>
      </c>
      <c r="X277" s="38" t="s">
        <v>120</v>
      </c>
      <c r="Y277" s="38" t="s">
        <v>120</v>
      </c>
      <c r="Z277" s="38" t="s">
        <v>60</v>
      </c>
      <c r="AA277" s="38" t="s">
        <v>121</v>
      </c>
      <c r="AB277" s="38" t="s">
        <v>122</v>
      </c>
      <c r="AC277" s="38" t="s">
        <v>122</v>
      </c>
      <c r="AD277" s="38" t="s">
        <v>3946</v>
      </c>
      <c r="AE277" s="37">
        <v>0.429</v>
      </c>
      <c r="AF277" s="37">
        <v>0.429</v>
      </c>
    </row>
    <row r="278">
      <c r="A278" s="38" t="s">
        <v>642</v>
      </c>
      <c r="B278" s="37">
        <v>2.7489236699976054</v>
      </c>
      <c r="C278" s="37">
        <v>2.8188975329180117</v>
      </c>
      <c r="D278" s="38" t="s">
        <v>367</v>
      </c>
      <c r="E278" s="38" t="s">
        <v>1699</v>
      </c>
      <c r="F278" s="38" t="s">
        <v>3947</v>
      </c>
      <c r="G278" s="38" t="s">
        <v>1700</v>
      </c>
      <c r="H278" s="38" t="s">
        <v>645</v>
      </c>
      <c r="I278" s="38" t="s">
        <v>367</v>
      </c>
      <c r="J278" s="37">
        <v>1.125</v>
      </c>
      <c r="K278" s="38" t="s">
        <v>1693</v>
      </c>
      <c r="L278" s="38" t="s">
        <v>1701</v>
      </c>
      <c r="M278" s="38" t="s">
        <v>54</v>
      </c>
      <c r="N278" s="38" t="s">
        <v>115</v>
      </c>
      <c r="O278" s="38" t="s">
        <v>116</v>
      </c>
      <c r="P278" s="38" t="s">
        <v>226</v>
      </c>
      <c r="Q278" s="38" t="s">
        <v>52</v>
      </c>
      <c r="R278" s="38" t="s">
        <v>53</v>
      </c>
      <c r="S278" s="38" t="s">
        <v>620</v>
      </c>
      <c r="T278" s="38" t="s">
        <v>55</v>
      </c>
      <c r="U278" s="38" t="s">
        <v>56</v>
      </c>
      <c r="V278" s="38" t="s">
        <v>57</v>
      </c>
      <c r="W278" s="37">
        <v>5.5631E8</v>
      </c>
      <c r="X278" s="38" t="s">
        <v>120</v>
      </c>
      <c r="Y278" s="38" t="s">
        <v>120</v>
      </c>
      <c r="Z278" s="38" t="s">
        <v>60</v>
      </c>
      <c r="AA278" s="38" t="s">
        <v>121</v>
      </c>
      <c r="AB278" s="38" t="s">
        <v>122</v>
      </c>
      <c r="AC278" s="38" t="s">
        <v>122</v>
      </c>
      <c r="AD278" s="38" t="s">
        <v>3948</v>
      </c>
      <c r="AE278" s="37">
        <v>1.059</v>
      </c>
      <c r="AF278" s="37">
        <v>1.059</v>
      </c>
    </row>
    <row r="279">
      <c r="A279" s="38" t="s">
        <v>1704</v>
      </c>
      <c r="B279" s="38" t="s">
        <v>54</v>
      </c>
      <c r="C279" s="38" t="s">
        <v>54</v>
      </c>
      <c r="D279" s="38" t="s">
        <v>258</v>
      </c>
      <c r="E279" s="38" t="s">
        <v>1705</v>
      </c>
      <c r="F279" s="38" t="s">
        <v>174</v>
      </c>
      <c r="G279" s="38" t="s">
        <v>1706</v>
      </c>
      <c r="H279" s="38" t="s">
        <v>1707</v>
      </c>
      <c r="I279" s="38" t="s">
        <v>258</v>
      </c>
      <c r="J279" s="37">
        <v>0.0</v>
      </c>
      <c r="K279" s="38" t="s">
        <v>1708</v>
      </c>
      <c r="L279" s="38" t="s">
        <v>1709</v>
      </c>
      <c r="M279" s="38" t="s">
        <v>54</v>
      </c>
      <c r="N279" s="38" t="s">
        <v>49</v>
      </c>
      <c r="O279" s="38" t="s">
        <v>50</v>
      </c>
      <c r="P279" s="38" t="s">
        <v>51</v>
      </c>
      <c r="Q279" s="38" t="s">
        <v>52</v>
      </c>
      <c r="R279" s="38" t="s">
        <v>53</v>
      </c>
      <c r="S279" s="38" t="s">
        <v>54</v>
      </c>
      <c r="T279" s="38" t="s">
        <v>55</v>
      </c>
      <c r="U279" s="38" t="s">
        <v>70</v>
      </c>
      <c r="V279" s="38" t="s">
        <v>71</v>
      </c>
      <c r="W279" s="37">
        <v>5.52845000287E8</v>
      </c>
      <c r="X279" s="38" t="s">
        <v>85</v>
      </c>
      <c r="Y279" s="38" t="s">
        <v>515</v>
      </c>
      <c r="Z279" s="38" t="s">
        <v>60</v>
      </c>
      <c r="AA279" s="38" t="s">
        <v>61</v>
      </c>
      <c r="AB279" s="38" t="s">
        <v>87</v>
      </c>
      <c r="AC279" s="38" t="s">
        <v>515</v>
      </c>
      <c r="AD279" s="38" t="s">
        <v>3949</v>
      </c>
      <c r="AE279" s="38" t="s">
        <v>54</v>
      </c>
      <c r="AF279" s="38" t="s">
        <v>54</v>
      </c>
    </row>
    <row r="280">
      <c r="A280" s="38" t="s">
        <v>1704</v>
      </c>
      <c r="B280" s="38" t="s">
        <v>54</v>
      </c>
      <c r="C280" s="38" t="s">
        <v>54</v>
      </c>
      <c r="D280" s="38" t="s">
        <v>258</v>
      </c>
      <c r="E280" s="38" t="s">
        <v>1712</v>
      </c>
      <c r="F280" s="38" t="s">
        <v>174</v>
      </c>
      <c r="G280" s="38" t="s">
        <v>1713</v>
      </c>
      <c r="H280" s="38" t="s">
        <v>1707</v>
      </c>
      <c r="I280" s="38" t="s">
        <v>258</v>
      </c>
      <c r="J280" s="37">
        <v>0.0</v>
      </c>
      <c r="K280" s="38" t="s">
        <v>1708</v>
      </c>
      <c r="L280" s="38" t="s">
        <v>1714</v>
      </c>
      <c r="M280" s="38" t="s">
        <v>54</v>
      </c>
      <c r="N280" s="38" t="s">
        <v>49</v>
      </c>
      <c r="O280" s="38" t="s">
        <v>50</v>
      </c>
      <c r="P280" s="38" t="s">
        <v>1715</v>
      </c>
      <c r="Q280" s="38" t="s">
        <v>52</v>
      </c>
      <c r="R280" s="38" t="s">
        <v>53</v>
      </c>
      <c r="S280" s="38" t="s">
        <v>54</v>
      </c>
      <c r="T280" s="38" t="s">
        <v>55</v>
      </c>
      <c r="U280" s="38" t="s">
        <v>70</v>
      </c>
      <c r="V280" s="38" t="s">
        <v>71</v>
      </c>
      <c r="W280" s="37">
        <v>4.8760929E8</v>
      </c>
      <c r="X280" s="38" t="s">
        <v>85</v>
      </c>
      <c r="Y280" s="38" t="s">
        <v>515</v>
      </c>
      <c r="Z280" s="38" t="s">
        <v>60</v>
      </c>
      <c r="AA280" s="38" t="s">
        <v>61</v>
      </c>
      <c r="AB280" s="38" t="s">
        <v>87</v>
      </c>
      <c r="AC280" s="38" t="s">
        <v>515</v>
      </c>
      <c r="AD280" s="38" t="s">
        <v>3950</v>
      </c>
      <c r="AE280" s="38" t="s">
        <v>54</v>
      </c>
      <c r="AF280" s="38" t="s">
        <v>54</v>
      </c>
    </row>
    <row r="281">
      <c r="A281" s="38" t="s">
        <v>1704</v>
      </c>
      <c r="B281" s="38" t="s">
        <v>54</v>
      </c>
      <c r="C281" s="38" t="s">
        <v>54</v>
      </c>
      <c r="D281" s="38" t="s">
        <v>258</v>
      </c>
      <c r="E281" s="38" t="s">
        <v>1716</v>
      </c>
      <c r="F281" s="38" t="s">
        <v>174</v>
      </c>
      <c r="G281" s="38" t="s">
        <v>1717</v>
      </c>
      <c r="H281" s="38" t="s">
        <v>1707</v>
      </c>
      <c r="I281" s="38" t="s">
        <v>258</v>
      </c>
      <c r="J281" s="37">
        <v>0.0</v>
      </c>
      <c r="K281" s="38" t="s">
        <v>1708</v>
      </c>
      <c r="L281" s="38" t="s">
        <v>1718</v>
      </c>
      <c r="M281" s="38" t="s">
        <v>54</v>
      </c>
      <c r="N281" s="38" t="s">
        <v>49</v>
      </c>
      <c r="O281" s="38" t="s">
        <v>50</v>
      </c>
      <c r="P281" s="38" t="s">
        <v>1719</v>
      </c>
      <c r="Q281" s="38" t="s">
        <v>52</v>
      </c>
      <c r="R281" s="38" t="s">
        <v>53</v>
      </c>
      <c r="S281" s="38" t="s">
        <v>54</v>
      </c>
      <c r="T281" s="38" t="s">
        <v>55</v>
      </c>
      <c r="U281" s="38" t="s">
        <v>70</v>
      </c>
      <c r="V281" s="38" t="s">
        <v>71</v>
      </c>
      <c r="W281" s="37">
        <v>4.8760929E8</v>
      </c>
      <c r="X281" s="38" t="s">
        <v>85</v>
      </c>
      <c r="Y281" s="38" t="s">
        <v>515</v>
      </c>
      <c r="Z281" s="38" t="s">
        <v>60</v>
      </c>
      <c r="AA281" s="38" t="s">
        <v>61</v>
      </c>
      <c r="AB281" s="38" t="s">
        <v>87</v>
      </c>
      <c r="AC281" s="38" t="s">
        <v>515</v>
      </c>
      <c r="AD281" s="38" t="s">
        <v>3951</v>
      </c>
      <c r="AE281" s="38" t="s">
        <v>54</v>
      </c>
      <c r="AF281" s="38" t="s">
        <v>54</v>
      </c>
    </row>
    <row r="282">
      <c r="A282" s="38" t="s">
        <v>1704</v>
      </c>
      <c r="B282" s="38" t="s">
        <v>54</v>
      </c>
      <c r="C282" s="38" t="s">
        <v>54</v>
      </c>
      <c r="D282" s="38" t="s">
        <v>258</v>
      </c>
      <c r="E282" s="38" t="s">
        <v>1720</v>
      </c>
      <c r="F282" s="38" t="s">
        <v>174</v>
      </c>
      <c r="G282" s="38" t="s">
        <v>1721</v>
      </c>
      <c r="H282" s="38" t="s">
        <v>1707</v>
      </c>
      <c r="I282" s="38" t="s">
        <v>258</v>
      </c>
      <c r="J282" s="37">
        <v>0.0</v>
      </c>
      <c r="K282" s="38" t="s">
        <v>1708</v>
      </c>
      <c r="L282" s="38" t="s">
        <v>1714</v>
      </c>
      <c r="M282" s="38" t="s">
        <v>54</v>
      </c>
      <c r="N282" s="38" t="s">
        <v>49</v>
      </c>
      <c r="O282" s="38" t="s">
        <v>50</v>
      </c>
      <c r="P282" s="38" t="s">
        <v>1722</v>
      </c>
      <c r="Q282" s="38" t="s">
        <v>52</v>
      </c>
      <c r="R282" s="38" t="s">
        <v>263</v>
      </c>
      <c r="S282" s="38" t="s">
        <v>54</v>
      </c>
      <c r="T282" s="38" t="s">
        <v>55</v>
      </c>
      <c r="U282" s="38" t="s">
        <v>70</v>
      </c>
      <c r="V282" s="38" t="s">
        <v>392</v>
      </c>
      <c r="W282" s="37">
        <v>6.5E7</v>
      </c>
      <c r="X282" s="38" t="s">
        <v>85</v>
      </c>
      <c r="Y282" s="38" t="s">
        <v>515</v>
      </c>
      <c r="Z282" s="38" t="s">
        <v>60</v>
      </c>
      <c r="AA282" s="38" t="s">
        <v>61</v>
      </c>
      <c r="AB282" s="38" t="s">
        <v>87</v>
      </c>
      <c r="AC282" s="38" t="s">
        <v>515</v>
      </c>
      <c r="AD282" s="38" t="s">
        <v>3952</v>
      </c>
      <c r="AE282" s="38" t="s">
        <v>54</v>
      </c>
      <c r="AF282" s="38" t="s">
        <v>54</v>
      </c>
    </row>
    <row r="283">
      <c r="A283" s="38" t="s">
        <v>1704</v>
      </c>
      <c r="B283" s="38" t="s">
        <v>54</v>
      </c>
      <c r="C283" s="38" t="s">
        <v>54</v>
      </c>
      <c r="D283" s="38" t="s">
        <v>258</v>
      </c>
      <c r="E283" s="38" t="s">
        <v>1723</v>
      </c>
      <c r="F283" s="38" t="s">
        <v>174</v>
      </c>
      <c r="G283" s="38" t="s">
        <v>1724</v>
      </c>
      <c r="H283" s="38" t="s">
        <v>1707</v>
      </c>
      <c r="I283" s="38" t="s">
        <v>258</v>
      </c>
      <c r="J283" s="37">
        <v>0.0</v>
      </c>
      <c r="K283" s="38" t="s">
        <v>1708</v>
      </c>
      <c r="L283" s="38" t="s">
        <v>1718</v>
      </c>
      <c r="M283" s="38" t="s">
        <v>54</v>
      </c>
      <c r="N283" s="38" t="s">
        <v>49</v>
      </c>
      <c r="O283" s="38" t="s">
        <v>50</v>
      </c>
      <c r="P283" s="38" t="s">
        <v>391</v>
      </c>
      <c r="Q283" s="38" t="s">
        <v>52</v>
      </c>
      <c r="R283" s="38" t="s">
        <v>263</v>
      </c>
      <c r="S283" s="38" t="s">
        <v>54</v>
      </c>
      <c r="T283" s="38" t="s">
        <v>55</v>
      </c>
      <c r="U283" s="38" t="s">
        <v>70</v>
      </c>
      <c r="V283" s="38" t="s">
        <v>392</v>
      </c>
      <c r="W283" s="37">
        <v>6.5E7</v>
      </c>
      <c r="X283" s="38" t="s">
        <v>85</v>
      </c>
      <c r="Y283" s="38" t="s">
        <v>515</v>
      </c>
      <c r="Z283" s="38" t="s">
        <v>60</v>
      </c>
      <c r="AA283" s="38" t="s">
        <v>61</v>
      </c>
      <c r="AB283" s="38" t="s">
        <v>87</v>
      </c>
      <c r="AC283" s="38" t="s">
        <v>515</v>
      </c>
      <c r="AD283" s="38" t="s">
        <v>3953</v>
      </c>
      <c r="AE283" s="38" t="s">
        <v>54</v>
      </c>
      <c r="AF283" s="38" t="s">
        <v>54</v>
      </c>
    </row>
    <row r="284">
      <c r="A284" s="38" t="s">
        <v>1725</v>
      </c>
      <c r="B284" s="38" t="s">
        <v>54</v>
      </c>
      <c r="C284" s="38" t="s">
        <v>54</v>
      </c>
      <c r="D284" s="38" t="s">
        <v>200</v>
      </c>
      <c r="E284" s="38" t="s">
        <v>1726</v>
      </c>
      <c r="F284" s="38" t="s">
        <v>174</v>
      </c>
      <c r="G284" s="38" t="s">
        <v>1727</v>
      </c>
      <c r="H284" s="38" t="s">
        <v>1728</v>
      </c>
      <c r="I284" s="38" t="s">
        <v>200</v>
      </c>
      <c r="J284" s="37">
        <v>0.0</v>
      </c>
      <c r="K284" s="38" t="s">
        <v>1729</v>
      </c>
      <c r="L284" s="38" t="s">
        <v>1730</v>
      </c>
      <c r="M284" s="38" t="s">
        <v>54</v>
      </c>
      <c r="N284" s="38" t="s">
        <v>49</v>
      </c>
      <c r="O284" s="38" t="s">
        <v>50</v>
      </c>
      <c r="P284" s="38" t="s">
        <v>76</v>
      </c>
      <c r="Q284" s="38" t="s">
        <v>52</v>
      </c>
      <c r="R284" s="38" t="s">
        <v>53</v>
      </c>
      <c r="S284" s="38" t="s">
        <v>54</v>
      </c>
      <c r="T284" s="38" t="s">
        <v>55</v>
      </c>
      <c r="U284" s="38" t="s">
        <v>70</v>
      </c>
      <c r="V284" s="38" t="s">
        <v>71</v>
      </c>
      <c r="W284" s="37">
        <v>6.9326875E7</v>
      </c>
      <c r="X284" s="38" t="s">
        <v>58</v>
      </c>
      <c r="Y284" s="38" t="s">
        <v>506</v>
      </c>
      <c r="Z284" s="38" t="s">
        <v>60</v>
      </c>
      <c r="AA284" s="38" t="s">
        <v>61</v>
      </c>
      <c r="AB284" s="38" t="s">
        <v>214</v>
      </c>
      <c r="AC284" s="38" t="s">
        <v>216</v>
      </c>
      <c r="AD284" s="38" t="s">
        <v>3954</v>
      </c>
      <c r="AE284" s="38" t="s">
        <v>54</v>
      </c>
      <c r="AF284" s="38" t="s">
        <v>54</v>
      </c>
    </row>
    <row r="285">
      <c r="A285" s="38" t="s">
        <v>1725</v>
      </c>
      <c r="B285" s="38" t="s">
        <v>54</v>
      </c>
      <c r="C285" s="38" t="s">
        <v>54</v>
      </c>
      <c r="D285" s="38" t="s">
        <v>200</v>
      </c>
      <c r="E285" s="38" t="s">
        <v>1733</v>
      </c>
      <c r="F285" s="38" t="s">
        <v>174</v>
      </c>
      <c r="G285" s="38" t="s">
        <v>1734</v>
      </c>
      <c r="H285" s="38" t="s">
        <v>1728</v>
      </c>
      <c r="I285" s="38" t="s">
        <v>200</v>
      </c>
      <c r="J285" s="37">
        <v>0.0</v>
      </c>
      <c r="K285" s="38" t="s">
        <v>1729</v>
      </c>
      <c r="L285" s="38" t="s">
        <v>1735</v>
      </c>
      <c r="M285" s="38" t="s">
        <v>54</v>
      </c>
      <c r="N285" s="38" t="s">
        <v>49</v>
      </c>
      <c r="O285" s="38" t="s">
        <v>50</v>
      </c>
      <c r="P285" s="38" t="s">
        <v>145</v>
      </c>
      <c r="Q285" s="38" t="s">
        <v>52</v>
      </c>
      <c r="R285" s="38" t="s">
        <v>53</v>
      </c>
      <c r="S285" s="38" t="s">
        <v>54</v>
      </c>
      <c r="T285" s="38" t="s">
        <v>55</v>
      </c>
      <c r="U285" s="38" t="s">
        <v>70</v>
      </c>
      <c r="V285" s="38" t="s">
        <v>71</v>
      </c>
      <c r="W285" s="37">
        <v>6.9326875E7</v>
      </c>
      <c r="X285" s="38" t="s">
        <v>58</v>
      </c>
      <c r="Y285" s="38" t="s">
        <v>506</v>
      </c>
      <c r="Z285" s="38" t="s">
        <v>60</v>
      </c>
      <c r="AA285" s="38" t="s">
        <v>61</v>
      </c>
      <c r="AB285" s="38" t="s">
        <v>214</v>
      </c>
      <c r="AC285" s="38" t="s">
        <v>216</v>
      </c>
      <c r="AD285" s="38" t="s">
        <v>3955</v>
      </c>
      <c r="AE285" s="38" t="s">
        <v>54</v>
      </c>
      <c r="AF285" s="38" t="s">
        <v>54</v>
      </c>
    </row>
    <row r="286">
      <c r="A286" s="38" t="s">
        <v>642</v>
      </c>
      <c r="B286" s="37">
        <v>3.742000463736013</v>
      </c>
      <c r="C286" s="37">
        <v>3.7794309463929046</v>
      </c>
      <c r="D286" s="38" t="s">
        <v>367</v>
      </c>
      <c r="E286" s="38" t="s">
        <v>1736</v>
      </c>
      <c r="F286" s="38" t="s">
        <v>3956</v>
      </c>
      <c r="G286" s="38" t="s">
        <v>1737</v>
      </c>
      <c r="H286" s="38" t="s">
        <v>645</v>
      </c>
      <c r="I286" s="38" t="s">
        <v>367</v>
      </c>
      <c r="J286" s="37">
        <v>2.65</v>
      </c>
      <c r="K286" s="38" t="s">
        <v>1738</v>
      </c>
      <c r="L286" s="38" t="s">
        <v>1739</v>
      </c>
      <c r="M286" s="37">
        <v>2.676</v>
      </c>
      <c r="N286" s="38" t="s">
        <v>49</v>
      </c>
      <c r="O286" s="38" t="s">
        <v>50</v>
      </c>
      <c r="P286" s="38" t="s">
        <v>262</v>
      </c>
      <c r="Q286" s="38" t="s">
        <v>52</v>
      </c>
      <c r="R286" s="38" t="s">
        <v>263</v>
      </c>
      <c r="S286" s="38" t="s">
        <v>620</v>
      </c>
      <c r="T286" s="38" t="s">
        <v>55</v>
      </c>
      <c r="U286" s="38" t="s">
        <v>56</v>
      </c>
      <c r="V286" s="38" t="s">
        <v>71</v>
      </c>
      <c r="W286" s="37">
        <v>1.5E9</v>
      </c>
      <c r="X286" s="38" t="s">
        <v>120</v>
      </c>
      <c r="Y286" s="38" t="s">
        <v>120</v>
      </c>
      <c r="Z286" s="38" t="s">
        <v>60</v>
      </c>
      <c r="AA286" s="38" t="s">
        <v>121</v>
      </c>
      <c r="AB286" s="38" t="s">
        <v>122</v>
      </c>
      <c r="AC286" s="38" t="s">
        <v>122</v>
      </c>
      <c r="AD286" s="38" t="s">
        <v>3957</v>
      </c>
      <c r="AE286" s="37">
        <v>2.677</v>
      </c>
      <c r="AF286" s="37">
        <v>2.676</v>
      </c>
    </row>
    <row r="287">
      <c r="A287" s="38" t="s">
        <v>642</v>
      </c>
      <c r="B287" s="37">
        <v>3.6672556736277646</v>
      </c>
      <c r="C287" s="37">
        <v>3.7401755783348256</v>
      </c>
      <c r="D287" s="38" t="s">
        <v>367</v>
      </c>
      <c r="E287" s="38" t="s">
        <v>1742</v>
      </c>
      <c r="F287" s="38" t="s">
        <v>3958</v>
      </c>
      <c r="G287" s="38" t="s">
        <v>1743</v>
      </c>
      <c r="H287" s="38" t="s">
        <v>645</v>
      </c>
      <c r="I287" s="38" t="s">
        <v>367</v>
      </c>
      <c r="J287" s="37">
        <v>2.65</v>
      </c>
      <c r="K287" s="38" t="s">
        <v>1738</v>
      </c>
      <c r="L287" s="38" t="s">
        <v>1739</v>
      </c>
      <c r="M287" s="37">
        <v>2.676</v>
      </c>
      <c r="N287" s="38" t="s">
        <v>49</v>
      </c>
      <c r="O287" s="38" t="s">
        <v>50</v>
      </c>
      <c r="P287" s="38" t="s">
        <v>271</v>
      </c>
      <c r="Q287" s="38" t="s">
        <v>52</v>
      </c>
      <c r="R287" s="38" t="s">
        <v>263</v>
      </c>
      <c r="S287" s="38" t="s">
        <v>620</v>
      </c>
      <c r="T287" s="38" t="s">
        <v>55</v>
      </c>
      <c r="U287" s="38" t="s">
        <v>56</v>
      </c>
      <c r="V287" s="38" t="s">
        <v>71</v>
      </c>
      <c r="W287" s="37">
        <v>1.5E9</v>
      </c>
      <c r="X287" s="38" t="s">
        <v>120</v>
      </c>
      <c r="Y287" s="38" t="s">
        <v>120</v>
      </c>
      <c r="Z287" s="38" t="s">
        <v>60</v>
      </c>
      <c r="AA287" s="38" t="s">
        <v>121</v>
      </c>
      <c r="AB287" s="38" t="s">
        <v>122</v>
      </c>
      <c r="AC287" s="38" t="s">
        <v>122</v>
      </c>
      <c r="AD287" s="38" t="s">
        <v>3959</v>
      </c>
      <c r="AE287" s="37">
        <v>2.677</v>
      </c>
      <c r="AF287" s="37">
        <v>2.676</v>
      </c>
    </row>
    <row r="288">
      <c r="A288" s="38" t="s">
        <v>41</v>
      </c>
      <c r="B288" s="38" t="s">
        <v>54</v>
      </c>
      <c r="C288" s="38" t="s">
        <v>54</v>
      </c>
      <c r="D288" s="38" t="s">
        <v>45</v>
      </c>
      <c r="E288" s="38" t="s">
        <v>1745</v>
      </c>
      <c r="F288" s="38" t="s">
        <v>174</v>
      </c>
      <c r="G288" s="38" t="s">
        <v>1746</v>
      </c>
      <c r="H288" s="38" t="s">
        <v>44</v>
      </c>
      <c r="I288" s="38" t="s">
        <v>45</v>
      </c>
      <c r="J288" s="37">
        <v>0.0</v>
      </c>
      <c r="K288" s="38" t="s">
        <v>1747</v>
      </c>
      <c r="L288" s="38" t="s">
        <v>1748</v>
      </c>
      <c r="M288" s="38" t="s">
        <v>54</v>
      </c>
      <c r="N288" s="38" t="s">
        <v>49</v>
      </c>
      <c r="O288" s="38" t="s">
        <v>50</v>
      </c>
      <c r="P288" s="38" t="s">
        <v>51</v>
      </c>
      <c r="Q288" s="38" t="s">
        <v>52</v>
      </c>
      <c r="R288" s="38" t="s">
        <v>53</v>
      </c>
      <c r="S288" s="38" t="s">
        <v>54</v>
      </c>
      <c r="T288" s="38" t="s">
        <v>55</v>
      </c>
      <c r="U288" s="38" t="s">
        <v>56</v>
      </c>
      <c r="V288" s="38" t="s">
        <v>57</v>
      </c>
      <c r="W288" s="37">
        <v>2.25626E8</v>
      </c>
      <c r="X288" s="38" t="s">
        <v>58</v>
      </c>
      <c r="Y288" s="38" t="s">
        <v>59</v>
      </c>
      <c r="Z288" s="38" t="s">
        <v>60</v>
      </c>
      <c r="AA288" s="38" t="s">
        <v>61</v>
      </c>
      <c r="AB288" s="38" t="s">
        <v>62</v>
      </c>
      <c r="AC288" s="38" t="s">
        <v>62</v>
      </c>
      <c r="AD288" s="38" t="s">
        <v>3960</v>
      </c>
      <c r="AE288" s="38" t="s">
        <v>54</v>
      </c>
      <c r="AF288" s="38" t="s">
        <v>54</v>
      </c>
    </row>
    <row r="289">
      <c r="A289" s="38" t="s">
        <v>41</v>
      </c>
      <c r="B289" s="38" t="s">
        <v>54</v>
      </c>
      <c r="C289" s="38" t="s">
        <v>54</v>
      </c>
      <c r="D289" s="38" t="s">
        <v>45</v>
      </c>
      <c r="E289" s="38" t="s">
        <v>1750</v>
      </c>
      <c r="F289" s="38" t="s">
        <v>174</v>
      </c>
      <c r="G289" s="38" t="s">
        <v>1751</v>
      </c>
      <c r="H289" s="38" t="s">
        <v>44</v>
      </c>
      <c r="I289" s="38" t="s">
        <v>45</v>
      </c>
      <c r="J289" s="37">
        <v>0.0</v>
      </c>
      <c r="K289" s="38" t="s">
        <v>1747</v>
      </c>
      <c r="L289" s="38" t="s">
        <v>1752</v>
      </c>
      <c r="M289" s="38" t="s">
        <v>54</v>
      </c>
      <c r="N289" s="38" t="s">
        <v>49</v>
      </c>
      <c r="O289" s="38" t="s">
        <v>50</v>
      </c>
      <c r="P289" s="38" t="s">
        <v>1753</v>
      </c>
      <c r="Q289" s="38" t="s">
        <v>52</v>
      </c>
      <c r="R289" s="38" t="s">
        <v>53</v>
      </c>
      <c r="S289" s="38" t="s">
        <v>54</v>
      </c>
      <c r="T289" s="38" t="s">
        <v>55</v>
      </c>
      <c r="U289" s="38" t="s">
        <v>56</v>
      </c>
      <c r="V289" s="38" t="s">
        <v>57</v>
      </c>
      <c r="W289" s="37">
        <v>2.25626E8</v>
      </c>
      <c r="X289" s="38" t="s">
        <v>58</v>
      </c>
      <c r="Y289" s="38" t="s">
        <v>59</v>
      </c>
      <c r="Z289" s="38" t="s">
        <v>60</v>
      </c>
      <c r="AA289" s="38" t="s">
        <v>61</v>
      </c>
      <c r="AB289" s="38" t="s">
        <v>62</v>
      </c>
      <c r="AC289" s="38" t="s">
        <v>62</v>
      </c>
      <c r="AD289" s="38" t="s">
        <v>3961</v>
      </c>
      <c r="AE289" s="38" t="s">
        <v>54</v>
      </c>
      <c r="AF289" s="38" t="s">
        <v>54</v>
      </c>
    </row>
    <row r="290">
      <c r="A290" s="38" t="s">
        <v>41</v>
      </c>
      <c r="B290" s="38" t="s">
        <v>54</v>
      </c>
      <c r="C290" s="38" t="s">
        <v>54</v>
      </c>
      <c r="D290" s="38" t="s">
        <v>45</v>
      </c>
      <c r="E290" s="38" t="s">
        <v>1754</v>
      </c>
      <c r="F290" s="38" t="s">
        <v>174</v>
      </c>
      <c r="G290" s="38" t="s">
        <v>1755</v>
      </c>
      <c r="H290" s="38" t="s">
        <v>44</v>
      </c>
      <c r="I290" s="38" t="s">
        <v>45</v>
      </c>
      <c r="J290" s="37">
        <v>0.0</v>
      </c>
      <c r="K290" s="38" t="s">
        <v>1747</v>
      </c>
      <c r="L290" s="38" t="s">
        <v>1756</v>
      </c>
      <c r="M290" s="38" t="s">
        <v>54</v>
      </c>
      <c r="N290" s="38" t="s">
        <v>49</v>
      </c>
      <c r="O290" s="38" t="s">
        <v>50</v>
      </c>
      <c r="P290" s="38" t="s">
        <v>1312</v>
      </c>
      <c r="Q290" s="38" t="s">
        <v>52</v>
      </c>
      <c r="R290" s="38" t="s">
        <v>53</v>
      </c>
      <c r="S290" s="38" t="s">
        <v>54</v>
      </c>
      <c r="T290" s="38" t="s">
        <v>55</v>
      </c>
      <c r="U290" s="38" t="s">
        <v>56</v>
      </c>
      <c r="V290" s="38" t="s">
        <v>57</v>
      </c>
      <c r="W290" s="37">
        <v>2.25626E8</v>
      </c>
      <c r="X290" s="38" t="s">
        <v>58</v>
      </c>
      <c r="Y290" s="38" t="s">
        <v>59</v>
      </c>
      <c r="Z290" s="38" t="s">
        <v>60</v>
      </c>
      <c r="AA290" s="38" t="s">
        <v>61</v>
      </c>
      <c r="AB290" s="38" t="s">
        <v>62</v>
      </c>
      <c r="AC290" s="38" t="s">
        <v>62</v>
      </c>
      <c r="AD290" s="38" t="s">
        <v>3962</v>
      </c>
      <c r="AE290" s="38" t="s">
        <v>54</v>
      </c>
      <c r="AF290" s="38" t="s">
        <v>54</v>
      </c>
    </row>
    <row r="291">
      <c r="A291" s="38" t="s">
        <v>41</v>
      </c>
      <c r="B291" s="38" t="s">
        <v>54</v>
      </c>
      <c r="C291" s="38" t="s">
        <v>54</v>
      </c>
      <c r="D291" s="38" t="s">
        <v>45</v>
      </c>
      <c r="E291" s="38" t="s">
        <v>1757</v>
      </c>
      <c r="F291" s="38" t="s">
        <v>174</v>
      </c>
      <c r="G291" s="38" t="s">
        <v>1758</v>
      </c>
      <c r="H291" s="38" t="s">
        <v>44</v>
      </c>
      <c r="I291" s="38" t="s">
        <v>45</v>
      </c>
      <c r="J291" s="37">
        <v>0.0</v>
      </c>
      <c r="K291" s="38" t="s">
        <v>1747</v>
      </c>
      <c r="L291" s="38" t="s">
        <v>1759</v>
      </c>
      <c r="M291" s="38" t="s">
        <v>54</v>
      </c>
      <c r="N291" s="38" t="s">
        <v>49</v>
      </c>
      <c r="O291" s="38" t="s">
        <v>50</v>
      </c>
      <c r="P291" s="38" t="s">
        <v>104</v>
      </c>
      <c r="Q291" s="38" t="s">
        <v>52</v>
      </c>
      <c r="R291" s="38" t="s">
        <v>53</v>
      </c>
      <c r="S291" s="38" t="s">
        <v>54</v>
      </c>
      <c r="T291" s="38" t="s">
        <v>55</v>
      </c>
      <c r="U291" s="38" t="s">
        <v>56</v>
      </c>
      <c r="V291" s="38" t="s">
        <v>57</v>
      </c>
      <c r="W291" s="37">
        <v>2.25626E8</v>
      </c>
      <c r="X291" s="38" t="s">
        <v>58</v>
      </c>
      <c r="Y291" s="38" t="s">
        <v>59</v>
      </c>
      <c r="Z291" s="38" t="s">
        <v>60</v>
      </c>
      <c r="AA291" s="38" t="s">
        <v>61</v>
      </c>
      <c r="AB291" s="38" t="s">
        <v>62</v>
      </c>
      <c r="AC291" s="38" t="s">
        <v>62</v>
      </c>
      <c r="AD291" s="38" t="s">
        <v>3963</v>
      </c>
      <c r="AE291" s="38" t="s">
        <v>54</v>
      </c>
      <c r="AF291" s="38" t="s">
        <v>54</v>
      </c>
    </row>
    <row r="292">
      <c r="A292" s="38" t="s">
        <v>41</v>
      </c>
      <c r="B292" s="38" t="s">
        <v>54</v>
      </c>
      <c r="C292" s="38" t="s">
        <v>54</v>
      </c>
      <c r="D292" s="38" t="s">
        <v>45</v>
      </c>
      <c r="E292" s="38" t="s">
        <v>1760</v>
      </c>
      <c r="F292" s="38" t="s">
        <v>174</v>
      </c>
      <c r="G292" s="38" t="s">
        <v>1761</v>
      </c>
      <c r="H292" s="38" t="s">
        <v>44</v>
      </c>
      <c r="I292" s="38" t="s">
        <v>45</v>
      </c>
      <c r="J292" s="37">
        <v>0.0</v>
      </c>
      <c r="K292" s="38" t="s">
        <v>1747</v>
      </c>
      <c r="L292" s="38" t="s">
        <v>1756</v>
      </c>
      <c r="M292" s="38" t="s">
        <v>54</v>
      </c>
      <c r="N292" s="38" t="s">
        <v>49</v>
      </c>
      <c r="O292" s="38" t="s">
        <v>50</v>
      </c>
      <c r="P292" s="38" t="s">
        <v>1097</v>
      </c>
      <c r="Q292" s="38" t="s">
        <v>52</v>
      </c>
      <c r="R292" s="38" t="s">
        <v>53</v>
      </c>
      <c r="S292" s="38" t="s">
        <v>54</v>
      </c>
      <c r="T292" s="38" t="s">
        <v>55</v>
      </c>
      <c r="U292" s="38" t="s">
        <v>70</v>
      </c>
      <c r="V292" s="38" t="s">
        <v>71</v>
      </c>
      <c r="W292" s="37">
        <v>2.25626E8</v>
      </c>
      <c r="X292" s="38" t="s">
        <v>58</v>
      </c>
      <c r="Y292" s="38" t="s">
        <v>59</v>
      </c>
      <c r="Z292" s="38" t="s">
        <v>60</v>
      </c>
      <c r="AA292" s="38" t="s">
        <v>61</v>
      </c>
      <c r="AB292" s="38" t="s">
        <v>62</v>
      </c>
      <c r="AC292" s="38" t="s">
        <v>62</v>
      </c>
      <c r="AD292" s="38" t="s">
        <v>3964</v>
      </c>
      <c r="AE292" s="38" t="s">
        <v>54</v>
      </c>
      <c r="AF292" s="38" t="s">
        <v>54</v>
      </c>
    </row>
    <row r="293">
      <c r="A293" s="38" t="s">
        <v>41</v>
      </c>
      <c r="B293" s="38" t="s">
        <v>54</v>
      </c>
      <c r="C293" s="38" t="s">
        <v>54</v>
      </c>
      <c r="D293" s="38" t="s">
        <v>45</v>
      </c>
      <c r="E293" s="38" t="s">
        <v>1762</v>
      </c>
      <c r="F293" s="38" t="s">
        <v>174</v>
      </c>
      <c r="G293" s="38" t="s">
        <v>1763</v>
      </c>
      <c r="H293" s="38" t="s">
        <v>44</v>
      </c>
      <c r="I293" s="38" t="s">
        <v>45</v>
      </c>
      <c r="J293" s="37">
        <v>0.0</v>
      </c>
      <c r="K293" s="38" t="s">
        <v>1747</v>
      </c>
      <c r="L293" s="38" t="s">
        <v>1759</v>
      </c>
      <c r="M293" s="38" t="s">
        <v>54</v>
      </c>
      <c r="N293" s="38" t="s">
        <v>49</v>
      </c>
      <c r="O293" s="38" t="s">
        <v>50</v>
      </c>
      <c r="P293" s="38" t="s">
        <v>94</v>
      </c>
      <c r="Q293" s="38" t="s">
        <v>52</v>
      </c>
      <c r="R293" s="38" t="s">
        <v>53</v>
      </c>
      <c r="S293" s="38" t="s">
        <v>54</v>
      </c>
      <c r="T293" s="38" t="s">
        <v>55</v>
      </c>
      <c r="U293" s="38" t="s">
        <v>70</v>
      </c>
      <c r="V293" s="38" t="s">
        <v>71</v>
      </c>
      <c r="W293" s="37">
        <v>2.25626E8</v>
      </c>
      <c r="X293" s="38" t="s">
        <v>58</v>
      </c>
      <c r="Y293" s="38" t="s">
        <v>59</v>
      </c>
      <c r="Z293" s="38" t="s">
        <v>60</v>
      </c>
      <c r="AA293" s="38" t="s">
        <v>61</v>
      </c>
      <c r="AB293" s="38" t="s">
        <v>62</v>
      </c>
      <c r="AC293" s="38" t="s">
        <v>62</v>
      </c>
      <c r="AD293" s="38" t="s">
        <v>3965</v>
      </c>
      <c r="AE293" s="38" t="s">
        <v>54</v>
      </c>
      <c r="AF293" s="38" t="s">
        <v>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8" t="s">
        <v>1</v>
      </c>
      <c r="B1" s="38" t="s">
        <v>5</v>
      </c>
      <c r="C1" s="38" t="s">
        <v>21</v>
      </c>
      <c r="D1" s="38" t="s">
        <v>8</v>
      </c>
      <c r="E1" s="38" t="s">
        <v>3</v>
      </c>
      <c r="F1" s="38" t="s">
        <v>2</v>
      </c>
      <c r="G1" s="38" t="s">
        <v>4</v>
      </c>
      <c r="H1" s="38" t="s">
        <v>1764</v>
      </c>
      <c r="I1" s="38" t="s">
        <v>19</v>
      </c>
      <c r="J1" s="38" t="s">
        <v>20</v>
      </c>
      <c r="K1" s="38" t="s">
        <v>22</v>
      </c>
      <c r="L1" s="38" t="s">
        <v>16</v>
      </c>
      <c r="M1" s="38" t="s">
        <v>1765</v>
      </c>
      <c r="N1" s="38" t="s">
        <v>7</v>
      </c>
      <c r="O1" s="38" t="s">
        <v>10</v>
      </c>
      <c r="P1" s="38" t="s">
        <v>9</v>
      </c>
      <c r="Q1" s="38" t="s">
        <v>11</v>
      </c>
      <c r="R1" s="38" t="s">
        <v>15</v>
      </c>
      <c r="S1" s="38" t="s">
        <v>18</v>
      </c>
      <c r="T1" s="38" t="s">
        <v>13</v>
      </c>
      <c r="U1" s="38" t="s">
        <v>17</v>
      </c>
      <c r="V1" s="38" t="s">
        <v>1766</v>
      </c>
      <c r="W1" s="38" t="s">
        <v>36</v>
      </c>
    </row>
    <row r="2">
      <c r="A2" s="38" t="s">
        <v>814</v>
      </c>
      <c r="B2" s="38" t="s">
        <v>817</v>
      </c>
      <c r="C2" s="38" t="s">
        <v>57</v>
      </c>
      <c r="D2" s="38" t="s">
        <v>185</v>
      </c>
      <c r="E2" s="38" t="s">
        <v>3427</v>
      </c>
      <c r="F2" s="38" t="s">
        <v>3428</v>
      </c>
      <c r="G2" s="38" t="s">
        <v>3429</v>
      </c>
      <c r="H2" s="38" t="s">
        <v>54</v>
      </c>
      <c r="I2" s="38" t="s">
        <v>133</v>
      </c>
      <c r="J2" s="38" t="s">
        <v>56</v>
      </c>
      <c r="K2" s="37">
        <v>5.2793E8</v>
      </c>
      <c r="L2" s="38" t="s">
        <v>52</v>
      </c>
      <c r="M2" s="38" t="s">
        <v>1771</v>
      </c>
      <c r="N2" s="38" t="s">
        <v>185</v>
      </c>
      <c r="O2" s="38" t="s">
        <v>3966</v>
      </c>
      <c r="P2" s="37">
        <v>0.625</v>
      </c>
      <c r="Q2" s="38" t="s">
        <v>3967</v>
      </c>
      <c r="R2" s="38" t="s">
        <v>226</v>
      </c>
      <c r="S2" s="38" t="s">
        <v>264</v>
      </c>
      <c r="T2" s="38" t="s">
        <v>115</v>
      </c>
      <c r="U2" s="38" t="s">
        <v>53</v>
      </c>
      <c r="V2" s="38" t="s">
        <v>3430</v>
      </c>
      <c r="W2" s="37">
        <v>0.673</v>
      </c>
    </row>
    <row r="3">
      <c r="A3" s="38" t="s">
        <v>567</v>
      </c>
      <c r="B3" s="38" t="s">
        <v>570</v>
      </c>
      <c r="C3" s="38" t="s">
        <v>57</v>
      </c>
      <c r="D3" s="38" t="s">
        <v>185</v>
      </c>
      <c r="E3" s="38" t="s">
        <v>2687</v>
      </c>
      <c r="F3" s="38" t="s">
        <v>2688</v>
      </c>
      <c r="G3" s="38" t="s">
        <v>2689</v>
      </c>
      <c r="H3" s="38" t="s">
        <v>54</v>
      </c>
      <c r="I3" s="38" t="s">
        <v>55</v>
      </c>
      <c r="J3" s="38" t="s">
        <v>56</v>
      </c>
      <c r="K3" s="37">
        <v>6.41964E8</v>
      </c>
      <c r="L3" s="38" t="s">
        <v>52</v>
      </c>
      <c r="M3" s="38" t="s">
        <v>174</v>
      </c>
      <c r="N3" s="38" t="s">
        <v>185</v>
      </c>
      <c r="O3" s="38" t="s">
        <v>3968</v>
      </c>
      <c r="P3" s="37">
        <v>1.5</v>
      </c>
      <c r="Q3" s="38" t="s">
        <v>3969</v>
      </c>
      <c r="R3" s="38" t="s">
        <v>226</v>
      </c>
      <c r="S3" s="38" t="s">
        <v>497</v>
      </c>
      <c r="T3" s="38" t="s">
        <v>115</v>
      </c>
      <c r="U3" s="38" t="s">
        <v>53</v>
      </c>
      <c r="V3" s="38" t="s">
        <v>2690</v>
      </c>
      <c r="W3" s="37">
        <v>1.608</v>
      </c>
    </row>
    <row r="4">
      <c r="A4" s="38" t="s">
        <v>614</v>
      </c>
      <c r="B4" s="38" t="s">
        <v>617</v>
      </c>
      <c r="C4" s="38" t="s">
        <v>57</v>
      </c>
      <c r="D4" s="38" t="s">
        <v>200</v>
      </c>
      <c r="E4" s="38" t="s">
        <v>2442</v>
      </c>
      <c r="F4" s="38" t="s">
        <v>2443</v>
      </c>
      <c r="G4" s="38" t="s">
        <v>2444</v>
      </c>
      <c r="H4" s="37">
        <v>1.584</v>
      </c>
      <c r="I4" s="38" t="s">
        <v>117</v>
      </c>
      <c r="J4" s="38" t="s">
        <v>56</v>
      </c>
      <c r="K4" s="37">
        <v>8.02455E8</v>
      </c>
      <c r="L4" s="38" t="s">
        <v>52</v>
      </c>
      <c r="M4" s="38" t="s">
        <v>1771</v>
      </c>
      <c r="N4" s="38" t="s">
        <v>200</v>
      </c>
      <c r="O4" s="38" t="s">
        <v>3968</v>
      </c>
      <c r="P4" s="37">
        <v>1.5</v>
      </c>
      <c r="Q4" s="38" t="s">
        <v>3970</v>
      </c>
      <c r="R4" s="38" t="s">
        <v>226</v>
      </c>
      <c r="S4" s="38" t="s">
        <v>620</v>
      </c>
      <c r="T4" s="38" t="s">
        <v>49</v>
      </c>
      <c r="U4" s="38" t="s">
        <v>53</v>
      </c>
      <c r="V4" s="38" t="s">
        <v>2445</v>
      </c>
      <c r="W4" s="37">
        <v>1.554</v>
      </c>
    </row>
    <row r="5">
      <c r="A5" s="38" t="s">
        <v>1360</v>
      </c>
      <c r="B5" s="38" t="s">
        <v>1363</v>
      </c>
      <c r="C5" s="38" t="s">
        <v>57</v>
      </c>
      <c r="D5" s="38" t="s">
        <v>200</v>
      </c>
      <c r="E5" s="38" t="s">
        <v>3209</v>
      </c>
      <c r="F5" s="38" t="s">
        <v>3210</v>
      </c>
      <c r="G5" s="38" t="s">
        <v>3211</v>
      </c>
      <c r="H5" s="37">
        <v>1.318</v>
      </c>
      <c r="I5" s="38" t="s">
        <v>117</v>
      </c>
      <c r="J5" s="38" t="s">
        <v>56</v>
      </c>
      <c r="K5" s="37">
        <v>5.36885E8</v>
      </c>
      <c r="L5" s="38" t="s">
        <v>52</v>
      </c>
      <c r="M5" s="38" t="s">
        <v>1771</v>
      </c>
      <c r="N5" s="38" t="s">
        <v>200</v>
      </c>
      <c r="O5" s="38" t="s">
        <v>3971</v>
      </c>
      <c r="P5" s="37">
        <v>1.25</v>
      </c>
      <c r="Q5" s="38" t="s">
        <v>3972</v>
      </c>
      <c r="R5" s="38" t="s">
        <v>226</v>
      </c>
      <c r="S5" s="38" t="s">
        <v>175</v>
      </c>
      <c r="T5" s="38" t="s">
        <v>49</v>
      </c>
      <c r="U5" s="38" t="s">
        <v>53</v>
      </c>
      <c r="V5" s="38" t="s">
        <v>3212</v>
      </c>
      <c r="W5" s="37">
        <v>1.342</v>
      </c>
    </row>
    <row r="6">
      <c r="A6" s="38" t="s">
        <v>1158</v>
      </c>
      <c r="B6" s="38" t="s">
        <v>1161</v>
      </c>
      <c r="C6" s="38" t="s">
        <v>57</v>
      </c>
      <c r="D6" s="38" t="s">
        <v>185</v>
      </c>
      <c r="E6" s="38" t="s">
        <v>1790</v>
      </c>
      <c r="F6" s="38" t="s">
        <v>1791</v>
      </c>
      <c r="G6" s="38" t="s">
        <v>1792</v>
      </c>
      <c r="H6" s="37">
        <v>1.373</v>
      </c>
      <c r="I6" s="38" t="s">
        <v>117</v>
      </c>
      <c r="J6" s="38" t="s">
        <v>56</v>
      </c>
      <c r="K6" s="37">
        <v>6.44262E8</v>
      </c>
      <c r="L6" s="38" t="s">
        <v>52</v>
      </c>
      <c r="M6" s="38" t="s">
        <v>1793</v>
      </c>
      <c r="N6" s="38" t="s">
        <v>185</v>
      </c>
      <c r="O6" s="38" t="s">
        <v>3971</v>
      </c>
      <c r="P6" s="37">
        <v>2.5</v>
      </c>
      <c r="Q6" s="38" t="s">
        <v>3973</v>
      </c>
      <c r="R6" s="38" t="s">
        <v>174</v>
      </c>
      <c r="S6" s="38" t="s">
        <v>264</v>
      </c>
      <c r="T6" s="38" t="s">
        <v>49</v>
      </c>
      <c r="U6" s="38" t="s">
        <v>53</v>
      </c>
      <c r="V6" s="38" t="s">
        <v>1794</v>
      </c>
      <c r="W6" s="37">
        <v>1.932</v>
      </c>
    </row>
    <row r="7">
      <c r="A7" s="38" t="s">
        <v>477</v>
      </c>
      <c r="B7" s="38" t="s">
        <v>480</v>
      </c>
      <c r="C7" s="38" t="s">
        <v>57</v>
      </c>
      <c r="D7" s="38" t="s">
        <v>45</v>
      </c>
      <c r="E7" s="38" t="s">
        <v>1897</v>
      </c>
      <c r="F7" s="38" t="s">
        <v>1898</v>
      </c>
      <c r="G7" s="38" t="s">
        <v>1899</v>
      </c>
      <c r="H7" s="38" t="s">
        <v>54</v>
      </c>
      <c r="I7" s="38" t="s">
        <v>55</v>
      </c>
      <c r="J7" s="38" t="s">
        <v>56</v>
      </c>
      <c r="K7" s="37">
        <v>5.27325E8</v>
      </c>
      <c r="L7" s="38" t="s">
        <v>459</v>
      </c>
      <c r="M7" s="38" t="s">
        <v>174</v>
      </c>
      <c r="N7" s="38" t="s">
        <v>45</v>
      </c>
      <c r="O7" s="38" t="s">
        <v>3974</v>
      </c>
      <c r="P7" s="37">
        <v>0.375</v>
      </c>
      <c r="Q7" s="38" t="s">
        <v>3975</v>
      </c>
      <c r="R7" s="38" t="s">
        <v>3976</v>
      </c>
      <c r="S7" s="38" t="s">
        <v>190</v>
      </c>
      <c r="T7" s="38" t="s">
        <v>49</v>
      </c>
      <c r="U7" s="38" t="s">
        <v>53</v>
      </c>
      <c r="V7" s="38" t="s">
        <v>1900</v>
      </c>
      <c r="W7" s="37">
        <v>0.381</v>
      </c>
    </row>
    <row r="8">
      <c r="A8" s="38" t="s">
        <v>642</v>
      </c>
      <c r="B8" s="38" t="s">
        <v>645</v>
      </c>
      <c r="C8" s="38" t="s">
        <v>57</v>
      </c>
      <c r="D8" s="38" t="s">
        <v>200</v>
      </c>
      <c r="E8" s="38" t="s">
        <v>2398</v>
      </c>
      <c r="F8" s="38" t="s">
        <v>2399</v>
      </c>
      <c r="G8" s="38" t="s">
        <v>2400</v>
      </c>
      <c r="H8" s="38" t="s">
        <v>54</v>
      </c>
      <c r="I8" s="38" t="s">
        <v>55</v>
      </c>
      <c r="J8" s="38" t="s">
        <v>56</v>
      </c>
      <c r="K8" s="37">
        <v>2.22563025E8</v>
      </c>
      <c r="L8" s="38" t="s">
        <v>52</v>
      </c>
      <c r="M8" s="38" t="s">
        <v>174</v>
      </c>
      <c r="N8" s="38" t="s">
        <v>367</v>
      </c>
      <c r="O8" s="38" t="s">
        <v>3977</v>
      </c>
      <c r="P8" s="37">
        <v>0.55</v>
      </c>
      <c r="Q8" s="38" t="s">
        <v>3978</v>
      </c>
      <c r="R8" s="38" t="s">
        <v>226</v>
      </c>
      <c r="S8" s="38" t="s">
        <v>620</v>
      </c>
      <c r="T8" s="38" t="s">
        <v>49</v>
      </c>
      <c r="U8" s="38" t="s">
        <v>1807</v>
      </c>
      <c r="V8" s="38" t="s">
        <v>2401</v>
      </c>
      <c r="W8" s="37">
        <v>0.477</v>
      </c>
    </row>
    <row r="9">
      <c r="A9" s="38" t="s">
        <v>755</v>
      </c>
      <c r="B9" s="38" t="s">
        <v>758</v>
      </c>
      <c r="C9" s="38" t="s">
        <v>71</v>
      </c>
      <c r="D9" s="38" t="s">
        <v>259</v>
      </c>
      <c r="E9" s="38" t="s">
        <v>3295</v>
      </c>
      <c r="F9" s="38" t="s">
        <v>3296</v>
      </c>
      <c r="G9" s="38" t="s">
        <v>3297</v>
      </c>
      <c r="H9" s="37">
        <v>7.375</v>
      </c>
      <c r="I9" s="38" t="s">
        <v>55</v>
      </c>
      <c r="J9" s="38" t="s">
        <v>56</v>
      </c>
      <c r="K9" s="37">
        <v>1.25E9</v>
      </c>
      <c r="L9" s="38" t="s">
        <v>52</v>
      </c>
      <c r="M9" s="38" t="s">
        <v>1776</v>
      </c>
      <c r="N9" s="38" t="s">
        <v>258</v>
      </c>
      <c r="O9" s="38" t="s">
        <v>3979</v>
      </c>
      <c r="P9" s="37">
        <v>7.0</v>
      </c>
      <c r="Q9" s="38" t="s">
        <v>3980</v>
      </c>
      <c r="R9" s="38" t="s">
        <v>262</v>
      </c>
      <c r="S9" s="38" t="s">
        <v>497</v>
      </c>
      <c r="T9" s="38" t="s">
        <v>115</v>
      </c>
      <c r="U9" s="38" t="s">
        <v>263</v>
      </c>
      <c r="V9" s="38" t="s">
        <v>3298</v>
      </c>
      <c r="W9" s="37">
        <v>7.177</v>
      </c>
    </row>
    <row r="10">
      <c r="A10" s="38" t="s">
        <v>775</v>
      </c>
      <c r="B10" s="38" t="s">
        <v>778</v>
      </c>
      <c r="C10" s="38" t="s">
        <v>57</v>
      </c>
      <c r="D10" s="38" t="s">
        <v>200</v>
      </c>
      <c r="E10" s="38" t="s">
        <v>1768</v>
      </c>
      <c r="F10" s="38" t="s">
        <v>1769</v>
      </c>
      <c r="G10" s="38" t="s">
        <v>1770</v>
      </c>
      <c r="H10" s="38" t="s">
        <v>54</v>
      </c>
      <c r="I10" s="38" t="s">
        <v>55</v>
      </c>
      <c r="J10" s="38" t="s">
        <v>56</v>
      </c>
      <c r="K10" s="37">
        <v>3.21444E8</v>
      </c>
      <c r="L10" s="38" t="s">
        <v>52</v>
      </c>
      <c r="M10" s="38" t="s">
        <v>1771</v>
      </c>
      <c r="N10" s="38" t="s">
        <v>200</v>
      </c>
      <c r="O10" s="38" t="s">
        <v>3979</v>
      </c>
      <c r="P10" s="37">
        <v>1.25</v>
      </c>
      <c r="Q10" s="38" t="s">
        <v>3981</v>
      </c>
      <c r="R10" s="38" t="s">
        <v>226</v>
      </c>
      <c r="S10" s="38" t="s">
        <v>190</v>
      </c>
      <c r="T10" s="38" t="s">
        <v>49</v>
      </c>
      <c r="U10" s="38" t="s">
        <v>53</v>
      </c>
      <c r="V10" s="38" t="s">
        <v>1772</v>
      </c>
      <c r="W10" s="37">
        <v>1.34</v>
      </c>
    </row>
    <row r="11">
      <c r="A11" s="38" t="s">
        <v>755</v>
      </c>
      <c r="B11" s="38" t="s">
        <v>758</v>
      </c>
      <c r="C11" s="38" t="s">
        <v>71</v>
      </c>
      <c r="D11" s="38" t="s">
        <v>259</v>
      </c>
      <c r="E11" s="38" t="s">
        <v>3299</v>
      </c>
      <c r="F11" s="38" t="s">
        <v>3300</v>
      </c>
      <c r="G11" s="38" t="s">
        <v>3301</v>
      </c>
      <c r="H11" s="37">
        <v>7.375</v>
      </c>
      <c r="I11" s="38" t="s">
        <v>55</v>
      </c>
      <c r="J11" s="38" t="s">
        <v>56</v>
      </c>
      <c r="K11" s="37">
        <v>1.25E9</v>
      </c>
      <c r="L11" s="38" t="s">
        <v>52</v>
      </c>
      <c r="M11" s="38" t="s">
        <v>1776</v>
      </c>
      <c r="N11" s="38" t="s">
        <v>258</v>
      </c>
      <c r="O11" s="38" t="s">
        <v>3979</v>
      </c>
      <c r="P11" s="37">
        <v>7.0</v>
      </c>
      <c r="Q11" s="38" t="s">
        <v>3980</v>
      </c>
      <c r="R11" s="38" t="s">
        <v>271</v>
      </c>
      <c r="S11" s="38" t="s">
        <v>497</v>
      </c>
      <c r="T11" s="38" t="s">
        <v>115</v>
      </c>
      <c r="U11" s="38" t="s">
        <v>263</v>
      </c>
      <c r="V11" s="38" t="s">
        <v>3302</v>
      </c>
      <c r="W11" s="37">
        <v>7.186</v>
      </c>
    </row>
    <row r="12">
      <c r="A12" s="38" t="s">
        <v>1560</v>
      </c>
      <c r="B12" s="38" t="s">
        <v>1563</v>
      </c>
      <c r="C12" s="38" t="s">
        <v>57</v>
      </c>
      <c r="D12" s="38" t="s">
        <v>258</v>
      </c>
      <c r="E12" s="38" t="s">
        <v>2723</v>
      </c>
      <c r="F12" s="38" t="s">
        <v>2724</v>
      </c>
      <c r="G12" s="38" t="s">
        <v>2725</v>
      </c>
      <c r="H12" s="38" t="s">
        <v>54</v>
      </c>
      <c r="I12" s="38" t="s">
        <v>55</v>
      </c>
      <c r="J12" s="38" t="s">
        <v>56</v>
      </c>
      <c r="K12" s="37">
        <v>8.344125E8</v>
      </c>
      <c r="L12" s="38" t="s">
        <v>52</v>
      </c>
      <c r="M12" s="38" t="s">
        <v>1771</v>
      </c>
      <c r="N12" s="38" t="s">
        <v>367</v>
      </c>
      <c r="O12" s="38" t="s">
        <v>3982</v>
      </c>
      <c r="P12" s="37">
        <v>1.25</v>
      </c>
      <c r="Q12" s="38" t="s">
        <v>3983</v>
      </c>
      <c r="R12" s="38" t="s">
        <v>174</v>
      </c>
      <c r="S12" s="38" t="s">
        <v>175</v>
      </c>
      <c r="T12" s="38" t="s">
        <v>49</v>
      </c>
      <c r="U12" s="38" t="s">
        <v>53</v>
      </c>
      <c r="V12" s="38" t="s">
        <v>2726</v>
      </c>
      <c r="W12" s="37">
        <v>1.222</v>
      </c>
    </row>
    <row r="13">
      <c r="A13" s="38" t="s">
        <v>1560</v>
      </c>
      <c r="B13" s="38" t="s">
        <v>1563</v>
      </c>
      <c r="C13" s="38" t="s">
        <v>57</v>
      </c>
      <c r="D13" s="38" t="s">
        <v>258</v>
      </c>
      <c r="E13" s="38" t="s">
        <v>2727</v>
      </c>
      <c r="F13" s="38" t="s">
        <v>2728</v>
      </c>
      <c r="G13" s="38" t="s">
        <v>2729</v>
      </c>
      <c r="H13" s="38" t="s">
        <v>54</v>
      </c>
      <c r="I13" s="38" t="s">
        <v>55</v>
      </c>
      <c r="J13" s="38" t="s">
        <v>56</v>
      </c>
      <c r="K13" s="37">
        <v>8.344125E8</v>
      </c>
      <c r="L13" s="38" t="s">
        <v>52</v>
      </c>
      <c r="M13" s="38" t="s">
        <v>174</v>
      </c>
      <c r="N13" s="38" t="s">
        <v>367</v>
      </c>
      <c r="O13" s="38" t="s">
        <v>3982</v>
      </c>
      <c r="P13" s="37">
        <v>2.0</v>
      </c>
      <c r="Q13" s="38" t="s">
        <v>3984</v>
      </c>
      <c r="R13" s="38" t="s">
        <v>174</v>
      </c>
      <c r="S13" s="38" t="s">
        <v>175</v>
      </c>
      <c r="T13" s="38" t="s">
        <v>49</v>
      </c>
      <c r="U13" s="38" t="s">
        <v>53</v>
      </c>
      <c r="V13" s="38" t="s">
        <v>2730</v>
      </c>
      <c r="W13" s="37">
        <v>1.919</v>
      </c>
    </row>
    <row r="14">
      <c r="A14" s="38" t="s">
        <v>671</v>
      </c>
      <c r="B14" s="38" t="s">
        <v>674</v>
      </c>
      <c r="C14" s="38" t="s">
        <v>57</v>
      </c>
      <c r="D14" s="38" t="s">
        <v>185</v>
      </c>
      <c r="E14" s="38" t="s">
        <v>2367</v>
      </c>
      <c r="F14" s="38" t="s">
        <v>2368</v>
      </c>
      <c r="G14" s="38" t="s">
        <v>2369</v>
      </c>
      <c r="H14" s="38" t="s">
        <v>54</v>
      </c>
      <c r="I14" s="38" t="s">
        <v>421</v>
      </c>
      <c r="J14" s="38" t="s">
        <v>56</v>
      </c>
      <c r="K14" s="37">
        <v>5.35195E8</v>
      </c>
      <c r="L14" s="38" t="s">
        <v>52</v>
      </c>
      <c r="M14" s="38" t="s">
        <v>1771</v>
      </c>
      <c r="N14" s="38" t="s">
        <v>185</v>
      </c>
      <c r="O14" s="38" t="s">
        <v>3985</v>
      </c>
      <c r="P14" s="37">
        <v>1.875</v>
      </c>
      <c r="Q14" s="38" t="s">
        <v>1461</v>
      </c>
      <c r="R14" s="38" t="s">
        <v>174</v>
      </c>
      <c r="S14" s="38" t="s">
        <v>190</v>
      </c>
      <c r="T14" s="38" t="s">
        <v>115</v>
      </c>
      <c r="U14" s="38" t="s">
        <v>53</v>
      </c>
      <c r="V14" s="38" t="s">
        <v>2370</v>
      </c>
      <c r="W14" s="37">
        <v>1.89</v>
      </c>
    </row>
    <row r="15">
      <c r="A15" s="38" t="s">
        <v>1640</v>
      </c>
      <c r="B15" s="38" t="s">
        <v>1643</v>
      </c>
      <c r="C15" s="38" t="s">
        <v>57</v>
      </c>
      <c r="D15" s="38" t="s">
        <v>171</v>
      </c>
      <c r="E15" s="38" t="s">
        <v>2969</v>
      </c>
      <c r="F15" s="38" t="s">
        <v>2970</v>
      </c>
      <c r="G15" s="38" t="s">
        <v>2971</v>
      </c>
      <c r="H15" s="38" t="s">
        <v>54</v>
      </c>
      <c r="I15" s="38" t="s">
        <v>55</v>
      </c>
      <c r="J15" s="38" t="s">
        <v>56</v>
      </c>
      <c r="K15" s="37">
        <v>6.41838E8</v>
      </c>
      <c r="L15" s="38" t="s">
        <v>52</v>
      </c>
      <c r="M15" s="38" t="s">
        <v>1771</v>
      </c>
      <c r="N15" s="38" t="s">
        <v>170</v>
      </c>
      <c r="O15" s="38" t="s">
        <v>3986</v>
      </c>
      <c r="P15" s="37">
        <v>1.125</v>
      </c>
      <c r="Q15" s="38" t="s">
        <v>3987</v>
      </c>
      <c r="R15" s="38" t="s">
        <v>174</v>
      </c>
      <c r="S15" s="38" t="s">
        <v>1646</v>
      </c>
      <c r="T15" s="38" t="s">
        <v>115</v>
      </c>
      <c r="U15" s="38" t="s">
        <v>53</v>
      </c>
      <c r="V15" s="38" t="s">
        <v>2972</v>
      </c>
      <c r="W15" s="37">
        <v>1.017</v>
      </c>
    </row>
    <row r="16">
      <c r="A16" s="38" t="s">
        <v>642</v>
      </c>
      <c r="B16" s="38" t="s">
        <v>645</v>
      </c>
      <c r="C16" s="38" t="s">
        <v>71</v>
      </c>
      <c r="D16" s="38" t="s">
        <v>200</v>
      </c>
      <c r="E16" s="38" t="s">
        <v>2402</v>
      </c>
      <c r="F16" s="38" t="s">
        <v>2403</v>
      </c>
      <c r="G16" s="38" t="s">
        <v>2404</v>
      </c>
      <c r="H16" s="37">
        <v>4.760000000000001</v>
      </c>
      <c r="I16" s="38" t="s">
        <v>55</v>
      </c>
      <c r="J16" s="38" t="s">
        <v>56</v>
      </c>
      <c r="K16" s="37">
        <v>1.5E9</v>
      </c>
      <c r="L16" s="38" t="s">
        <v>52</v>
      </c>
      <c r="M16" s="38" t="s">
        <v>1776</v>
      </c>
      <c r="N16" s="38" t="s">
        <v>367</v>
      </c>
      <c r="O16" s="38" t="s">
        <v>3988</v>
      </c>
      <c r="P16" s="37">
        <v>4.75</v>
      </c>
      <c r="Q16" s="38" t="s">
        <v>3989</v>
      </c>
      <c r="R16" s="38" t="s">
        <v>271</v>
      </c>
      <c r="S16" s="38" t="s">
        <v>620</v>
      </c>
      <c r="T16" s="38" t="s">
        <v>49</v>
      </c>
      <c r="U16" s="38" t="s">
        <v>263</v>
      </c>
      <c r="V16" s="38" t="s">
        <v>2405</v>
      </c>
      <c r="W16" s="37">
        <v>4.72</v>
      </c>
    </row>
    <row r="17">
      <c r="A17" s="38" t="s">
        <v>642</v>
      </c>
      <c r="B17" s="38" t="s">
        <v>645</v>
      </c>
      <c r="C17" s="38" t="s">
        <v>71</v>
      </c>
      <c r="D17" s="38" t="s">
        <v>200</v>
      </c>
      <c r="E17" s="38" t="s">
        <v>2406</v>
      </c>
      <c r="F17" s="38" t="s">
        <v>2407</v>
      </c>
      <c r="G17" s="38" t="s">
        <v>2408</v>
      </c>
      <c r="H17" s="37">
        <v>4.760000000000001</v>
      </c>
      <c r="I17" s="38" t="s">
        <v>55</v>
      </c>
      <c r="J17" s="38" t="s">
        <v>56</v>
      </c>
      <c r="K17" s="37">
        <v>1.5E9</v>
      </c>
      <c r="L17" s="38" t="s">
        <v>52</v>
      </c>
      <c r="M17" s="38" t="s">
        <v>1776</v>
      </c>
      <c r="N17" s="38" t="s">
        <v>367</v>
      </c>
      <c r="O17" s="38" t="s">
        <v>3988</v>
      </c>
      <c r="P17" s="37">
        <v>4.75</v>
      </c>
      <c r="Q17" s="38" t="s">
        <v>3989</v>
      </c>
      <c r="R17" s="38" t="s">
        <v>262</v>
      </c>
      <c r="S17" s="38" t="s">
        <v>620</v>
      </c>
      <c r="T17" s="38" t="s">
        <v>49</v>
      </c>
      <c r="U17" s="38" t="s">
        <v>263</v>
      </c>
      <c r="V17" s="38" t="s">
        <v>2409</v>
      </c>
      <c r="W17" s="37">
        <v>4.715</v>
      </c>
    </row>
    <row r="18">
      <c r="A18" s="38" t="s">
        <v>642</v>
      </c>
      <c r="B18" s="38" t="s">
        <v>645</v>
      </c>
      <c r="C18" s="38" t="s">
        <v>71</v>
      </c>
      <c r="D18" s="38" t="s">
        <v>200</v>
      </c>
      <c r="E18" s="38" t="s">
        <v>2410</v>
      </c>
      <c r="F18" s="38" t="s">
        <v>2411</v>
      </c>
      <c r="G18" s="38" t="s">
        <v>2412</v>
      </c>
      <c r="H18" s="37">
        <v>3.7470000000000003</v>
      </c>
      <c r="I18" s="38" t="s">
        <v>55</v>
      </c>
      <c r="J18" s="38" t="s">
        <v>56</v>
      </c>
      <c r="K18" s="37">
        <v>2.0E9</v>
      </c>
      <c r="L18" s="38" t="s">
        <v>52</v>
      </c>
      <c r="M18" s="38" t="s">
        <v>1776</v>
      </c>
      <c r="N18" s="38" t="s">
        <v>367</v>
      </c>
      <c r="O18" s="38" t="s">
        <v>3988</v>
      </c>
      <c r="P18" s="37">
        <v>3.625</v>
      </c>
      <c r="Q18" s="38" t="s">
        <v>3990</v>
      </c>
      <c r="R18" s="38" t="s">
        <v>262</v>
      </c>
      <c r="S18" s="38" t="s">
        <v>620</v>
      </c>
      <c r="T18" s="38" t="s">
        <v>49</v>
      </c>
      <c r="U18" s="38" t="s">
        <v>263</v>
      </c>
      <c r="V18" s="38" t="s">
        <v>2413</v>
      </c>
      <c r="W18" s="37">
        <v>3.742</v>
      </c>
    </row>
    <row r="19">
      <c r="A19" s="38" t="s">
        <v>642</v>
      </c>
      <c r="B19" s="38" t="s">
        <v>645</v>
      </c>
      <c r="C19" s="38" t="s">
        <v>71</v>
      </c>
      <c r="D19" s="38" t="s">
        <v>200</v>
      </c>
      <c r="E19" s="38" t="s">
        <v>2414</v>
      </c>
      <c r="F19" s="38" t="s">
        <v>2415</v>
      </c>
      <c r="G19" s="38" t="s">
        <v>2416</v>
      </c>
      <c r="H19" s="37">
        <v>3.7470000000000003</v>
      </c>
      <c r="I19" s="38" t="s">
        <v>55</v>
      </c>
      <c r="J19" s="38" t="s">
        <v>56</v>
      </c>
      <c r="K19" s="37">
        <v>2.0E9</v>
      </c>
      <c r="L19" s="38" t="s">
        <v>52</v>
      </c>
      <c r="M19" s="38" t="s">
        <v>1776</v>
      </c>
      <c r="N19" s="38" t="s">
        <v>367</v>
      </c>
      <c r="O19" s="38" t="s">
        <v>3988</v>
      </c>
      <c r="P19" s="37">
        <v>3.625</v>
      </c>
      <c r="Q19" s="38" t="s">
        <v>3990</v>
      </c>
      <c r="R19" s="38" t="s">
        <v>271</v>
      </c>
      <c r="S19" s="38" t="s">
        <v>620</v>
      </c>
      <c r="T19" s="38" t="s">
        <v>49</v>
      </c>
      <c r="U19" s="38" t="s">
        <v>263</v>
      </c>
      <c r="V19" s="38" t="s">
        <v>2417</v>
      </c>
      <c r="W19" s="37">
        <v>3.74</v>
      </c>
    </row>
    <row r="20">
      <c r="A20" s="38" t="s">
        <v>491</v>
      </c>
      <c r="B20" s="38" t="s">
        <v>494</v>
      </c>
      <c r="C20" s="38" t="s">
        <v>57</v>
      </c>
      <c r="D20" s="38" t="s">
        <v>200</v>
      </c>
      <c r="E20" s="38" t="s">
        <v>1822</v>
      </c>
      <c r="F20" s="38" t="s">
        <v>1823</v>
      </c>
      <c r="G20" s="38" t="s">
        <v>1824</v>
      </c>
      <c r="H20" s="37">
        <v>1.701</v>
      </c>
      <c r="I20" s="38" t="s">
        <v>55</v>
      </c>
      <c r="J20" s="38" t="s">
        <v>56</v>
      </c>
      <c r="K20" s="37">
        <v>5.6058E8</v>
      </c>
      <c r="L20" s="38" t="s">
        <v>52</v>
      </c>
      <c r="M20" s="38" t="s">
        <v>1825</v>
      </c>
      <c r="N20" s="38" t="s">
        <v>200</v>
      </c>
      <c r="O20" s="38" t="s">
        <v>3991</v>
      </c>
      <c r="P20" s="37">
        <v>1.625</v>
      </c>
      <c r="Q20" s="38" t="s">
        <v>3992</v>
      </c>
      <c r="R20" s="38" t="s">
        <v>226</v>
      </c>
      <c r="S20" s="38" t="s">
        <v>497</v>
      </c>
      <c r="T20" s="38" t="s">
        <v>115</v>
      </c>
      <c r="U20" s="38" t="s">
        <v>53</v>
      </c>
      <c r="V20" s="38" t="s">
        <v>1826</v>
      </c>
      <c r="W20" s="37">
        <v>1.647</v>
      </c>
    </row>
    <row r="21">
      <c r="A21" s="38" t="s">
        <v>1487</v>
      </c>
      <c r="B21" s="38" t="s">
        <v>1490</v>
      </c>
      <c r="C21" s="38" t="s">
        <v>174</v>
      </c>
      <c r="D21" s="38" t="s">
        <v>185</v>
      </c>
      <c r="E21" s="38" t="s">
        <v>2251</v>
      </c>
      <c r="F21" s="38" t="s">
        <v>2252</v>
      </c>
      <c r="G21" s="38" t="s">
        <v>2253</v>
      </c>
      <c r="H21" s="37">
        <v>0.29000000000000004</v>
      </c>
      <c r="I21" s="38" t="s">
        <v>117</v>
      </c>
      <c r="J21" s="38" t="s">
        <v>676</v>
      </c>
      <c r="K21" s="37">
        <v>5.0E8</v>
      </c>
      <c r="L21" s="38" t="s">
        <v>52</v>
      </c>
      <c r="M21" s="38" t="s">
        <v>1771</v>
      </c>
      <c r="N21" s="38" t="s">
        <v>185</v>
      </c>
      <c r="O21" s="38" t="s">
        <v>3993</v>
      </c>
      <c r="P21" s="37">
        <v>0.0</v>
      </c>
      <c r="Q21" s="38" t="s">
        <v>3994</v>
      </c>
      <c r="R21" s="38" t="s">
        <v>1490</v>
      </c>
      <c r="S21" s="38" t="s">
        <v>54</v>
      </c>
      <c r="T21" s="38" t="s">
        <v>189</v>
      </c>
      <c r="U21" s="38" t="s">
        <v>263</v>
      </c>
      <c r="V21" s="38" t="s">
        <v>2254</v>
      </c>
      <c r="W21" s="37">
        <v>0.2</v>
      </c>
    </row>
    <row r="22">
      <c r="A22" s="38" t="s">
        <v>245</v>
      </c>
      <c r="B22" s="38" t="s">
        <v>248</v>
      </c>
      <c r="C22" s="38" t="s">
        <v>57</v>
      </c>
      <c r="D22" s="38" t="s">
        <v>185</v>
      </c>
      <c r="E22" s="38" t="s">
        <v>2288</v>
      </c>
      <c r="F22" s="38" t="s">
        <v>2289</v>
      </c>
      <c r="G22" s="38" t="s">
        <v>2290</v>
      </c>
      <c r="H22" s="38" t="s">
        <v>54</v>
      </c>
      <c r="I22" s="38" t="s">
        <v>55</v>
      </c>
      <c r="J22" s="38" t="s">
        <v>56</v>
      </c>
      <c r="K22" s="37">
        <v>4.50592E7</v>
      </c>
      <c r="L22" s="38" t="s">
        <v>52</v>
      </c>
      <c r="M22" s="38" t="s">
        <v>174</v>
      </c>
      <c r="N22" s="38" t="s">
        <v>185</v>
      </c>
      <c r="O22" s="38" t="s">
        <v>3995</v>
      </c>
      <c r="P22" s="37">
        <v>3.16</v>
      </c>
      <c r="Q22" s="38" t="s">
        <v>3996</v>
      </c>
      <c r="R22" s="38" t="s">
        <v>174</v>
      </c>
      <c r="S22" s="38" t="s">
        <v>54</v>
      </c>
      <c r="T22" s="38" t="s">
        <v>49</v>
      </c>
      <c r="U22" s="38" t="s">
        <v>53</v>
      </c>
      <c r="V22" s="38" t="s">
        <v>2291</v>
      </c>
      <c r="W22" s="38" t="s">
        <v>54</v>
      </c>
    </row>
    <row r="23">
      <c r="A23" s="38" t="s">
        <v>108</v>
      </c>
      <c r="B23" s="38" t="s">
        <v>111</v>
      </c>
      <c r="C23" s="38" t="s">
        <v>57</v>
      </c>
      <c r="D23" s="38" t="s">
        <v>112</v>
      </c>
      <c r="E23" s="38" t="s">
        <v>3327</v>
      </c>
      <c r="F23" s="38" t="s">
        <v>3328</v>
      </c>
      <c r="G23" s="38" t="s">
        <v>3329</v>
      </c>
      <c r="H23" s="38" t="s">
        <v>54</v>
      </c>
      <c r="I23" s="38" t="s">
        <v>55</v>
      </c>
      <c r="J23" s="38" t="s">
        <v>56</v>
      </c>
      <c r="K23" s="37">
        <v>5.6692E8</v>
      </c>
      <c r="L23" s="38" t="s">
        <v>52</v>
      </c>
      <c r="M23" s="38" t="s">
        <v>1776</v>
      </c>
      <c r="N23" s="38" t="s">
        <v>112</v>
      </c>
      <c r="O23" s="38" t="s">
        <v>3997</v>
      </c>
      <c r="P23" s="37">
        <v>2.375</v>
      </c>
      <c r="Q23" s="38" t="s">
        <v>3998</v>
      </c>
      <c r="R23" s="38" t="s">
        <v>174</v>
      </c>
      <c r="S23" s="38" t="s">
        <v>190</v>
      </c>
      <c r="T23" s="38" t="s">
        <v>49</v>
      </c>
      <c r="U23" s="38" t="s">
        <v>53</v>
      </c>
      <c r="V23" s="38" t="s">
        <v>3330</v>
      </c>
      <c r="W23" s="37">
        <v>2.322</v>
      </c>
    </row>
    <row r="24">
      <c r="A24" s="38" t="s">
        <v>917</v>
      </c>
      <c r="B24" s="38" t="s">
        <v>920</v>
      </c>
      <c r="C24" s="38" t="s">
        <v>57</v>
      </c>
      <c r="D24" s="38" t="s">
        <v>185</v>
      </c>
      <c r="E24" s="38" t="s">
        <v>2892</v>
      </c>
      <c r="F24" s="38" t="s">
        <v>2893</v>
      </c>
      <c r="G24" s="38" t="s">
        <v>2894</v>
      </c>
      <c r="H24" s="38" t="s">
        <v>54</v>
      </c>
      <c r="I24" s="38" t="s">
        <v>421</v>
      </c>
      <c r="J24" s="38" t="s">
        <v>56</v>
      </c>
      <c r="K24" s="37">
        <v>5.7098E8</v>
      </c>
      <c r="L24" s="38" t="s">
        <v>52</v>
      </c>
      <c r="M24" s="38" t="s">
        <v>2895</v>
      </c>
      <c r="N24" s="38" t="s">
        <v>185</v>
      </c>
      <c r="O24" s="38" t="s">
        <v>3999</v>
      </c>
      <c r="P24" s="37">
        <v>1.875</v>
      </c>
      <c r="Q24" s="38" t="s">
        <v>4000</v>
      </c>
      <c r="R24" s="38" t="s">
        <v>174</v>
      </c>
      <c r="S24" s="38" t="s">
        <v>190</v>
      </c>
      <c r="T24" s="38" t="s">
        <v>115</v>
      </c>
      <c r="U24" s="38" t="s">
        <v>53</v>
      </c>
      <c r="V24" s="38" t="s">
        <v>2896</v>
      </c>
      <c r="W24" s="37">
        <v>1.879</v>
      </c>
    </row>
    <row r="25">
      <c r="A25" s="38" t="s">
        <v>917</v>
      </c>
      <c r="B25" s="38" t="s">
        <v>920</v>
      </c>
      <c r="C25" s="38" t="s">
        <v>57</v>
      </c>
      <c r="D25" s="38" t="s">
        <v>185</v>
      </c>
      <c r="E25" s="38" t="s">
        <v>2897</v>
      </c>
      <c r="F25" s="38" t="s">
        <v>2898</v>
      </c>
      <c r="G25" s="38" t="s">
        <v>2899</v>
      </c>
      <c r="H25" s="38" t="s">
        <v>54</v>
      </c>
      <c r="I25" s="38" t="s">
        <v>421</v>
      </c>
      <c r="J25" s="38" t="s">
        <v>56</v>
      </c>
      <c r="K25" s="37">
        <v>5.7098E8</v>
      </c>
      <c r="L25" s="38" t="s">
        <v>52</v>
      </c>
      <c r="M25" s="38" t="s">
        <v>2895</v>
      </c>
      <c r="N25" s="38" t="s">
        <v>185</v>
      </c>
      <c r="O25" s="38" t="s">
        <v>3999</v>
      </c>
      <c r="P25" s="37">
        <v>0.75</v>
      </c>
      <c r="Q25" s="38" t="s">
        <v>4001</v>
      </c>
      <c r="R25" s="38" t="s">
        <v>174</v>
      </c>
      <c r="S25" s="38" t="s">
        <v>190</v>
      </c>
      <c r="T25" s="38" t="s">
        <v>115</v>
      </c>
      <c r="U25" s="38" t="s">
        <v>53</v>
      </c>
      <c r="V25" s="38" t="s">
        <v>2900</v>
      </c>
      <c r="W25" s="37">
        <v>0.847</v>
      </c>
    </row>
    <row r="26">
      <c r="A26" s="38" t="s">
        <v>1360</v>
      </c>
      <c r="B26" s="38" t="s">
        <v>1363</v>
      </c>
      <c r="C26" s="38" t="s">
        <v>392</v>
      </c>
      <c r="D26" s="38" t="s">
        <v>200</v>
      </c>
      <c r="E26" s="38" t="s">
        <v>3213</v>
      </c>
      <c r="F26" s="38" t="s">
        <v>3214</v>
      </c>
      <c r="G26" s="38" t="s">
        <v>3215</v>
      </c>
      <c r="H26" s="38" t="s">
        <v>54</v>
      </c>
      <c r="I26" s="38" t="s">
        <v>117</v>
      </c>
      <c r="J26" s="38" t="s">
        <v>70</v>
      </c>
      <c r="K26" s="37">
        <v>4.153765E8</v>
      </c>
      <c r="L26" s="38" t="s">
        <v>52</v>
      </c>
      <c r="M26" s="38" t="s">
        <v>1771</v>
      </c>
      <c r="N26" s="38" t="s">
        <v>200</v>
      </c>
      <c r="O26" s="38" t="s">
        <v>4002</v>
      </c>
      <c r="P26" s="37">
        <v>0.0</v>
      </c>
      <c r="Q26" s="38" t="s">
        <v>4003</v>
      </c>
      <c r="R26" s="38" t="s">
        <v>226</v>
      </c>
      <c r="S26" s="38" t="s">
        <v>175</v>
      </c>
      <c r="T26" s="38" t="s">
        <v>49</v>
      </c>
      <c r="U26" s="38" t="s">
        <v>53</v>
      </c>
      <c r="V26" s="38" t="s">
        <v>3216</v>
      </c>
      <c r="W26" s="37">
        <v>0.081</v>
      </c>
    </row>
    <row r="27">
      <c r="A27" s="38" t="s">
        <v>166</v>
      </c>
      <c r="B27" s="38" t="s">
        <v>169</v>
      </c>
      <c r="C27" s="38" t="s">
        <v>57</v>
      </c>
      <c r="D27" s="38" t="s">
        <v>171</v>
      </c>
      <c r="E27" s="38" t="s">
        <v>2635</v>
      </c>
      <c r="F27" s="38" t="s">
        <v>2636</v>
      </c>
      <c r="G27" s="38" t="s">
        <v>2637</v>
      </c>
      <c r="H27" s="38" t="s">
        <v>54</v>
      </c>
      <c r="I27" s="38" t="s">
        <v>55</v>
      </c>
      <c r="J27" s="38" t="s">
        <v>56</v>
      </c>
      <c r="K27" s="37">
        <v>9.012075E8</v>
      </c>
      <c r="L27" s="38" t="s">
        <v>52</v>
      </c>
      <c r="M27" s="38" t="s">
        <v>1771</v>
      </c>
      <c r="N27" s="38" t="s">
        <v>170</v>
      </c>
      <c r="O27" s="38" t="s">
        <v>4004</v>
      </c>
      <c r="P27" s="37">
        <v>1.75</v>
      </c>
      <c r="Q27" s="38" t="s">
        <v>4005</v>
      </c>
      <c r="R27" s="38" t="s">
        <v>226</v>
      </c>
      <c r="S27" s="38" t="s">
        <v>175</v>
      </c>
      <c r="T27" s="38" t="s">
        <v>115</v>
      </c>
      <c r="U27" s="38" t="s">
        <v>53</v>
      </c>
      <c r="V27" s="38" t="s">
        <v>2638</v>
      </c>
      <c r="W27" s="37">
        <v>1.787</v>
      </c>
    </row>
    <row r="28">
      <c r="A28" s="38" t="s">
        <v>477</v>
      </c>
      <c r="B28" s="38" t="s">
        <v>480</v>
      </c>
      <c r="C28" s="38" t="s">
        <v>57</v>
      </c>
      <c r="D28" s="38" t="s">
        <v>45</v>
      </c>
      <c r="E28" s="38" t="s">
        <v>1901</v>
      </c>
      <c r="F28" s="38" t="s">
        <v>1902</v>
      </c>
      <c r="G28" s="38" t="s">
        <v>1903</v>
      </c>
      <c r="H28" s="38" t="s">
        <v>54</v>
      </c>
      <c r="I28" s="38" t="s">
        <v>55</v>
      </c>
      <c r="J28" s="38" t="s">
        <v>56</v>
      </c>
      <c r="K28" s="37">
        <v>5.95155E8</v>
      </c>
      <c r="L28" s="38" t="s">
        <v>459</v>
      </c>
      <c r="M28" s="38" t="s">
        <v>1771</v>
      </c>
      <c r="N28" s="38" t="s">
        <v>45</v>
      </c>
      <c r="O28" s="38" t="s">
        <v>4006</v>
      </c>
      <c r="P28" s="37">
        <v>0.125</v>
      </c>
      <c r="Q28" s="38" t="s">
        <v>4007</v>
      </c>
      <c r="R28" s="38" t="s">
        <v>4008</v>
      </c>
      <c r="S28" s="38" t="s">
        <v>190</v>
      </c>
      <c r="T28" s="38" t="s">
        <v>49</v>
      </c>
      <c r="U28" s="38" t="s">
        <v>53</v>
      </c>
      <c r="V28" s="38" t="s">
        <v>1904</v>
      </c>
      <c r="W28" s="37">
        <v>0.153</v>
      </c>
    </row>
    <row r="29">
      <c r="A29" s="38" t="s">
        <v>814</v>
      </c>
      <c r="B29" s="38" t="s">
        <v>817</v>
      </c>
      <c r="C29" s="38" t="s">
        <v>57</v>
      </c>
      <c r="D29" s="38" t="s">
        <v>185</v>
      </c>
      <c r="E29" s="38" t="s">
        <v>3431</v>
      </c>
      <c r="F29" s="38" t="s">
        <v>3432</v>
      </c>
      <c r="G29" s="38" t="s">
        <v>3433</v>
      </c>
      <c r="H29" s="38" t="s">
        <v>54</v>
      </c>
      <c r="I29" s="38" t="s">
        <v>133</v>
      </c>
      <c r="J29" s="38" t="s">
        <v>56</v>
      </c>
      <c r="K29" s="37">
        <v>7.17768E8</v>
      </c>
      <c r="L29" s="38" t="s">
        <v>52</v>
      </c>
      <c r="M29" s="38" t="s">
        <v>1771</v>
      </c>
      <c r="N29" s="38" t="s">
        <v>185</v>
      </c>
      <c r="O29" s="38" t="s">
        <v>4009</v>
      </c>
      <c r="P29" s="37">
        <v>0.375</v>
      </c>
      <c r="Q29" s="38" t="s">
        <v>4010</v>
      </c>
      <c r="R29" s="38" t="s">
        <v>226</v>
      </c>
      <c r="S29" s="38" t="s">
        <v>264</v>
      </c>
      <c r="T29" s="38" t="s">
        <v>115</v>
      </c>
      <c r="U29" s="38" t="s">
        <v>53</v>
      </c>
      <c r="V29" s="38" t="s">
        <v>3434</v>
      </c>
      <c r="W29" s="37">
        <v>0.397</v>
      </c>
    </row>
    <row r="30">
      <c r="A30" s="38" t="s">
        <v>614</v>
      </c>
      <c r="B30" s="38" t="s">
        <v>617</v>
      </c>
      <c r="C30" s="38" t="s">
        <v>57</v>
      </c>
      <c r="D30" s="38" t="s">
        <v>200</v>
      </c>
      <c r="E30" s="38" t="s">
        <v>2446</v>
      </c>
      <c r="F30" s="38" t="s">
        <v>2447</v>
      </c>
      <c r="G30" s="38" t="s">
        <v>2448</v>
      </c>
      <c r="H30" s="38" t="s">
        <v>54</v>
      </c>
      <c r="I30" s="38" t="s">
        <v>117</v>
      </c>
      <c r="J30" s="38" t="s">
        <v>56</v>
      </c>
      <c r="K30" s="37">
        <v>7.764445E8</v>
      </c>
      <c r="L30" s="38" t="s">
        <v>52</v>
      </c>
      <c r="M30" s="38" t="s">
        <v>1771</v>
      </c>
      <c r="N30" s="38" t="s">
        <v>200</v>
      </c>
      <c r="O30" s="38" t="s">
        <v>4011</v>
      </c>
      <c r="P30" s="37">
        <v>1.0</v>
      </c>
      <c r="Q30" s="38" t="s">
        <v>4012</v>
      </c>
      <c r="R30" s="38" t="s">
        <v>226</v>
      </c>
      <c r="S30" s="38" t="s">
        <v>620</v>
      </c>
      <c r="T30" s="38" t="s">
        <v>49</v>
      </c>
      <c r="U30" s="38" t="s">
        <v>53</v>
      </c>
      <c r="V30" s="38" t="s">
        <v>2449</v>
      </c>
      <c r="W30" s="37">
        <v>1.111</v>
      </c>
    </row>
    <row r="31">
      <c r="A31" s="38" t="s">
        <v>416</v>
      </c>
      <c r="B31" s="38" t="s">
        <v>419</v>
      </c>
      <c r="C31" s="38" t="s">
        <v>57</v>
      </c>
      <c r="D31" s="38" t="s">
        <v>367</v>
      </c>
      <c r="E31" s="38" t="s">
        <v>2847</v>
      </c>
      <c r="F31" s="38" t="s">
        <v>2848</v>
      </c>
      <c r="G31" s="38" t="s">
        <v>2849</v>
      </c>
      <c r="H31" s="38" t="s">
        <v>54</v>
      </c>
      <c r="I31" s="38" t="s">
        <v>421</v>
      </c>
      <c r="J31" s="38" t="s">
        <v>56</v>
      </c>
      <c r="K31" s="37">
        <v>8.980575E8</v>
      </c>
      <c r="L31" s="38" t="s">
        <v>52</v>
      </c>
      <c r="M31" s="38" t="s">
        <v>1776</v>
      </c>
      <c r="N31" s="38" t="s">
        <v>367</v>
      </c>
      <c r="O31" s="38" t="s">
        <v>4013</v>
      </c>
      <c r="P31" s="37">
        <v>0.875</v>
      </c>
      <c r="Q31" s="38" t="s">
        <v>4014</v>
      </c>
      <c r="R31" s="38" t="s">
        <v>174</v>
      </c>
      <c r="S31" s="38" t="s">
        <v>175</v>
      </c>
      <c r="T31" s="38" t="s">
        <v>115</v>
      </c>
      <c r="U31" s="38" t="s">
        <v>53</v>
      </c>
      <c r="V31" s="38" t="s">
        <v>2850</v>
      </c>
      <c r="W31" s="37">
        <v>0.912</v>
      </c>
    </row>
    <row r="32">
      <c r="A32" s="38" t="s">
        <v>529</v>
      </c>
      <c r="B32" s="38" t="s">
        <v>532</v>
      </c>
      <c r="C32" s="38" t="s">
        <v>57</v>
      </c>
      <c r="D32" s="38" t="s">
        <v>258</v>
      </c>
      <c r="E32" s="38" t="s">
        <v>3411</v>
      </c>
      <c r="F32" s="38" t="s">
        <v>3412</v>
      </c>
      <c r="G32" s="38" t="s">
        <v>3413</v>
      </c>
      <c r="H32" s="38" t="s">
        <v>54</v>
      </c>
      <c r="I32" s="38" t="s">
        <v>55</v>
      </c>
      <c r="J32" s="38" t="s">
        <v>56</v>
      </c>
      <c r="K32" s="37">
        <v>1.77684E8</v>
      </c>
      <c r="L32" s="38" t="s">
        <v>118</v>
      </c>
      <c r="M32" s="38" t="s">
        <v>174</v>
      </c>
      <c r="N32" s="38" t="s">
        <v>258</v>
      </c>
      <c r="O32" s="38" t="s">
        <v>4015</v>
      </c>
      <c r="P32" s="37">
        <v>3.25</v>
      </c>
      <c r="Q32" s="38" t="s">
        <v>4016</v>
      </c>
      <c r="R32" s="38" t="s">
        <v>174</v>
      </c>
      <c r="S32" s="38" t="s">
        <v>54</v>
      </c>
      <c r="T32" s="38" t="s">
        <v>49</v>
      </c>
      <c r="U32" s="38" t="s">
        <v>53</v>
      </c>
      <c r="V32" s="38" t="s">
        <v>3414</v>
      </c>
      <c r="W32" s="37">
        <v>2.697</v>
      </c>
    </row>
    <row r="33">
      <c r="A33" s="38" t="s">
        <v>642</v>
      </c>
      <c r="B33" s="38" t="s">
        <v>645</v>
      </c>
      <c r="C33" s="38" t="s">
        <v>71</v>
      </c>
      <c r="D33" s="38" t="s">
        <v>200</v>
      </c>
      <c r="E33" s="38" t="s">
        <v>2418</v>
      </c>
      <c r="F33" s="38" t="s">
        <v>2419</v>
      </c>
      <c r="G33" s="38" t="s">
        <v>2420</v>
      </c>
      <c r="H33" s="37">
        <v>3.6430000000000002</v>
      </c>
      <c r="I33" s="38" t="s">
        <v>55</v>
      </c>
      <c r="J33" s="38" t="s">
        <v>56</v>
      </c>
      <c r="K33" s="37">
        <v>1.25E9</v>
      </c>
      <c r="L33" s="38" t="s">
        <v>52</v>
      </c>
      <c r="M33" s="38" t="s">
        <v>1776</v>
      </c>
      <c r="N33" s="38" t="s">
        <v>367</v>
      </c>
      <c r="O33" s="38" t="s">
        <v>4017</v>
      </c>
      <c r="P33" s="37">
        <v>3.5</v>
      </c>
      <c r="Q33" s="38" t="s">
        <v>1510</v>
      </c>
      <c r="R33" s="38" t="s">
        <v>262</v>
      </c>
      <c r="S33" s="38" t="s">
        <v>620</v>
      </c>
      <c r="T33" s="38" t="s">
        <v>49</v>
      </c>
      <c r="U33" s="38" t="s">
        <v>263</v>
      </c>
      <c r="V33" s="38" t="s">
        <v>2421</v>
      </c>
      <c r="W33" s="37">
        <v>3.621</v>
      </c>
    </row>
    <row r="34">
      <c r="A34" s="38" t="s">
        <v>642</v>
      </c>
      <c r="B34" s="38" t="s">
        <v>645</v>
      </c>
      <c r="C34" s="38" t="s">
        <v>71</v>
      </c>
      <c r="D34" s="38" t="s">
        <v>200</v>
      </c>
      <c r="E34" s="38" t="s">
        <v>2422</v>
      </c>
      <c r="F34" s="38" t="s">
        <v>2423</v>
      </c>
      <c r="G34" s="38" t="s">
        <v>2424</v>
      </c>
      <c r="H34" s="37">
        <v>3.6430000000000002</v>
      </c>
      <c r="I34" s="38" t="s">
        <v>55</v>
      </c>
      <c r="J34" s="38" t="s">
        <v>56</v>
      </c>
      <c r="K34" s="37">
        <v>1.25E9</v>
      </c>
      <c r="L34" s="38" t="s">
        <v>52</v>
      </c>
      <c r="M34" s="38" t="s">
        <v>1776</v>
      </c>
      <c r="N34" s="38" t="s">
        <v>367</v>
      </c>
      <c r="O34" s="38" t="s">
        <v>4017</v>
      </c>
      <c r="P34" s="37">
        <v>3.5</v>
      </c>
      <c r="Q34" s="38" t="s">
        <v>1510</v>
      </c>
      <c r="R34" s="38" t="s">
        <v>271</v>
      </c>
      <c r="S34" s="38" t="s">
        <v>620</v>
      </c>
      <c r="T34" s="38" t="s">
        <v>49</v>
      </c>
      <c r="U34" s="38" t="s">
        <v>263</v>
      </c>
      <c r="V34" s="38" t="s">
        <v>2425</v>
      </c>
      <c r="W34" s="37">
        <v>3.623</v>
      </c>
    </row>
    <row r="35">
      <c r="A35" s="38" t="s">
        <v>1580</v>
      </c>
      <c r="B35" s="38" t="s">
        <v>1583</v>
      </c>
      <c r="C35" s="38" t="s">
        <v>71</v>
      </c>
      <c r="D35" s="38" t="s">
        <v>259</v>
      </c>
      <c r="E35" s="38" t="s">
        <v>1813</v>
      </c>
      <c r="F35" s="38" t="s">
        <v>1814</v>
      </c>
      <c r="G35" s="38" t="s">
        <v>1815</v>
      </c>
      <c r="H35" s="37">
        <v>5.750000000000002</v>
      </c>
      <c r="I35" s="38" t="s">
        <v>55</v>
      </c>
      <c r="J35" s="38" t="s">
        <v>56</v>
      </c>
      <c r="K35" s="37">
        <v>4.0E8</v>
      </c>
      <c r="L35" s="38" t="s">
        <v>52</v>
      </c>
      <c r="M35" s="38" t="s">
        <v>1816</v>
      </c>
      <c r="N35" s="38" t="s">
        <v>170</v>
      </c>
      <c r="O35" s="38" t="s">
        <v>4018</v>
      </c>
      <c r="P35" s="37">
        <v>5.75</v>
      </c>
      <c r="Q35" s="38" t="s">
        <v>4019</v>
      </c>
      <c r="R35" s="38" t="s">
        <v>262</v>
      </c>
      <c r="S35" s="38" t="s">
        <v>885</v>
      </c>
      <c r="T35" s="38" t="s">
        <v>115</v>
      </c>
      <c r="U35" s="38" t="s">
        <v>263</v>
      </c>
      <c r="V35" s="38" t="s">
        <v>1817</v>
      </c>
      <c r="W35" s="37">
        <v>5.38</v>
      </c>
    </row>
    <row r="36">
      <c r="A36" s="38" t="s">
        <v>1580</v>
      </c>
      <c r="B36" s="38" t="s">
        <v>1583</v>
      </c>
      <c r="C36" s="38" t="s">
        <v>71</v>
      </c>
      <c r="D36" s="38" t="s">
        <v>259</v>
      </c>
      <c r="E36" s="38" t="s">
        <v>1818</v>
      </c>
      <c r="F36" s="38" t="s">
        <v>1819</v>
      </c>
      <c r="G36" s="38" t="s">
        <v>1820</v>
      </c>
      <c r="H36" s="37">
        <v>5.750000000000002</v>
      </c>
      <c r="I36" s="38" t="s">
        <v>55</v>
      </c>
      <c r="J36" s="38" t="s">
        <v>56</v>
      </c>
      <c r="K36" s="37">
        <v>4.0E8</v>
      </c>
      <c r="L36" s="38" t="s">
        <v>52</v>
      </c>
      <c r="M36" s="38" t="s">
        <v>1816</v>
      </c>
      <c r="N36" s="38" t="s">
        <v>170</v>
      </c>
      <c r="O36" s="38" t="s">
        <v>4018</v>
      </c>
      <c r="P36" s="37">
        <v>5.75</v>
      </c>
      <c r="Q36" s="38" t="s">
        <v>4019</v>
      </c>
      <c r="R36" s="38" t="s">
        <v>271</v>
      </c>
      <c r="S36" s="38" t="s">
        <v>885</v>
      </c>
      <c r="T36" s="38" t="s">
        <v>115</v>
      </c>
      <c r="U36" s="38" t="s">
        <v>263</v>
      </c>
      <c r="V36" s="38" t="s">
        <v>1821</v>
      </c>
      <c r="W36" s="37">
        <v>5.35</v>
      </c>
    </row>
    <row r="37">
      <c r="A37" s="38" t="s">
        <v>917</v>
      </c>
      <c r="B37" s="38" t="s">
        <v>920</v>
      </c>
      <c r="C37" s="38" t="s">
        <v>57</v>
      </c>
      <c r="D37" s="38" t="s">
        <v>185</v>
      </c>
      <c r="E37" s="38" t="s">
        <v>2901</v>
      </c>
      <c r="F37" s="38" t="s">
        <v>2902</v>
      </c>
      <c r="G37" s="38" t="s">
        <v>2903</v>
      </c>
      <c r="H37" s="38" t="s">
        <v>54</v>
      </c>
      <c r="I37" s="38" t="s">
        <v>421</v>
      </c>
      <c r="J37" s="38" t="s">
        <v>56</v>
      </c>
      <c r="K37" s="37">
        <v>4.69984E8</v>
      </c>
      <c r="L37" s="38" t="s">
        <v>52</v>
      </c>
      <c r="M37" s="38" t="s">
        <v>1771</v>
      </c>
      <c r="N37" s="38" t="s">
        <v>185</v>
      </c>
      <c r="O37" s="38" t="s">
        <v>4020</v>
      </c>
      <c r="P37" s="37">
        <v>0.5</v>
      </c>
      <c r="Q37" s="38" t="s">
        <v>4021</v>
      </c>
      <c r="R37" s="38" t="s">
        <v>174</v>
      </c>
      <c r="S37" s="38" t="s">
        <v>190</v>
      </c>
      <c r="T37" s="38" t="s">
        <v>115</v>
      </c>
      <c r="U37" s="38" t="s">
        <v>53</v>
      </c>
      <c r="V37" s="38" t="s">
        <v>2904</v>
      </c>
      <c r="W37" s="37">
        <v>0.588</v>
      </c>
    </row>
    <row r="38">
      <c r="A38" s="38" t="s">
        <v>1360</v>
      </c>
      <c r="B38" s="38" t="s">
        <v>1363</v>
      </c>
      <c r="C38" s="38" t="s">
        <v>57</v>
      </c>
      <c r="D38" s="38" t="s">
        <v>200</v>
      </c>
      <c r="E38" s="38" t="s">
        <v>3217</v>
      </c>
      <c r="F38" s="38" t="s">
        <v>3218</v>
      </c>
      <c r="G38" s="38" t="s">
        <v>3219</v>
      </c>
      <c r="H38" s="38" t="s">
        <v>54</v>
      </c>
      <c r="I38" s="38" t="s">
        <v>117</v>
      </c>
      <c r="J38" s="38" t="s">
        <v>56</v>
      </c>
      <c r="K38" s="37">
        <v>7.678515E8</v>
      </c>
      <c r="L38" s="38" t="s">
        <v>52</v>
      </c>
      <c r="M38" s="38" t="s">
        <v>1776</v>
      </c>
      <c r="N38" s="38" t="s">
        <v>200</v>
      </c>
      <c r="O38" s="38" t="s">
        <v>4022</v>
      </c>
      <c r="P38" s="37">
        <v>1.375</v>
      </c>
      <c r="Q38" s="38" t="s">
        <v>4023</v>
      </c>
      <c r="R38" s="38" t="s">
        <v>226</v>
      </c>
      <c r="S38" s="38" t="s">
        <v>175</v>
      </c>
      <c r="T38" s="38" t="s">
        <v>115</v>
      </c>
      <c r="U38" s="38" t="s">
        <v>53</v>
      </c>
      <c r="V38" s="38" t="s">
        <v>3220</v>
      </c>
      <c r="W38" s="37">
        <v>1.449</v>
      </c>
    </row>
    <row r="39">
      <c r="A39" s="38" t="s">
        <v>775</v>
      </c>
      <c r="B39" s="38" t="s">
        <v>778</v>
      </c>
      <c r="C39" s="38" t="s">
        <v>57</v>
      </c>
      <c r="D39" s="38" t="s">
        <v>200</v>
      </c>
      <c r="E39" s="38" t="s">
        <v>1773</v>
      </c>
      <c r="F39" s="38" t="s">
        <v>1774</v>
      </c>
      <c r="G39" s="38" t="s">
        <v>1775</v>
      </c>
      <c r="H39" s="38" t="s">
        <v>54</v>
      </c>
      <c r="I39" s="38" t="s">
        <v>55</v>
      </c>
      <c r="J39" s="38" t="s">
        <v>56</v>
      </c>
      <c r="K39" s="37">
        <v>3.55038E8</v>
      </c>
      <c r="L39" s="38" t="s">
        <v>52</v>
      </c>
      <c r="M39" s="38" t="s">
        <v>1776</v>
      </c>
      <c r="N39" s="38" t="s">
        <v>200</v>
      </c>
      <c r="O39" s="38" t="s">
        <v>4024</v>
      </c>
      <c r="P39" s="37">
        <v>1.625</v>
      </c>
      <c r="Q39" s="38" t="s">
        <v>4025</v>
      </c>
      <c r="R39" s="38" t="s">
        <v>226</v>
      </c>
      <c r="S39" s="38" t="s">
        <v>175</v>
      </c>
      <c r="T39" s="38" t="s">
        <v>115</v>
      </c>
      <c r="U39" s="38" t="s">
        <v>53</v>
      </c>
      <c r="V39" s="38" t="s">
        <v>1777</v>
      </c>
      <c r="W39" s="37">
        <v>1.68</v>
      </c>
    </row>
    <row r="40">
      <c r="A40" s="38" t="s">
        <v>1414</v>
      </c>
      <c r="B40" s="38" t="s">
        <v>1417</v>
      </c>
      <c r="C40" s="38" t="s">
        <v>57</v>
      </c>
      <c r="D40" s="38" t="s">
        <v>200</v>
      </c>
      <c r="E40" s="38" t="s">
        <v>3462</v>
      </c>
      <c r="F40" s="38" t="s">
        <v>3463</v>
      </c>
      <c r="G40" s="38" t="s">
        <v>3464</v>
      </c>
      <c r="H40" s="38" t="s">
        <v>54</v>
      </c>
      <c r="I40" s="38" t="s">
        <v>55</v>
      </c>
      <c r="J40" s="38" t="s">
        <v>56</v>
      </c>
      <c r="K40" s="37">
        <v>5.84115E8</v>
      </c>
      <c r="L40" s="38" t="s">
        <v>52</v>
      </c>
      <c r="M40" s="38" t="s">
        <v>1840</v>
      </c>
      <c r="N40" s="38" t="s">
        <v>200</v>
      </c>
      <c r="O40" s="38" t="s">
        <v>4026</v>
      </c>
      <c r="P40" s="37">
        <v>1.75</v>
      </c>
      <c r="Q40" s="38" t="s">
        <v>4027</v>
      </c>
      <c r="R40" s="38" t="s">
        <v>174</v>
      </c>
      <c r="S40" s="38" t="s">
        <v>190</v>
      </c>
      <c r="T40" s="38" t="s">
        <v>49</v>
      </c>
      <c r="U40" s="38" t="s">
        <v>53</v>
      </c>
      <c r="V40" s="38" t="s">
        <v>3465</v>
      </c>
      <c r="W40" s="37">
        <v>1.765</v>
      </c>
    </row>
    <row r="41">
      <c r="A41" s="38" t="s">
        <v>345</v>
      </c>
      <c r="B41" s="38" t="s">
        <v>348</v>
      </c>
      <c r="C41" s="38" t="s">
        <v>71</v>
      </c>
      <c r="D41" s="38" t="s">
        <v>186</v>
      </c>
      <c r="E41" s="38" t="s">
        <v>2296</v>
      </c>
      <c r="F41" s="38" t="s">
        <v>2297</v>
      </c>
      <c r="G41" s="38" t="s">
        <v>2298</v>
      </c>
      <c r="H41" s="37">
        <v>5.875</v>
      </c>
      <c r="I41" s="38" t="s">
        <v>55</v>
      </c>
      <c r="J41" s="38" t="s">
        <v>56</v>
      </c>
      <c r="K41" s="37">
        <v>5.0E8</v>
      </c>
      <c r="L41" s="38" t="s">
        <v>52</v>
      </c>
      <c r="M41" s="38" t="s">
        <v>1840</v>
      </c>
      <c r="N41" s="38" t="s">
        <v>185</v>
      </c>
      <c r="O41" s="38" t="s">
        <v>4028</v>
      </c>
      <c r="P41" s="37">
        <v>5.875</v>
      </c>
      <c r="Q41" s="38" t="s">
        <v>4029</v>
      </c>
      <c r="R41" s="38" t="s">
        <v>262</v>
      </c>
      <c r="S41" s="38" t="s">
        <v>351</v>
      </c>
      <c r="T41" s="38" t="s">
        <v>115</v>
      </c>
      <c r="U41" s="38" t="s">
        <v>263</v>
      </c>
      <c r="V41" s="38" t="s">
        <v>2299</v>
      </c>
      <c r="W41" s="37">
        <v>5.739</v>
      </c>
    </row>
    <row r="42">
      <c r="A42" s="38" t="s">
        <v>345</v>
      </c>
      <c r="B42" s="38" t="s">
        <v>348</v>
      </c>
      <c r="C42" s="38" t="s">
        <v>71</v>
      </c>
      <c r="D42" s="38" t="s">
        <v>186</v>
      </c>
      <c r="E42" s="38" t="s">
        <v>2300</v>
      </c>
      <c r="F42" s="38" t="s">
        <v>2301</v>
      </c>
      <c r="G42" s="38" t="s">
        <v>2302</v>
      </c>
      <c r="H42" s="38" t="s">
        <v>54</v>
      </c>
      <c r="I42" s="38" t="s">
        <v>55</v>
      </c>
      <c r="J42" s="38" t="s">
        <v>56</v>
      </c>
      <c r="K42" s="37">
        <v>4.65612E8</v>
      </c>
      <c r="L42" s="38" t="s">
        <v>52</v>
      </c>
      <c r="M42" s="38" t="s">
        <v>1840</v>
      </c>
      <c r="N42" s="38" t="s">
        <v>185</v>
      </c>
      <c r="O42" s="38" t="s">
        <v>4028</v>
      </c>
      <c r="P42" s="37">
        <v>4.25</v>
      </c>
      <c r="Q42" s="38" t="s">
        <v>4029</v>
      </c>
      <c r="R42" s="38" t="s">
        <v>271</v>
      </c>
      <c r="S42" s="38" t="s">
        <v>351</v>
      </c>
      <c r="T42" s="38" t="s">
        <v>115</v>
      </c>
      <c r="U42" s="38" t="s">
        <v>53</v>
      </c>
      <c r="V42" s="38" t="s">
        <v>2303</v>
      </c>
      <c r="W42" s="37">
        <v>4.172</v>
      </c>
    </row>
    <row r="43">
      <c r="A43" s="38" t="s">
        <v>345</v>
      </c>
      <c r="B43" s="38" t="s">
        <v>348</v>
      </c>
      <c r="C43" s="38" t="s">
        <v>71</v>
      </c>
      <c r="D43" s="38" t="s">
        <v>186</v>
      </c>
      <c r="E43" s="38" t="s">
        <v>2304</v>
      </c>
      <c r="F43" s="38" t="s">
        <v>2305</v>
      </c>
      <c r="G43" s="38" t="s">
        <v>2306</v>
      </c>
      <c r="H43" s="38" t="s">
        <v>54</v>
      </c>
      <c r="I43" s="38" t="s">
        <v>55</v>
      </c>
      <c r="J43" s="38" t="s">
        <v>56</v>
      </c>
      <c r="K43" s="37">
        <v>4.65612E8</v>
      </c>
      <c r="L43" s="38" t="s">
        <v>52</v>
      </c>
      <c r="M43" s="38" t="s">
        <v>1840</v>
      </c>
      <c r="N43" s="38" t="s">
        <v>185</v>
      </c>
      <c r="O43" s="38" t="s">
        <v>4028</v>
      </c>
      <c r="P43" s="37">
        <v>4.25</v>
      </c>
      <c r="Q43" s="38" t="s">
        <v>4029</v>
      </c>
      <c r="R43" s="38" t="s">
        <v>262</v>
      </c>
      <c r="S43" s="38" t="s">
        <v>351</v>
      </c>
      <c r="T43" s="38" t="s">
        <v>115</v>
      </c>
      <c r="U43" s="38" t="s">
        <v>53</v>
      </c>
      <c r="V43" s="38" t="s">
        <v>2307</v>
      </c>
      <c r="W43" s="37">
        <v>4.178</v>
      </c>
    </row>
    <row r="44">
      <c r="A44" s="38" t="s">
        <v>345</v>
      </c>
      <c r="B44" s="38" t="s">
        <v>348</v>
      </c>
      <c r="C44" s="38" t="s">
        <v>71</v>
      </c>
      <c r="D44" s="38" t="s">
        <v>186</v>
      </c>
      <c r="E44" s="38" t="s">
        <v>2308</v>
      </c>
      <c r="F44" s="38" t="s">
        <v>2309</v>
      </c>
      <c r="G44" s="38" t="s">
        <v>2310</v>
      </c>
      <c r="H44" s="37">
        <v>5.875</v>
      </c>
      <c r="I44" s="38" t="s">
        <v>55</v>
      </c>
      <c r="J44" s="38" t="s">
        <v>56</v>
      </c>
      <c r="K44" s="37">
        <v>5.0E8</v>
      </c>
      <c r="L44" s="38" t="s">
        <v>52</v>
      </c>
      <c r="M44" s="38" t="s">
        <v>1840</v>
      </c>
      <c r="N44" s="38" t="s">
        <v>185</v>
      </c>
      <c r="O44" s="38" t="s">
        <v>4028</v>
      </c>
      <c r="P44" s="37">
        <v>5.875</v>
      </c>
      <c r="Q44" s="38" t="s">
        <v>4029</v>
      </c>
      <c r="R44" s="38" t="s">
        <v>271</v>
      </c>
      <c r="S44" s="38" t="s">
        <v>351</v>
      </c>
      <c r="T44" s="38" t="s">
        <v>115</v>
      </c>
      <c r="U44" s="38" t="s">
        <v>263</v>
      </c>
      <c r="V44" s="38" t="s">
        <v>2311</v>
      </c>
      <c r="W44" s="37">
        <v>5.677</v>
      </c>
    </row>
    <row r="45">
      <c r="A45" s="38" t="s">
        <v>1422</v>
      </c>
      <c r="B45" s="38" t="s">
        <v>1425</v>
      </c>
      <c r="C45" s="38" t="s">
        <v>57</v>
      </c>
      <c r="D45" s="38" t="s">
        <v>200</v>
      </c>
      <c r="E45" s="38" t="s">
        <v>2583</v>
      </c>
      <c r="F45" s="38" t="s">
        <v>2584</v>
      </c>
      <c r="G45" s="38" t="s">
        <v>2585</v>
      </c>
      <c r="H45" s="38" t="s">
        <v>54</v>
      </c>
      <c r="I45" s="38" t="s">
        <v>55</v>
      </c>
      <c r="J45" s="38" t="s">
        <v>56</v>
      </c>
      <c r="K45" s="37">
        <v>5.86195E7</v>
      </c>
      <c r="L45" s="38" t="s">
        <v>52</v>
      </c>
      <c r="M45" s="38" t="s">
        <v>174</v>
      </c>
      <c r="N45" s="38" t="s">
        <v>200</v>
      </c>
      <c r="O45" s="38" t="s">
        <v>4017</v>
      </c>
      <c r="P45" s="37">
        <v>2.747</v>
      </c>
      <c r="Q45" s="38" t="s">
        <v>4030</v>
      </c>
      <c r="R45" s="38" t="s">
        <v>174</v>
      </c>
      <c r="S45" s="38" t="s">
        <v>54</v>
      </c>
      <c r="T45" s="38" t="s">
        <v>49</v>
      </c>
      <c r="U45" s="38" t="s">
        <v>53</v>
      </c>
      <c r="V45" s="38" t="s">
        <v>2586</v>
      </c>
      <c r="W45" s="38" t="s">
        <v>54</v>
      </c>
    </row>
    <row r="46">
      <c r="A46" s="38" t="s">
        <v>181</v>
      </c>
      <c r="B46" s="38" t="s">
        <v>184</v>
      </c>
      <c r="C46" s="38" t="s">
        <v>57</v>
      </c>
      <c r="D46" s="38" t="s">
        <v>186</v>
      </c>
      <c r="E46" s="38" t="s">
        <v>3161</v>
      </c>
      <c r="F46" s="38" t="s">
        <v>3162</v>
      </c>
      <c r="G46" s="38" t="s">
        <v>3163</v>
      </c>
      <c r="H46" s="38" t="s">
        <v>54</v>
      </c>
      <c r="I46" s="38" t="s">
        <v>133</v>
      </c>
      <c r="J46" s="38" t="s">
        <v>56</v>
      </c>
      <c r="K46" s="37">
        <v>8.82225E8</v>
      </c>
      <c r="L46" s="38" t="s">
        <v>52</v>
      </c>
      <c r="M46" s="38" t="s">
        <v>1771</v>
      </c>
      <c r="N46" s="38" t="s">
        <v>185</v>
      </c>
      <c r="O46" s="38" t="s">
        <v>4031</v>
      </c>
      <c r="P46" s="37">
        <v>0.875</v>
      </c>
      <c r="Q46" s="38" t="s">
        <v>1010</v>
      </c>
      <c r="R46" s="38" t="s">
        <v>226</v>
      </c>
      <c r="S46" s="38" t="s">
        <v>190</v>
      </c>
      <c r="T46" s="38" t="s">
        <v>115</v>
      </c>
      <c r="U46" s="38" t="s">
        <v>53</v>
      </c>
      <c r="V46" s="38" t="s">
        <v>3164</v>
      </c>
      <c r="W46" s="37">
        <v>0.932</v>
      </c>
    </row>
    <row r="47">
      <c r="A47" s="38" t="s">
        <v>207</v>
      </c>
      <c r="B47" s="38" t="s">
        <v>210</v>
      </c>
      <c r="C47" s="38" t="s">
        <v>71</v>
      </c>
      <c r="D47" s="38" t="s">
        <v>112</v>
      </c>
      <c r="E47" s="38" t="s">
        <v>3050</v>
      </c>
      <c r="F47" s="38" t="s">
        <v>3051</v>
      </c>
      <c r="G47" s="38" t="s">
        <v>3052</v>
      </c>
      <c r="H47" s="38" t="s">
        <v>54</v>
      </c>
      <c r="I47" s="38" t="s">
        <v>175</v>
      </c>
      <c r="J47" s="38" t="s">
        <v>70</v>
      </c>
      <c r="K47" s="37">
        <v>5.6484E7</v>
      </c>
      <c r="L47" s="38" t="s">
        <v>52</v>
      </c>
      <c r="M47" s="38" t="s">
        <v>174</v>
      </c>
      <c r="N47" s="38" t="s">
        <v>112</v>
      </c>
      <c r="O47" s="38" t="s">
        <v>4032</v>
      </c>
      <c r="P47" s="37">
        <v>3.5100000000000002</v>
      </c>
      <c r="Q47" s="38" t="s">
        <v>4033</v>
      </c>
      <c r="R47" s="38" t="s">
        <v>351</v>
      </c>
      <c r="S47" s="38" t="s">
        <v>54</v>
      </c>
      <c r="T47" s="38" t="s">
        <v>49</v>
      </c>
      <c r="U47" s="38" t="s">
        <v>119</v>
      </c>
      <c r="V47" s="38" t="s">
        <v>3053</v>
      </c>
      <c r="W47" s="38" t="s">
        <v>54</v>
      </c>
    </row>
    <row r="48">
      <c r="A48" s="38" t="s">
        <v>1199</v>
      </c>
      <c r="B48" s="38" t="s">
        <v>1202</v>
      </c>
      <c r="C48" s="38" t="s">
        <v>71</v>
      </c>
      <c r="D48" s="38" t="s">
        <v>1203</v>
      </c>
      <c r="E48" s="38" t="s">
        <v>2938</v>
      </c>
      <c r="F48" s="38" t="s">
        <v>2939</v>
      </c>
      <c r="G48" s="38" t="s">
        <v>2940</v>
      </c>
      <c r="H48" s="38" t="s">
        <v>54</v>
      </c>
      <c r="I48" s="38" t="s">
        <v>55</v>
      </c>
      <c r="J48" s="38" t="s">
        <v>56</v>
      </c>
      <c r="K48" s="37">
        <v>7.30627995E7</v>
      </c>
      <c r="L48" s="38" t="s">
        <v>52</v>
      </c>
      <c r="M48" s="38" t="s">
        <v>174</v>
      </c>
      <c r="N48" s="38" t="s">
        <v>1203</v>
      </c>
      <c r="O48" s="38" t="s">
        <v>4034</v>
      </c>
      <c r="P48" s="37">
        <v>4.0</v>
      </c>
      <c r="Q48" s="38" t="s">
        <v>4035</v>
      </c>
      <c r="R48" s="38" t="s">
        <v>174</v>
      </c>
      <c r="S48" s="38" t="s">
        <v>54</v>
      </c>
      <c r="T48" s="38" t="s">
        <v>49</v>
      </c>
      <c r="U48" s="38" t="s">
        <v>53</v>
      </c>
      <c r="V48" s="38" t="s">
        <v>2942</v>
      </c>
      <c r="W48" s="37">
        <v>3.999</v>
      </c>
    </row>
    <row r="49">
      <c r="A49" s="38" t="s">
        <v>1167</v>
      </c>
      <c r="B49" s="38" t="s">
        <v>1170</v>
      </c>
      <c r="C49" s="38" t="s">
        <v>57</v>
      </c>
      <c r="D49" s="38" t="s">
        <v>200</v>
      </c>
      <c r="E49" s="38" t="s">
        <v>1827</v>
      </c>
      <c r="F49" s="38" t="s">
        <v>1828</v>
      </c>
      <c r="G49" s="38" t="s">
        <v>1829</v>
      </c>
      <c r="H49" s="38" t="s">
        <v>54</v>
      </c>
      <c r="I49" s="38" t="s">
        <v>55</v>
      </c>
      <c r="J49" s="38" t="s">
        <v>56</v>
      </c>
      <c r="K49" s="37">
        <v>6.737665E8</v>
      </c>
      <c r="L49" s="38" t="s">
        <v>1830</v>
      </c>
      <c r="M49" s="38" t="s">
        <v>1831</v>
      </c>
      <c r="N49" s="38" t="s">
        <v>200</v>
      </c>
      <c r="O49" s="38" t="s">
        <v>4036</v>
      </c>
      <c r="P49" s="37">
        <v>1.625</v>
      </c>
      <c r="Q49" s="38" t="s">
        <v>4037</v>
      </c>
      <c r="R49" s="38" t="s">
        <v>226</v>
      </c>
      <c r="S49" s="38" t="s">
        <v>497</v>
      </c>
      <c r="T49" s="38" t="s">
        <v>115</v>
      </c>
      <c r="U49" s="38" t="s">
        <v>53</v>
      </c>
      <c r="V49" s="38" t="s">
        <v>1832</v>
      </c>
      <c r="W49" s="37">
        <v>1.756</v>
      </c>
    </row>
    <row r="50">
      <c r="A50" s="38" t="s">
        <v>1640</v>
      </c>
      <c r="B50" s="38" t="s">
        <v>1643</v>
      </c>
      <c r="C50" s="38" t="s">
        <v>57</v>
      </c>
      <c r="D50" s="38" t="s">
        <v>171</v>
      </c>
      <c r="E50" s="38" t="s">
        <v>2973</v>
      </c>
      <c r="F50" s="38" t="s">
        <v>2974</v>
      </c>
      <c r="G50" s="38" t="s">
        <v>2975</v>
      </c>
      <c r="H50" s="38" t="s">
        <v>54</v>
      </c>
      <c r="I50" s="38" t="s">
        <v>55</v>
      </c>
      <c r="J50" s="38" t="s">
        <v>56</v>
      </c>
      <c r="K50" s="37">
        <v>9.313425E8</v>
      </c>
      <c r="L50" s="38" t="s">
        <v>52</v>
      </c>
      <c r="M50" s="38" t="s">
        <v>1771</v>
      </c>
      <c r="N50" s="38" t="s">
        <v>170</v>
      </c>
      <c r="O50" s="38" t="s">
        <v>4038</v>
      </c>
      <c r="P50" s="37">
        <v>0.5</v>
      </c>
      <c r="Q50" s="38" t="s">
        <v>4039</v>
      </c>
      <c r="R50" s="38" t="s">
        <v>174</v>
      </c>
      <c r="S50" s="38" t="s">
        <v>1646</v>
      </c>
      <c r="T50" s="38" t="s">
        <v>115</v>
      </c>
      <c r="U50" s="38" t="s">
        <v>53</v>
      </c>
      <c r="V50" s="38" t="s">
        <v>2976</v>
      </c>
      <c r="W50" s="37">
        <v>0.599</v>
      </c>
    </row>
    <row r="51">
      <c r="A51" s="38" t="s">
        <v>1640</v>
      </c>
      <c r="B51" s="38" t="s">
        <v>1643</v>
      </c>
      <c r="C51" s="38" t="s">
        <v>57</v>
      </c>
      <c r="D51" s="38" t="s">
        <v>171</v>
      </c>
      <c r="E51" s="38" t="s">
        <v>2977</v>
      </c>
      <c r="F51" s="38" t="s">
        <v>2978</v>
      </c>
      <c r="G51" s="38" t="s">
        <v>2979</v>
      </c>
      <c r="H51" s="38" t="s">
        <v>54</v>
      </c>
      <c r="I51" s="38" t="s">
        <v>55</v>
      </c>
      <c r="J51" s="38" t="s">
        <v>56</v>
      </c>
      <c r="K51" s="37">
        <v>9.313425E8</v>
      </c>
      <c r="L51" s="38" t="s">
        <v>52</v>
      </c>
      <c r="M51" s="38" t="s">
        <v>1771</v>
      </c>
      <c r="N51" s="38" t="s">
        <v>170</v>
      </c>
      <c r="O51" s="38" t="s">
        <v>4038</v>
      </c>
      <c r="P51" s="37">
        <v>1.375</v>
      </c>
      <c r="Q51" s="38" t="s">
        <v>4040</v>
      </c>
      <c r="R51" s="38" t="s">
        <v>174</v>
      </c>
      <c r="S51" s="38" t="s">
        <v>1646</v>
      </c>
      <c r="T51" s="38" t="s">
        <v>115</v>
      </c>
      <c r="U51" s="38" t="s">
        <v>53</v>
      </c>
      <c r="V51" s="38" t="s">
        <v>2980</v>
      </c>
      <c r="W51" s="37">
        <v>1.445</v>
      </c>
    </row>
    <row r="52">
      <c r="A52" s="38" t="s">
        <v>1640</v>
      </c>
      <c r="B52" s="38" t="s">
        <v>1643</v>
      </c>
      <c r="C52" s="38" t="s">
        <v>57</v>
      </c>
      <c r="D52" s="38" t="s">
        <v>171</v>
      </c>
      <c r="E52" s="38" t="s">
        <v>2981</v>
      </c>
      <c r="F52" s="38" t="s">
        <v>2982</v>
      </c>
      <c r="G52" s="38" t="s">
        <v>2983</v>
      </c>
      <c r="H52" s="38" t="s">
        <v>54</v>
      </c>
      <c r="I52" s="38" t="s">
        <v>55</v>
      </c>
      <c r="J52" s="38" t="s">
        <v>56</v>
      </c>
      <c r="K52" s="37">
        <v>9.313425E8</v>
      </c>
      <c r="L52" s="38" t="s">
        <v>52</v>
      </c>
      <c r="M52" s="38" t="s">
        <v>1771</v>
      </c>
      <c r="N52" s="38" t="s">
        <v>170</v>
      </c>
      <c r="O52" s="38" t="s">
        <v>4038</v>
      </c>
      <c r="P52" s="37">
        <v>1.7</v>
      </c>
      <c r="Q52" s="38" t="s">
        <v>4041</v>
      </c>
      <c r="R52" s="38" t="s">
        <v>174</v>
      </c>
      <c r="S52" s="38" t="s">
        <v>1646</v>
      </c>
      <c r="T52" s="38" t="s">
        <v>115</v>
      </c>
      <c r="U52" s="38" t="s">
        <v>53</v>
      </c>
      <c r="V52" s="38" t="s">
        <v>2984</v>
      </c>
      <c r="W52" s="37">
        <v>1.827</v>
      </c>
    </row>
    <row r="53">
      <c r="A53" s="38" t="s">
        <v>477</v>
      </c>
      <c r="B53" s="38" t="s">
        <v>480</v>
      </c>
      <c r="C53" s="38" t="s">
        <v>392</v>
      </c>
      <c r="D53" s="38" t="s">
        <v>45</v>
      </c>
      <c r="E53" s="38" t="s">
        <v>1905</v>
      </c>
      <c r="F53" s="38" t="s">
        <v>1906</v>
      </c>
      <c r="G53" s="38" t="s">
        <v>1907</v>
      </c>
      <c r="H53" s="38" t="s">
        <v>54</v>
      </c>
      <c r="I53" s="38" t="s">
        <v>55</v>
      </c>
      <c r="J53" s="38" t="s">
        <v>70</v>
      </c>
      <c r="K53" s="37">
        <v>6.2358E7</v>
      </c>
      <c r="L53" s="38" t="s">
        <v>459</v>
      </c>
      <c r="M53" s="38" t="s">
        <v>1771</v>
      </c>
      <c r="N53" s="38" t="s">
        <v>45</v>
      </c>
      <c r="O53" s="38" t="s">
        <v>4042</v>
      </c>
      <c r="P53" s="37">
        <v>0.0</v>
      </c>
      <c r="Q53" s="38" t="s">
        <v>4043</v>
      </c>
      <c r="R53" s="38" t="s">
        <v>226</v>
      </c>
      <c r="S53" s="38" t="s">
        <v>190</v>
      </c>
      <c r="T53" s="38" t="s">
        <v>49</v>
      </c>
      <c r="U53" s="38" t="s">
        <v>53</v>
      </c>
      <c r="V53" s="38" t="s">
        <v>1908</v>
      </c>
      <c r="W53" s="38" t="s">
        <v>54</v>
      </c>
    </row>
    <row r="54">
      <c r="A54" s="38" t="s">
        <v>477</v>
      </c>
      <c r="B54" s="38" t="s">
        <v>480</v>
      </c>
      <c r="C54" s="38" t="s">
        <v>57</v>
      </c>
      <c r="D54" s="38" t="s">
        <v>45</v>
      </c>
      <c r="E54" s="38" t="s">
        <v>1909</v>
      </c>
      <c r="F54" s="38" t="s">
        <v>1910</v>
      </c>
      <c r="G54" s="38" t="s">
        <v>1911</v>
      </c>
      <c r="H54" s="38" t="s">
        <v>54</v>
      </c>
      <c r="I54" s="38" t="s">
        <v>55</v>
      </c>
      <c r="J54" s="38" t="s">
        <v>56</v>
      </c>
      <c r="K54" s="37">
        <v>6.15385E8</v>
      </c>
      <c r="L54" s="38" t="s">
        <v>459</v>
      </c>
      <c r="M54" s="38" t="s">
        <v>174</v>
      </c>
      <c r="N54" s="38" t="s">
        <v>45</v>
      </c>
      <c r="O54" s="38" t="s">
        <v>4044</v>
      </c>
      <c r="P54" s="37">
        <v>0.75</v>
      </c>
      <c r="Q54" s="38" t="s">
        <v>4045</v>
      </c>
      <c r="R54" s="38" t="s">
        <v>4046</v>
      </c>
      <c r="S54" s="38" t="s">
        <v>190</v>
      </c>
      <c r="T54" s="38" t="s">
        <v>49</v>
      </c>
      <c r="U54" s="38" t="s">
        <v>53</v>
      </c>
      <c r="V54" s="38" t="s">
        <v>1912</v>
      </c>
      <c r="W54" s="37">
        <v>0.7</v>
      </c>
    </row>
    <row r="55">
      <c r="A55" s="38" t="s">
        <v>1076</v>
      </c>
      <c r="B55" s="38" t="s">
        <v>1079</v>
      </c>
      <c r="C55" s="38" t="s">
        <v>71</v>
      </c>
      <c r="D55" s="38" t="s">
        <v>185</v>
      </c>
      <c r="E55" s="38" t="s">
        <v>2557</v>
      </c>
      <c r="F55" s="38" t="s">
        <v>2558</v>
      </c>
      <c r="G55" s="38" t="s">
        <v>2559</v>
      </c>
      <c r="H55" s="37">
        <v>2.625</v>
      </c>
      <c r="I55" s="38" t="s">
        <v>885</v>
      </c>
      <c r="J55" s="38" t="s">
        <v>56</v>
      </c>
      <c r="K55" s="37">
        <v>1.23188E9</v>
      </c>
      <c r="L55" s="38" t="s">
        <v>52</v>
      </c>
      <c r="M55" s="38" t="s">
        <v>1840</v>
      </c>
      <c r="N55" s="38" t="s">
        <v>185</v>
      </c>
      <c r="O55" s="38" t="s">
        <v>4047</v>
      </c>
      <c r="P55" s="37">
        <v>2.625</v>
      </c>
      <c r="Q55" s="38" t="s">
        <v>4048</v>
      </c>
      <c r="R55" s="38" t="s">
        <v>174</v>
      </c>
      <c r="S55" s="38" t="s">
        <v>885</v>
      </c>
      <c r="T55" s="38" t="s">
        <v>115</v>
      </c>
      <c r="U55" s="38" t="s">
        <v>53</v>
      </c>
      <c r="V55" s="38" t="s">
        <v>2560</v>
      </c>
      <c r="W55" s="37">
        <v>2.467</v>
      </c>
    </row>
    <row r="56">
      <c r="A56" s="38" t="s">
        <v>917</v>
      </c>
      <c r="B56" s="38" t="s">
        <v>920</v>
      </c>
      <c r="C56" s="38" t="s">
        <v>57</v>
      </c>
      <c r="D56" s="38" t="s">
        <v>185</v>
      </c>
      <c r="E56" s="38" t="s">
        <v>2905</v>
      </c>
      <c r="F56" s="38" t="s">
        <v>2906</v>
      </c>
      <c r="G56" s="38" t="s">
        <v>2907</v>
      </c>
      <c r="H56" s="37">
        <v>1.082</v>
      </c>
      <c r="I56" s="38" t="s">
        <v>421</v>
      </c>
      <c r="J56" s="38" t="s">
        <v>56</v>
      </c>
      <c r="K56" s="37">
        <v>4.95736E8</v>
      </c>
      <c r="L56" s="38" t="s">
        <v>52</v>
      </c>
      <c r="M56" s="38" t="s">
        <v>1771</v>
      </c>
      <c r="N56" s="38" t="s">
        <v>185</v>
      </c>
      <c r="O56" s="38" t="s">
        <v>4049</v>
      </c>
      <c r="P56" s="37">
        <v>1.0</v>
      </c>
      <c r="Q56" s="38" t="s">
        <v>4050</v>
      </c>
      <c r="R56" s="38" t="s">
        <v>174</v>
      </c>
      <c r="S56" s="38" t="s">
        <v>190</v>
      </c>
      <c r="T56" s="38" t="s">
        <v>115</v>
      </c>
      <c r="U56" s="38" t="s">
        <v>53</v>
      </c>
      <c r="V56" s="38" t="s">
        <v>2908</v>
      </c>
      <c r="W56" s="37">
        <v>1.041</v>
      </c>
    </row>
    <row r="57">
      <c r="A57" s="38" t="s">
        <v>1059</v>
      </c>
      <c r="B57" s="38" t="s">
        <v>1046</v>
      </c>
      <c r="C57" s="38" t="s">
        <v>71</v>
      </c>
      <c r="D57" s="38" t="s">
        <v>1047</v>
      </c>
      <c r="E57" s="38" t="s">
        <v>3363</v>
      </c>
      <c r="F57" s="38" t="s">
        <v>3364</v>
      </c>
      <c r="G57" s="38" t="s">
        <v>3365</v>
      </c>
      <c r="H57" s="37">
        <v>6.0</v>
      </c>
      <c r="I57" s="38" t="s">
        <v>55</v>
      </c>
      <c r="J57" s="38" t="s">
        <v>56</v>
      </c>
      <c r="K57" s="37">
        <v>1.25E9</v>
      </c>
      <c r="L57" s="38" t="s">
        <v>52</v>
      </c>
      <c r="M57" s="38" t="s">
        <v>1776</v>
      </c>
      <c r="N57" s="38" t="s">
        <v>367</v>
      </c>
      <c r="O57" s="38" t="s">
        <v>4051</v>
      </c>
      <c r="P57" s="37">
        <v>6.0</v>
      </c>
      <c r="Q57" s="38" t="s">
        <v>4052</v>
      </c>
      <c r="R57" s="38" t="s">
        <v>262</v>
      </c>
      <c r="S57" s="38" t="s">
        <v>297</v>
      </c>
      <c r="T57" s="38" t="s">
        <v>115</v>
      </c>
      <c r="U57" s="38" t="s">
        <v>263</v>
      </c>
      <c r="V57" s="38" t="s">
        <v>3366</v>
      </c>
      <c r="W57" s="37">
        <v>6.26</v>
      </c>
    </row>
    <row r="58">
      <c r="A58" s="38" t="s">
        <v>1059</v>
      </c>
      <c r="B58" s="38" t="s">
        <v>1046</v>
      </c>
      <c r="C58" s="38" t="s">
        <v>71</v>
      </c>
      <c r="D58" s="38" t="s">
        <v>1047</v>
      </c>
      <c r="E58" s="38" t="s">
        <v>3367</v>
      </c>
      <c r="F58" s="38" t="s">
        <v>3368</v>
      </c>
      <c r="G58" s="38" t="s">
        <v>3369</v>
      </c>
      <c r="H58" s="37">
        <v>6.75</v>
      </c>
      <c r="I58" s="38" t="s">
        <v>55</v>
      </c>
      <c r="J58" s="38" t="s">
        <v>56</v>
      </c>
      <c r="K58" s="37">
        <v>1.25E9</v>
      </c>
      <c r="L58" s="38" t="s">
        <v>52</v>
      </c>
      <c r="M58" s="38" t="s">
        <v>1776</v>
      </c>
      <c r="N58" s="38" t="s">
        <v>367</v>
      </c>
      <c r="O58" s="38" t="s">
        <v>4051</v>
      </c>
      <c r="P58" s="37">
        <v>6.75</v>
      </c>
      <c r="Q58" s="38" t="s">
        <v>4053</v>
      </c>
      <c r="R58" s="38" t="s">
        <v>262</v>
      </c>
      <c r="S58" s="38" t="s">
        <v>297</v>
      </c>
      <c r="T58" s="38" t="s">
        <v>115</v>
      </c>
      <c r="U58" s="38" t="s">
        <v>263</v>
      </c>
      <c r="V58" s="38" t="s">
        <v>3370</v>
      </c>
      <c r="W58" s="37">
        <v>6.704</v>
      </c>
    </row>
    <row r="59">
      <c r="A59" s="38" t="s">
        <v>1059</v>
      </c>
      <c r="B59" s="38" t="s">
        <v>1046</v>
      </c>
      <c r="C59" s="38" t="s">
        <v>71</v>
      </c>
      <c r="D59" s="38" t="s">
        <v>1047</v>
      </c>
      <c r="E59" s="38" t="s">
        <v>3371</v>
      </c>
      <c r="F59" s="38" t="s">
        <v>3372</v>
      </c>
      <c r="G59" s="38" t="s">
        <v>3373</v>
      </c>
      <c r="H59" s="37">
        <v>6.0</v>
      </c>
      <c r="I59" s="38" t="s">
        <v>55</v>
      </c>
      <c r="J59" s="38" t="s">
        <v>56</v>
      </c>
      <c r="K59" s="37">
        <v>1.25E9</v>
      </c>
      <c r="L59" s="38" t="s">
        <v>52</v>
      </c>
      <c r="M59" s="38" t="s">
        <v>1776</v>
      </c>
      <c r="N59" s="38" t="s">
        <v>367</v>
      </c>
      <c r="O59" s="38" t="s">
        <v>4051</v>
      </c>
      <c r="P59" s="37">
        <v>6.0</v>
      </c>
      <c r="Q59" s="38" t="s">
        <v>4052</v>
      </c>
      <c r="R59" s="38" t="s">
        <v>271</v>
      </c>
      <c r="S59" s="38" t="s">
        <v>297</v>
      </c>
      <c r="T59" s="38" t="s">
        <v>115</v>
      </c>
      <c r="U59" s="38" t="s">
        <v>263</v>
      </c>
      <c r="V59" s="38" t="s">
        <v>3374</v>
      </c>
      <c r="W59" s="37">
        <v>6.26</v>
      </c>
    </row>
    <row r="60">
      <c r="A60" s="38" t="s">
        <v>1059</v>
      </c>
      <c r="B60" s="38" t="s">
        <v>1046</v>
      </c>
      <c r="C60" s="38" t="s">
        <v>71</v>
      </c>
      <c r="D60" s="38" t="s">
        <v>1047</v>
      </c>
      <c r="E60" s="38" t="s">
        <v>3375</v>
      </c>
      <c r="F60" s="38" t="s">
        <v>3376</v>
      </c>
      <c r="G60" s="38" t="s">
        <v>3377</v>
      </c>
      <c r="H60" s="37">
        <v>6.75</v>
      </c>
      <c r="I60" s="38" t="s">
        <v>55</v>
      </c>
      <c r="J60" s="38" t="s">
        <v>56</v>
      </c>
      <c r="K60" s="37">
        <v>1.25E9</v>
      </c>
      <c r="L60" s="38" t="s">
        <v>52</v>
      </c>
      <c r="M60" s="38" t="s">
        <v>1776</v>
      </c>
      <c r="N60" s="38" t="s">
        <v>367</v>
      </c>
      <c r="O60" s="38" t="s">
        <v>4051</v>
      </c>
      <c r="P60" s="37">
        <v>6.75</v>
      </c>
      <c r="Q60" s="38" t="s">
        <v>4053</v>
      </c>
      <c r="R60" s="38" t="s">
        <v>271</v>
      </c>
      <c r="S60" s="38" t="s">
        <v>297</v>
      </c>
      <c r="T60" s="38" t="s">
        <v>115</v>
      </c>
      <c r="U60" s="38" t="s">
        <v>263</v>
      </c>
      <c r="V60" s="38" t="s">
        <v>3378</v>
      </c>
      <c r="W60" s="37">
        <v>6.704</v>
      </c>
    </row>
    <row r="61">
      <c r="A61" s="38" t="s">
        <v>1043</v>
      </c>
      <c r="B61" s="38" t="s">
        <v>1046</v>
      </c>
      <c r="C61" s="38" t="s">
        <v>71</v>
      </c>
      <c r="D61" s="38" t="s">
        <v>1047</v>
      </c>
      <c r="E61" s="38" t="s">
        <v>3331</v>
      </c>
      <c r="F61" s="38" t="s">
        <v>3332</v>
      </c>
      <c r="G61" s="38" t="s">
        <v>3333</v>
      </c>
      <c r="H61" s="37">
        <v>4.5</v>
      </c>
      <c r="I61" s="38" t="s">
        <v>55</v>
      </c>
      <c r="J61" s="38" t="s">
        <v>56</v>
      </c>
      <c r="K61" s="37">
        <v>1.113759E9</v>
      </c>
      <c r="L61" s="38" t="s">
        <v>52</v>
      </c>
      <c r="M61" s="38" t="s">
        <v>1776</v>
      </c>
      <c r="N61" s="38" t="s">
        <v>367</v>
      </c>
      <c r="O61" s="38" t="s">
        <v>4051</v>
      </c>
      <c r="P61" s="37">
        <v>4.5</v>
      </c>
      <c r="Q61" s="38" t="s">
        <v>4054</v>
      </c>
      <c r="R61" s="38" t="s">
        <v>262</v>
      </c>
      <c r="S61" s="38" t="s">
        <v>297</v>
      </c>
      <c r="T61" s="38" t="s">
        <v>115</v>
      </c>
      <c r="U61" s="38" t="s">
        <v>53</v>
      </c>
      <c r="V61" s="38" t="s">
        <v>3334</v>
      </c>
      <c r="W61" s="37">
        <v>4.282</v>
      </c>
    </row>
    <row r="62">
      <c r="A62" s="38" t="s">
        <v>1043</v>
      </c>
      <c r="B62" s="38" t="s">
        <v>1046</v>
      </c>
      <c r="C62" s="38" t="s">
        <v>71</v>
      </c>
      <c r="D62" s="38" t="s">
        <v>1047</v>
      </c>
      <c r="E62" s="38" t="s">
        <v>3335</v>
      </c>
      <c r="F62" s="38" t="s">
        <v>3336</v>
      </c>
      <c r="G62" s="38" t="s">
        <v>3337</v>
      </c>
      <c r="H62" s="37">
        <v>4.5</v>
      </c>
      <c r="I62" s="38" t="s">
        <v>55</v>
      </c>
      <c r="J62" s="38" t="s">
        <v>56</v>
      </c>
      <c r="K62" s="37">
        <v>1.113759E9</v>
      </c>
      <c r="L62" s="38" t="s">
        <v>52</v>
      </c>
      <c r="M62" s="38" t="s">
        <v>1776</v>
      </c>
      <c r="N62" s="38" t="s">
        <v>367</v>
      </c>
      <c r="O62" s="38" t="s">
        <v>4051</v>
      </c>
      <c r="P62" s="37">
        <v>4.5</v>
      </c>
      <c r="Q62" s="38" t="s">
        <v>4054</v>
      </c>
      <c r="R62" s="38" t="s">
        <v>271</v>
      </c>
      <c r="S62" s="38" t="s">
        <v>297</v>
      </c>
      <c r="T62" s="38" t="s">
        <v>115</v>
      </c>
      <c r="U62" s="38" t="s">
        <v>53</v>
      </c>
      <c r="V62" s="38" t="s">
        <v>3338</v>
      </c>
      <c r="W62" s="37">
        <v>4.282</v>
      </c>
    </row>
    <row r="63">
      <c r="A63" s="38" t="s">
        <v>416</v>
      </c>
      <c r="B63" s="38" t="s">
        <v>419</v>
      </c>
      <c r="C63" s="38" t="s">
        <v>57</v>
      </c>
      <c r="D63" s="38" t="s">
        <v>367</v>
      </c>
      <c r="E63" s="38" t="s">
        <v>2851</v>
      </c>
      <c r="F63" s="38" t="s">
        <v>2852</v>
      </c>
      <c r="G63" s="38" t="s">
        <v>2853</v>
      </c>
      <c r="H63" s="38" t="s">
        <v>54</v>
      </c>
      <c r="I63" s="38" t="s">
        <v>421</v>
      </c>
      <c r="J63" s="38" t="s">
        <v>56</v>
      </c>
      <c r="K63" s="37">
        <v>6.1741E8</v>
      </c>
      <c r="L63" s="38" t="s">
        <v>52</v>
      </c>
      <c r="M63" s="38" t="s">
        <v>1776</v>
      </c>
      <c r="N63" s="38" t="s">
        <v>367</v>
      </c>
      <c r="O63" s="38" t="s">
        <v>4055</v>
      </c>
      <c r="P63" s="37">
        <v>1.125</v>
      </c>
      <c r="Q63" s="38" t="s">
        <v>4056</v>
      </c>
      <c r="R63" s="38" t="s">
        <v>174</v>
      </c>
      <c r="S63" s="38" t="s">
        <v>175</v>
      </c>
      <c r="T63" s="38" t="s">
        <v>115</v>
      </c>
      <c r="U63" s="38" t="s">
        <v>53</v>
      </c>
      <c r="V63" s="38" t="s">
        <v>2854</v>
      </c>
      <c r="W63" s="37">
        <v>1.255</v>
      </c>
    </row>
    <row r="64">
      <c r="A64" s="38" t="s">
        <v>1519</v>
      </c>
      <c r="B64" s="38" t="s">
        <v>1522</v>
      </c>
      <c r="C64" s="38" t="s">
        <v>57</v>
      </c>
      <c r="D64" s="38" t="s">
        <v>185</v>
      </c>
      <c r="E64" s="38" t="s">
        <v>3076</v>
      </c>
      <c r="F64" s="38" t="s">
        <v>3077</v>
      </c>
      <c r="G64" s="38" t="s">
        <v>3078</v>
      </c>
      <c r="H64" s="37">
        <v>0.54</v>
      </c>
      <c r="I64" s="38" t="s">
        <v>117</v>
      </c>
      <c r="J64" s="38" t="s">
        <v>56</v>
      </c>
      <c r="K64" s="37">
        <v>2.1490525E9</v>
      </c>
      <c r="L64" s="38" t="s">
        <v>52</v>
      </c>
      <c r="M64" s="38" t="s">
        <v>1776</v>
      </c>
      <c r="N64" s="38" t="s">
        <v>185</v>
      </c>
      <c r="O64" s="38" t="s">
        <v>4057</v>
      </c>
      <c r="P64" s="37">
        <v>0.5</v>
      </c>
      <c r="Q64" s="38" t="s">
        <v>4058</v>
      </c>
      <c r="R64" s="38" t="s">
        <v>3079</v>
      </c>
      <c r="S64" s="38" t="s">
        <v>484</v>
      </c>
      <c r="T64" s="38" t="s">
        <v>115</v>
      </c>
      <c r="U64" s="38" t="s">
        <v>53</v>
      </c>
      <c r="V64" s="38" t="s">
        <v>3080</v>
      </c>
      <c r="W64" s="37">
        <v>0.506</v>
      </c>
    </row>
    <row r="65">
      <c r="A65" s="38" t="s">
        <v>1519</v>
      </c>
      <c r="B65" s="38" t="s">
        <v>1522</v>
      </c>
      <c r="C65" s="38" t="s">
        <v>57</v>
      </c>
      <c r="D65" s="38" t="s">
        <v>185</v>
      </c>
      <c r="E65" s="38" t="s">
        <v>3081</v>
      </c>
      <c r="F65" s="38" t="s">
        <v>3082</v>
      </c>
      <c r="G65" s="38" t="s">
        <v>3083</v>
      </c>
      <c r="H65" s="38" t="s">
        <v>54</v>
      </c>
      <c r="I65" s="38" t="s">
        <v>117</v>
      </c>
      <c r="J65" s="38" t="s">
        <v>56</v>
      </c>
      <c r="K65" s="37">
        <v>1.5350375E9</v>
      </c>
      <c r="L65" s="38" t="s">
        <v>52</v>
      </c>
      <c r="M65" s="38" t="s">
        <v>2895</v>
      </c>
      <c r="N65" s="38" t="s">
        <v>185</v>
      </c>
      <c r="O65" s="38" t="s">
        <v>4057</v>
      </c>
      <c r="P65" s="37">
        <v>1.875</v>
      </c>
      <c r="Q65" s="38" t="s">
        <v>4059</v>
      </c>
      <c r="R65" s="38" t="s">
        <v>3084</v>
      </c>
      <c r="S65" s="38" t="s">
        <v>484</v>
      </c>
      <c r="T65" s="38" t="s">
        <v>115</v>
      </c>
      <c r="U65" s="38" t="s">
        <v>53</v>
      </c>
      <c r="V65" s="38" t="s">
        <v>3085</v>
      </c>
      <c r="W65" s="37">
        <v>1.889</v>
      </c>
    </row>
    <row r="66">
      <c r="A66" s="38" t="s">
        <v>1519</v>
      </c>
      <c r="B66" s="38" t="s">
        <v>1522</v>
      </c>
      <c r="C66" s="38" t="s">
        <v>57</v>
      </c>
      <c r="D66" s="38" t="s">
        <v>185</v>
      </c>
      <c r="E66" s="38" t="s">
        <v>3086</v>
      </c>
      <c r="F66" s="38" t="s">
        <v>3087</v>
      </c>
      <c r="G66" s="38" t="s">
        <v>3088</v>
      </c>
      <c r="H66" s="38" t="s">
        <v>54</v>
      </c>
      <c r="I66" s="38" t="s">
        <v>117</v>
      </c>
      <c r="J66" s="38" t="s">
        <v>56</v>
      </c>
      <c r="K66" s="37">
        <v>2.45606E9</v>
      </c>
      <c r="L66" s="38" t="s">
        <v>52</v>
      </c>
      <c r="M66" s="38" t="s">
        <v>2895</v>
      </c>
      <c r="N66" s="38" t="s">
        <v>185</v>
      </c>
      <c r="O66" s="38" t="s">
        <v>4057</v>
      </c>
      <c r="P66" s="37">
        <v>1.375</v>
      </c>
      <c r="Q66" s="38" t="s">
        <v>4060</v>
      </c>
      <c r="R66" s="38" t="s">
        <v>3089</v>
      </c>
      <c r="S66" s="38" t="s">
        <v>484</v>
      </c>
      <c r="T66" s="38" t="s">
        <v>115</v>
      </c>
      <c r="U66" s="38" t="s">
        <v>53</v>
      </c>
      <c r="V66" s="38" t="s">
        <v>3090</v>
      </c>
      <c r="W66" s="37">
        <v>1.472</v>
      </c>
    </row>
    <row r="67">
      <c r="A67" s="38" t="s">
        <v>1519</v>
      </c>
      <c r="B67" s="38" t="s">
        <v>1522</v>
      </c>
      <c r="C67" s="38" t="s">
        <v>57</v>
      </c>
      <c r="D67" s="38" t="s">
        <v>185</v>
      </c>
      <c r="E67" s="38" t="s">
        <v>3091</v>
      </c>
      <c r="F67" s="38" t="s">
        <v>3092</v>
      </c>
      <c r="G67" s="38" t="s">
        <v>3093</v>
      </c>
      <c r="H67" s="37">
        <v>1.05</v>
      </c>
      <c r="I67" s="38" t="s">
        <v>117</v>
      </c>
      <c r="J67" s="38" t="s">
        <v>56</v>
      </c>
      <c r="K67" s="37">
        <v>1.842045E9</v>
      </c>
      <c r="L67" s="38" t="s">
        <v>52</v>
      </c>
      <c r="M67" s="38" t="s">
        <v>1776</v>
      </c>
      <c r="N67" s="38" t="s">
        <v>185</v>
      </c>
      <c r="O67" s="38" t="s">
        <v>4057</v>
      </c>
      <c r="P67" s="37">
        <v>1.0</v>
      </c>
      <c r="Q67" s="38" t="s">
        <v>4061</v>
      </c>
      <c r="R67" s="38" t="s">
        <v>3094</v>
      </c>
      <c r="S67" s="38" t="s">
        <v>484</v>
      </c>
      <c r="T67" s="38" t="s">
        <v>115</v>
      </c>
      <c r="U67" s="38" t="s">
        <v>53</v>
      </c>
      <c r="V67" s="38" t="s">
        <v>3095</v>
      </c>
      <c r="W67" s="37">
        <v>1.028</v>
      </c>
    </row>
    <row r="68">
      <c r="A68" s="38" t="s">
        <v>1487</v>
      </c>
      <c r="B68" s="38" t="s">
        <v>1490</v>
      </c>
      <c r="C68" s="38" t="s">
        <v>174</v>
      </c>
      <c r="D68" s="38" t="s">
        <v>185</v>
      </c>
      <c r="E68" s="38" t="s">
        <v>2255</v>
      </c>
      <c r="F68" s="38" t="s">
        <v>2256</v>
      </c>
      <c r="G68" s="38" t="s">
        <v>2257</v>
      </c>
      <c r="H68" s="38" t="s">
        <v>54</v>
      </c>
      <c r="I68" s="38" t="s">
        <v>117</v>
      </c>
      <c r="J68" s="38" t="s">
        <v>676</v>
      </c>
      <c r="K68" s="37">
        <v>5.0E8</v>
      </c>
      <c r="L68" s="38" t="s">
        <v>52</v>
      </c>
      <c r="M68" s="38" t="s">
        <v>2258</v>
      </c>
      <c r="N68" s="38" t="s">
        <v>185</v>
      </c>
      <c r="O68" s="38" t="s">
        <v>4062</v>
      </c>
      <c r="P68" s="37">
        <v>0.0</v>
      </c>
      <c r="Q68" s="38" t="s">
        <v>4063</v>
      </c>
      <c r="R68" s="38" t="s">
        <v>174</v>
      </c>
      <c r="S68" s="38" t="s">
        <v>54</v>
      </c>
      <c r="T68" s="38" t="s">
        <v>189</v>
      </c>
      <c r="U68" s="38" t="s">
        <v>263</v>
      </c>
      <c r="V68" s="38" t="s">
        <v>2259</v>
      </c>
      <c r="W68" s="38" t="s">
        <v>54</v>
      </c>
    </row>
    <row r="69">
      <c r="A69" s="38" t="s">
        <v>1262</v>
      </c>
      <c r="B69" s="38" t="s">
        <v>1265</v>
      </c>
      <c r="C69" s="38" t="s">
        <v>71</v>
      </c>
      <c r="D69" s="38" t="s">
        <v>408</v>
      </c>
      <c r="E69" s="38" t="s">
        <v>2590</v>
      </c>
      <c r="F69" s="38" t="s">
        <v>2591</v>
      </c>
      <c r="G69" s="38" t="s">
        <v>2592</v>
      </c>
      <c r="H69" s="38" t="s">
        <v>54</v>
      </c>
      <c r="I69" s="38" t="s">
        <v>55</v>
      </c>
      <c r="J69" s="38" t="s">
        <v>56</v>
      </c>
      <c r="K69" s="37">
        <v>1.475292E8</v>
      </c>
      <c r="L69" s="38" t="s">
        <v>52</v>
      </c>
      <c r="M69" s="38" t="s">
        <v>174</v>
      </c>
      <c r="N69" s="38" t="s">
        <v>408</v>
      </c>
      <c r="O69" s="38" t="s">
        <v>4064</v>
      </c>
      <c r="P69" s="37">
        <v>3.95</v>
      </c>
      <c r="Q69" s="38" t="s">
        <v>4065</v>
      </c>
      <c r="R69" s="38" t="s">
        <v>174</v>
      </c>
      <c r="S69" s="38" t="s">
        <v>54</v>
      </c>
      <c r="T69" s="38" t="s">
        <v>49</v>
      </c>
      <c r="U69" s="38" t="s">
        <v>53</v>
      </c>
      <c r="V69" s="38" t="s">
        <v>2593</v>
      </c>
      <c r="W69" s="38" t="s">
        <v>54</v>
      </c>
    </row>
    <row r="70">
      <c r="A70" s="38" t="s">
        <v>1725</v>
      </c>
      <c r="B70" s="38" t="s">
        <v>1728</v>
      </c>
      <c r="C70" s="38" t="s">
        <v>71</v>
      </c>
      <c r="D70" s="38" t="s">
        <v>200</v>
      </c>
      <c r="E70" s="38" t="s">
        <v>2934</v>
      </c>
      <c r="F70" s="38" t="s">
        <v>2935</v>
      </c>
      <c r="G70" s="38" t="s">
        <v>2936</v>
      </c>
      <c r="H70" s="37">
        <v>2.265</v>
      </c>
      <c r="I70" s="38" t="s">
        <v>55</v>
      </c>
      <c r="J70" s="38" t="s">
        <v>56</v>
      </c>
      <c r="K70" s="37">
        <v>1.978053E8</v>
      </c>
      <c r="L70" s="38" t="s">
        <v>52</v>
      </c>
      <c r="M70" s="38" t="s">
        <v>1840</v>
      </c>
      <c r="N70" s="38" t="s">
        <v>200</v>
      </c>
      <c r="O70" s="38" t="s">
        <v>4066</v>
      </c>
      <c r="P70" s="37">
        <v>2.625</v>
      </c>
      <c r="Q70" s="38" t="s">
        <v>4067</v>
      </c>
      <c r="R70" s="38" t="s">
        <v>174</v>
      </c>
      <c r="S70" s="38" t="s">
        <v>54</v>
      </c>
      <c r="T70" s="38" t="s">
        <v>115</v>
      </c>
      <c r="U70" s="38" t="s">
        <v>53</v>
      </c>
      <c r="V70" s="38" t="s">
        <v>2937</v>
      </c>
      <c r="W70" s="38" t="s">
        <v>54</v>
      </c>
    </row>
    <row r="71">
      <c r="A71" s="38" t="s">
        <v>1059</v>
      </c>
      <c r="B71" s="38" t="s">
        <v>1046</v>
      </c>
      <c r="C71" s="38" t="s">
        <v>71</v>
      </c>
      <c r="D71" s="38" t="s">
        <v>1047</v>
      </c>
      <c r="E71" s="38" t="s">
        <v>3379</v>
      </c>
      <c r="F71" s="38" t="s">
        <v>3380</v>
      </c>
      <c r="G71" s="38" t="s">
        <v>3381</v>
      </c>
      <c r="H71" s="38" t="s">
        <v>54</v>
      </c>
      <c r="I71" s="38" t="s">
        <v>55</v>
      </c>
      <c r="J71" s="38" t="s">
        <v>56</v>
      </c>
      <c r="K71" s="37">
        <v>1.248206E9</v>
      </c>
      <c r="L71" s="38" t="s">
        <v>52</v>
      </c>
      <c r="M71" s="38" t="s">
        <v>1776</v>
      </c>
      <c r="N71" s="38" t="s">
        <v>367</v>
      </c>
      <c r="O71" s="38" t="s">
        <v>4068</v>
      </c>
      <c r="P71" s="37">
        <v>6.0</v>
      </c>
      <c r="Q71" s="38" t="s">
        <v>4052</v>
      </c>
      <c r="R71" s="38" t="s">
        <v>174</v>
      </c>
      <c r="S71" s="38" t="s">
        <v>297</v>
      </c>
      <c r="T71" s="38" t="s">
        <v>115</v>
      </c>
      <c r="U71" s="38" t="s">
        <v>263</v>
      </c>
      <c r="V71" s="38" t="s">
        <v>3382</v>
      </c>
      <c r="W71" s="38" t="s">
        <v>54</v>
      </c>
    </row>
    <row r="72">
      <c r="A72" s="38" t="s">
        <v>1059</v>
      </c>
      <c r="B72" s="38" t="s">
        <v>1046</v>
      </c>
      <c r="C72" s="38" t="s">
        <v>71</v>
      </c>
      <c r="D72" s="38" t="s">
        <v>1047</v>
      </c>
      <c r="E72" s="38" t="s">
        <v>3383</v>
      </c>
      <c r="F72" s="38" t="s">
        <v>3384</v>
      </c>
      <c r="G72" s="38" t="s">
        <v>3385</v>
      </c>
      <c r="H72" s="38" t="s">
        <v>54</v>
      </c>
      <c r="I72" s="38" t="s">
        <v>55</v>
      </c>
      <c r="J72" s="38" t="s">
        <v>56</v>
      </c>
      <c r="K72" s="37">
        <v>1.249745E9</v>
      </c>
      <c r="L72" s="38" t="s">
        <v>52</v>
      </c>
      <c r="M72" s="38" t="s">
        <v>1776</v>
      </c>
      <c r="N72" s="38" t="s">
        <v>367</v>
      </c>
      <c r="O72" s="38" t="s">
        <v>4068</v>
      </c>
      <c r="P72" s="37">
        <v>6.75</v>
      </c>
      <c r="Q72" s="38" t="s">
        <v>4053</v>
      </c>
      <c r="R72" s="38" t="s">
        <v>174</v>
      </c>
      <c r="S72" s="38" t="s">
        <v>297</v>
      </c>
      <c r="T72" s="38" t="s">
        <v>115</v>
      </c>
      <c r="U72" s="38" t="s">
        <v>263</v>
      </c>
      <c r="V72" s="38" t="s">
        <v>3386</v>
      </c>
      <c r="W72" s="38" t="s">
        <v>54</v>
      </c>
    </row>
    <row r="73">
      <c r="A73" s="38" t="s">
        <v>1043</v>
      </c>
      <c r="B73" s="38" t="s">
        <v>1046</v>
      </c>
      <c r="C73" s="38" t="s">
        <v>71</v>
      </c>
      <c r="D73" s="38" t="s">
        <v>1047</v>
      </c>
      <c r="E73" s="38" t="s">
        <v>3339</v>
      </c>
      <c r="F73" s="38" t="s">
        <v>3340</v>
      </c>
      <c r="G73" s="38" t="s">
        <v>3341</v>
      </c>
      <c r="H73" s="38" t="s">
        <v>54</v>
      </c>
      <c r="I73" s="38" t="s">
        <v>55</v>
      </c>
      <c r="J73" s="38" t="s">
        <v>56</v>
      </c>
      <c r="K73" s="37">
        <v>1.059816988E9</v>
      </c>
      <c r="L73" s="38" t="s">
        <v>52</v>
      </c>
      <c r="M73" s="38" t="s">
        <v>1776</v>
      </c>
      <c r="N73" s="38" t="s">
        <v>367</v>
      </c>
      <c r="O73" s="38" t="s">
        <v>4068</v>
      </c>
      <c r="P73" s="37">
        <v>4.5</v>
      </c>
      <c r="Q73" s="38" t="s">
        <v>4054</v>
      </c>
      <c r="R73" s="38" t="s">
        <v>174</v>
      </c>
      <c r="S73" s="38" t="s">
        <v>297</v>
      </c>
      <c r="T73" s="38" t="s">
        <v>115</v>
      </c>
      <c r="U73" s="38" t="s">
        <v>53</v>
      </c>
      <c r="V73" s="38" t="s">
        <v>3342</v>
      </c>
      <c r="W73" s="38" t="s">
        <v>54</v>
      </c>
    </row>
    <row r="74">
      <c r="A74" s="38" t="s">
        <v>933</v>
      </c>
      <c r="B74" s="38" t="s">
        <v>936</v>
      </c>
      <c r="C74" s="38" t="s">
        <v>71</v>
      </c>
      <c r="D74" s="38" t="s">
        <v>45</v>
      </c>
      <c r="E74" s="38" t="s">
        <v>2238</v>
      </c>
      <c r="F74" s="38" t="s">
        <v>174</v>
      </c>
      <c r="G74" s="38" t="s">
        <v>2239</v>
      </c>
      <c r="H74" s="38" t="s">
        <v>54</v>
      </c>
      <c r="I74" s="38" t="s">
        <v>55</v>
      </c>
      <c r="J74" s="38" t="s">
        <v>70</v>
      </c>
      <c r="K74" s="37">
        <v>7.18572E7</v>
      </c>
      <c r="L74" s="38" t="s">
        <v>52</v>
      </c>
      <c r="M74" s="38" t="s">
        <v>174</v>
      </c>
      <c r="N74" s="38" t="s">
        <v>45</v>
      </c>
      <c r="O74" s="38" t="s">
        <v>4069</v>
      </c>
      <c r="P74" s="37">
        <v>0.0</v>
      </c>
      <c r="Q74" s="38" t="s">
        <v>4070</v>
      </c>
      <c r="R74" s="38" t="s">
        <v>76</v>
      </c>
      <c r="S74" s="38" t="s">
        <v>54</v>
      </c>
      <c r="T74" s="38" t="s">
        <v>49</v>
      </c>
      <c r="U74" s="38" t="s">
        <v>53</v>
      </c>
      <c r="V74" s="38" t="s">
        <v>2240</v>
      </c>
      <c r="W74" s="38" t="s">
        <v>54</v>
      </c>
    </row>
    <row r="75">
      <c r="A75" s="38" t="s">
        <v>933</v>
      </c>
      <c r="B75" s="38" t="s">
        <v>936</v>
      </c>
      <c r="C75" s="38" t="s">
        <v>71</v>
      </c>
      <c r="D75" s="38" t="s">
        <v>45</v>
      </c>
      <c r="E75" s="38" t="s">
        <v>2241</v>
      </c>
      <c r="F75" s="38" t="s">
        <v>174</v>
      </c>
      <c r="G75" s="38" t="s">
        <v>2242</v>
      </c>
      <c r="H75" s="38" t="s">
        <v>54</v>
      </c>
      <c r="I75" s="38" t="s">
        <v>55</v>
      </c>
      <c r="J75" s="38" t="s">
        <v>70</v>
      </c>
      <c r="K75" s="37">
        <v>7.18572E7</v>
      </c>
      <c r="L75" s="38" t="s">
        <v>52</v>
      </c>
      <c r="M75" s="38" t="s">
        <v>174</v>
      </c>
      <c r="N75" s="38" t="s">
        <v>45</v>
      </c>
      <c r="O75" s="38" t="s">
        <v>4069</v>
      </c>
      <c r="P75" s="37">
        <v>0.0</v>
      </c>
      <c r="Q75" s="38" t="s">
        <v>4071</v>
      </c>
      <c r="R75" s="38" t="s">
        <v>158</v>
      </c>
      <c r="S75" s="38" t="s">
        <v>54</v>
      </c>
      <c r="T75" s="38" t="s">
        <v>49</v>
      </c>
      <c r="U75" s="38" t="s">
        <v>53</v>
      </c>
      <c r="V75" s="38" t="s">
        <v>2243</v>
      </c>
      <c r="W75" s="38" t="s">
        <v>54</v>
      </c>
    </row>
    <row r="76">
      <c r="A76" s="38" t="s">
        <v>933</v>
      </c>
      <c r="B76" s="38" t="s">
        <v>936</v>
      </c>
      <c r="C76" s="38" t="s">
        <v>71</v>
      </c>
      <c r="D76" s="38" t="s">
        <v>45</v>
      </c>
      <c r="E76" s="38" t="s">
        <v>2244</v>
      </c>
      <c r="F76" s="38" t="s">
        <v>174</v>
      </c>
      <c r="G76" s="38" t="s">
        <v>2245</v>
      </c>
      <c r="H76" s="38" t="s">
        <v>54</v>
      </c>
      <c r="I76" s="38" t="s">
        <v>55</v>
      </c>
      <c r="J76" s="38" t="s">
        <v>70</v>
      </c>
      <c r="K76" s="37">
        <v>7.18572E7</v>
      </c>
      <c r="L76" s="38" t="s">
        <v>52</v>
      </c>
      <c r="M76" s="38" t="s">
        <v>174</v>
      </c>
      <c r="N76" s="38" t="s">
        <v>45</v>
      </c>
      <c r="O76" s="38" t="s">
        <v>4069</v>
      </c>
      <c r="P76" s="37">
        <v>0.0</v>
      </c>
      <c r="Q76" s="38" t="s">
        <v>4072</v>
      </c>
      <c r="R76" s="38" t="s">
        <v>69</v>
      </c>
      <c r="S76" s="38" t="s">
        <v>54</v>
      </c>
      <c r="T76" s="38" t="s">
        <v>49</v>
      </c>
      <c r="U76" s="38" t="s">
        <v>53</v>
      </c>
      <c r="V76" s="38" t="s">
        <v>2246</v>
      </c>
      <c r="W76" s="38" t="s">
        <v>54</v>
      </c>
    </row>
    <row r="77">
      <c r="A77" s="38" t="s">
        <v>1604</v>
      </c>
      <c r="B77" s="38" t="s">
        <v>1607</v>
      </c>
      <c r="C77" s="38" t="s">
        <v>71</v>
      </c>
      <c r="D77" s="38" t="s">
        <v>45</v>
      </c>
      <c r="E77" s="38" t="s">
        <v>3152</v>
      </c>
      <c r="F77" s="38" t="s">
        <v>174</v>
      </c>
      <c r="G77" s="38" t="s">
        <v>3153</v>
      </c>
      <c r="H77" s="38" t="s">
        <v>54</v>
      </c>
      <c r="I77" s="38" t="s">
        <v>55</v>
      </c>
      <c r="J77" s="38" t="s">
        <v>70</v>
      </c>
      <c r="K77" s="37">
        <v>3.08828115E8</v>
      </c>
      <c r="L77" s="38" t="s">
        <v>52</v>
      </c>
      <c r="M77" s="38" t="s">
        <v>174</v>
      </c>
      <c r="N77" s="38" t="s">
        <v>45</v>
      </c>
      <c r="O77" s="38" t="s">
        <v>4073</v>
      </c>
      <c r="P77" s="37">
        <v>0.0</v>
      </c>
      <c r="Q77" s="38" t="s">
        <v>4074</v>
      </c>
      <c r="R77" s="38" t="s">
        <v>76</v>
      </c>
      <c r="S77" s="38" t="s">
        <v>54</v>
      </c>
      <c r="T77" s="38" t="s">
        <v>49</v>
      </c>
      <c r="U77" s="38" t="s">
        <v>53</v>
      </c>
      <c r="V77" s="38" t="s">
        <v>3154</v>
      </c>
      <c r="W77" s="38" t="s">
        <v>54</v>
      </c>
    </row>
    <row r="78">
      <c r="A78" s="38" t="s">
        <v>1604</v>
      </c>
      <c r="B78" s="38" t="s">
        <v>1607</v>
      </c>
      <c r="C78" s="38" t="s">
        <v>71</v>
      </c>
      <c r="D78" s="38" t="s">
        <v>45</v>
      </c>
      <c r="E78" s="38" t="s">
        <v>3155</v>
      </c>
      <c r="F78" s="38" t="s">
        <v>174</v>
      </c>
      <c r="G78" s="38" t="s">
        <v>3156</v>
      </c>
      <c r="H78" s="38" t="s">
        <v>54</v>
      </c>
      <c r="I78" s="38" t="s">
        <v>55</v>
      </c>
      <c r="J78" s="38" t="s">
        <v>70</v>
      </c>
      <c r="K78" s="37">
        <v>3.08828115E8</v>
      </c>
      <c r="L78" s="38" t="s">
        <v>52</v>
      </c>
      <c r="M78" s="38" t="s">
        <v>174</v>
      </c>
      <c r="N78" s="38" t="s">
        <v>45</v>
      </c>
      <c r="O78" s="38" t="s">
        <v>4073</v>
      </c>
      <c r="P78" s="37">
        <v>0.0</v>
      </c>
      <c r="Q78" s="38" t="s">
        <v>4075</v>
      </c>
      <c r="R78" s="38" t="s">
        <v>69</v>
      </c>
      <c r="S78" s="38" t="s">
        <v>54</v>
      </c>
      <c r="T78" s="38" t="s">
        <v>49</v>
      </c>
      <c r="U78" s="38" t="s">
        <v>53</v>
      </c>
      <c r="V78" s="38" t="s">
        <v>3157</v>
      </c>
      <c r="W78" s="38" t="s">
        <v>54</v>
      </c>
    </row>
    <row r="79">
      <c r="A79" s="38" t="s">
        <v>1604</v>
      </c>
      <c r="B79" s="38" t="s">
        <v>1607</v>
      </c>
      <c r="C79" s="38" t="s">
        <v>71</v>
      </c>
      <c r="D79" s="38" t="s">
        <v>45</v>
      </c>
      <c r="E79" s="38" t="s">
        <v>3158</v>
      </c>
      <c r="F79" s="38" t="s">
        <v>174</v>
      </c>
      <c r="G79" s="38" t="s">
        <v>3159</v>
      </c>
      <c r="H79" s="38" t="s">
        <v>54</v>
      </c>
      <c r="I79" s="38" t="s">
        <v>55</v>
      </c>
      <c r="J79" s="38" t="s">
        <v>70</v>
      </c>
      <c r="K79" s="37">
        <v>3.08828115E8</v>
      </c>
      <c r="L79" s="38" t="s">
        <v>52</v>
      </c>
      <c r="M79" s="38" t="s">
        <v>174</v>
      </c>
      <c r="N79" s="38" t="s">
        <v>45</v>
      </c>
      <c r="O79" s="38" t="s">
        <v>4073</v>
      </c>
      <c r="P79" s="37">
        <v>0.0</v>
      </c>
      <c r="Q79" s="38" t="s">
        <v>1096</v>
      </c>
      <c r="R79" s="38" t="s">
        <v>51</v>
      </c>
      <c r="S79" s="38" t="s">
        <v>54</v>
      </c>
      <c r="T79" s="38" t="s">
        <v>49</v>
      </c>
      <c r="U79" s="38" t="s">
        <v>53</v>
      </c>
      <c r="V79" s="38" t="s">
        <v>3160</v>
      </c>
      <c r="W79" s="38" t="s">
        <v>54</v>
      </c>
    </row>
    <row r="80">
      <c r="A80" s="38" t="s">
        <v>1217</v>
      </c>
      <c r="B80" s="38" t="s">
        <v>1220</v>
      </c>
      <c r="C80" s="38" t="s">
        <v>57</v>
      </c>
      <c r="D80" s="38" t="s">
        <v>45</v>
      </c>
      <c r="E80" s="38" t="s">
        <v>2880</v>
      </c>
      <c r="F80" s="38" t="s">
        <v>2881</v>
      </c>
      <c r="G80" s="38" t="s">
        <v>2882</v>
      </c>
      <c r="H80" s="38" t="s">
        <v>54</v>
      </c>
      <c r="I80" s="38" t="s">
        <v>421</v>
      </c>
      <c r="J80" s="38" t="s">
        <v>56</v>
      </c>
      <c r="K80" s="37">
        <v>5.90635E8</v>
      </c>
      <c r="L80" s="38" t="s">
        <v>52</v>
      </c>
      <c r="M80" s="38" t="s">
        <v>1776</v>
      </c>
      <c r="N80" s="38" t="s">
        <v>45</v>
      </c>
      <c r="O80" s="38" t="s">
        <v>4076</v>
      </c>
      <c r="P80" s="37">
        <v>1.125</v>
      </c>
      <c r="Q80" s="38" t="s">
        <v>4077</v>
      </c>
      <c r="R80" s="38" t="s">
        <v>226</v>
      </c>
      <c r="S80" s="38" t="s">
        <v>175</v>
      </c>
      <c r="T80" s="38" t="s">
        <v>115</v>
      </c>
      <c r="U80" s="38" t="s">
        <v>53</v>
      </c>
      <c r="V80" s="38" t="s">
        <v>2883</v>
      </c>
      <c r="W80" s="37">
        <v>1.403</v>
      </c>
    </row>
    <row r="81">
      <c r="A81" s="38" t="s">
        <v>477</v>
      </c>
      <c r="B81" s="38" t="s">
        <v>480</v>
      </c>
      <c r="C81" s="38" t="s">
        <v>57</v>
      </c>
      <c r="D81" s="38" t="s">
        <v>45</v>
      </c>
      <c r="E81" s="38" t="s">
        <v>1913</v>
      </c>
      <c r="F81" s="38" t="s">
        <v>1914</v>
      </c>
      <c r="G81" s="38" t="s">
        <v>1915</v>
      </c>
      <c r="H81" s="38" t="s">
        <v>54</v>
      </c>
      <c r="I81" s="38" t="s">
        <v>55</v>
      </c>
      <c r="J81" s="38" t="s">
        <v>56</v>
      </c>
      <c r="K81" s="37">
        <v>8.747925E8</v>
      </c>
      <c r="L81" s="38" t="s">
        <v>459</v>
      </c>
      <c r="M81" s="38" t="s">
        <v>1771</v>
      </c>
      <c r="N81" s="38" t="s">
        <v>45</v>
      </c>
      <c r="O81" s="38" t="s">
        <v>4078</v>
      </c>
      <c r="P81" s="37">
        <v>0.25</v>
      </c>
      <c r="Q81" s="38" t="s">
        <v>4079</v>
      </c>
      <c r="R81" s="38" t="s">
        <v>226</v>
      </c>
      <c r="S81" s="38" t="s">
        <v>190</v>
      </c>
      <c r="T81" s="38" t="s">
        <v>49</v>
      </c>
      <c r="U81" s="38" t="s">
        <v>53</v>
      </c>
      <c r="V81" s="38" t="s">
        <v>1916</v>
      </c>
      <c r="W81" s="37">
        <v>0.189</v>
      </c>
    </row>
    <row r="82">
      <c r="A82" s="38" t="s">
        <v>207</v>
      </c>
      <c r="B82" s="38" t="s">
        <v>210</v>
      </c>
      <c r="C82" s="38" t="s">
        <v>71</v>
      </c>
      <c r="D82" s="38" t="s">
        <v>112</v>
      </c>
      <c r="E82" s="38" t="s">
        <v>3054</v>
      </c>
      <c r="F82" s="38" t="s">
        <v>3055</v>
      </c>
      <c r="G82" s="38" t="s">
        <v>3056</v>
      </c>
      <c r="H82" s="38" t="s">
        <v>54</v>
      </c>
      <c r="I82" s="38" t="s">
        <v>175</v>
      </c>
      <c r="J82" s="38" t="s">
        <v>70</v>
      </c>
      <c r="K82" s="37">
        <v>5.47468E7</v>
      </c>
      <c r="L82" s="38" t="s">
        <v>52</v>
      </c>
      <c r="M82" s="38" t="s">
        <v>174</v>
      </c>
      <c r="N82" s="38" t="s">
        <v>112</v>
      </c>
      <c r="O82" s="38" t="s">
        <v>4080</v>
      </c>
      <c r="P82" s="37">
        <v>3.63</v>
      </c>
      <c r="Q82" s="38" t="s">
        <v>4081</v>
      </c>
      <c r="R82" s="38" t="s">
        <v>213</v>
      </c>
      <c r="S82" s="38" t="s">
        <v>54</v>
      </c>
      <c r="T82" s="38" t="s">
        <v>49</v>
      </c>
      <c r="U82" s="38" t="s">
        <v>119</v>
      </c>
      <c r="V82" s="38" t="s">
        <v>3057</v>
      </c>
      <c r="W82" s="38" t="s">
        <v>54</v>
      </c>
    </row>
    <row r="83">
      <c r="A83" s="38" t="s">
        <v>1487</v>
      </c>
      <c r="B83" s="38" t="s">
        <v>1490</v>
      </c>
      <c r="C83" s="38" t="s">
        <v>57</v>
      </c>
      <c r="D83" s="38" t="s">
        <v>185</v>
      </c>
      <c r="E83" s="38" t="s">
        <v>2260</v>
      </c>
      <c r="F83" s="38" t="s">
        <v>2261</v>
      </c>
      <c r="G83" s="38" t="s">
        <v>2262</v>
      </c>
      <c r="H83" s="38" t="s">
        <v>54</v>
      </c>
      <c r="I83" s="38" t="s">
        <v>117</v>
      </c>
      <c r="J83" s="38" t="s">
        <v>56</v>
      </c>
      <c r="K83" s="37">
        <v>5.8868E8</v>
      </c>
      <c r="L83" s="38" t="s">
        <v>52</v>
      </c>
      <c r="M83" s="38" t="s">
        <v>1771</v>
      </c>
      <c r="N83" s="38" t="s">
        <v>185</v>
      </c>
      <c r="O83" s="38" t="s">
        <v>4082</v>
      </c>
      <c r="P83" s="37">
        <v>0.875</v>
      </c>
      <c r="Q83" s="38" t="s">
        <v>4083</v>
      </c>
      <c r="R83" s="38" t="s">
        <v>226</v>
      </c>
      <c r="S83" s="38" t="s">
        <v>190</v>
      </c>
      <c r="T83" s="38" t="s">
        <v>115</v>
      </c>
      <c r="U83" s="38" t="s">
        <v>53</v>
      </c>
      <c r="V83" s="38" t="s">
        <v>2263</v>
      </c>
      <c r="W83" s="37">
        <v>0.954</v>
      </c>
    </row>
    <row r="84">
      <c r="A84" s="38" t="s">
        <v>1292</v>
      </c>
      <c r="B84" s="38" t="s">
        <v>1295</v>
      </c>
      <c r="C84" s="38" t="s">
        <v>71</v>
      </c>
      <c r="D84" s="38" t="s">
        <v>45</v>
      </c>
      <c r="E84" s="38" t="s">
        <v>1882</v>
      </c>
      <c r="F84" s="38" t="s">
        <v>174</v>
      </c>
      <c r="G84" s="38" t="s">
        <v>1883</v>
      </c>
      <c r="H84" s="38" t="s">
        <v>54</v>
      </c>
      <c r="I84" s="38" t="s">
        <v>55</v>
      </c>
      <c r="J84" s="38" t="s">
        <v>70</v>
      </c>
      <c r="K84" s="37">
        <v>6.732234E7</v>
      </c>
      <c r="L84" s="38" t="s">
        <v>52</v>
      </c>
      <c r="M84" s="38" t="s">
        <v>174</v>
      </c>
      <c r="N84" s="38" t="s">
        <v>45</v>
      </c>
      <c r="O84" s="38" t="s">
        <v>4084</v>
      </c>
      <c r="P84" s="37">
        <v>0.0</v>
      </c>
      <c r="Q84" s="38" t="s">
        <v>4085</v>
      </c>
      <c r="R84" s="38" t="s">
        <v>76</v>
      </c>
      <c r="S84" s="38" t="s">
        <v>54</v>
      </c>
      <c r="T84" s="38" t="s">
        <v>49</v>
      </c>
      <c r="U84" s="38" t="s">
        <v>53</v>
      </c>
      <c r="V84" s="38" t="s">
        <v>1884</v>
      </c>
      <c r="W84" s="38" t="s">
        <v>54</v>
      </c>
    </row>
    <row r="85">
      <c r="A85" s="38" t="s">
        <v>1292</v>
      </c>
      <c r="B85" s="38" t="s">
        <v>1295</v>
      </c>
      <c r="C85" s="38" t="s">
        <v>71</v>
      </c>
      <c r="D85" s="38" t="s">
        <v>45</v>
      </c>
      <c r="E85" s="38" t="s">
        <v>1885</v>
      </c>
      <c r="F85" s="38" t="s">
        <v>174</v>
      </c>
      <c r="G85" s="38" t="s">
        <v>1886</v>
      </c>
      <c r="H85" s="38" t="s">
        <v>54</v>
      </c>
      <c r="I85" s="38" t="s">
        <v>55</v>
      </c>
      <c r="J85" s="38" t="s">
        <v>70</v>
      </c>
      <c r="K85" s="37">
        <v>6.732234E7</v>
      </c>
      <c r="L85" s="38" t="s">
        <v>52</v>
      </c>
      <c r="M85" s="38" t="s">
        <v>174</v>
      </c>
      <c r="N85" s="38" t="s">
        <v>45</v>
      </c>
      <c r="O85" s="38" t="s">
        <v>4084</v>
      </c>
      <c r="P85" s="37">
        <v>0.0</v>
      </c>
      <c r="Q85" s="38" t="s">
        <v>4086</v>
      </c>
      <c r="R85" s="38" t="s">
        <v>69</v>
      </c>
      <c r="S85" s="38" t="s">
        <v>54</v>
      </c>
      <c r="T85" s="38" t="s">
        <v>49</v>
      </c>
      <c r="U85" s="38" t="s">
        <v>53</v>
      </c>
      <c r="V85" s="38" t="s">
        <v>1887</v>
      </c>
      <c r="W85" s="38" t="s">
        <v>54</v>
      </c>
    </row>
    <row r="86">
      <c r="A86" s="38" t="s">
        <v>1560</v>
      </c>
      <c r="B86" s="38" t="s">
        <v>1563</v>
      </c>
      <c r="C86" s="38" t="s">
        <v>57</v>
      </c>
      <c r="D86" s="38" t="s">
        <v>258</v>
      </c>
      <c r="E86" s="38" t="s">
        <v>2731</v>
      </c>
      <c r="F86" s="38" t="s">
        <v>2732</v>
      </c>
      <c r="G86" s="38" t="s">
        <v>2733</v>
      </c>
      <c r="H86" s="37">
        <v>1.855</v>
      </c>
      <c r="I86" s="38" t="s">
        <v>55</v>
      </c>
      <c r="J86" s="38" t="s">
        <v>56</v>
      </c>
      <c r="K86" s="37">
        <v>8.769E8</v>
      </c>
      <c r="L86" s="38" t="s">
        <v>52</v>
      </c>
      <c r="M86" s="38" t="s">
        <v>1771</v>
      </c>
      <c r="N86" s="38" t="s">
        <v>367</v>
      </c>
      <c r="O86" s="38" t="s">
        <v>4087</v>
      </c>
      <c r="P86" s="37">
        <v>1.75</v>
      </c>
      <c r="Q86" s="38" t="s">
        <v>4088</v>
      </c>
      <c r="R86" s="38" t="s">
        <v>174</v>
      </c>
      <c r="S86" s="38" t="s">
        <v>175</v>
      </c>
      <c r="T86" s="38" t="s">
        <v>49</v>
      </c>
      <c r="U86" s="38" t="s">
        <v>53</v>
      </c>
      <c r="V86" s="38" t="s">
        <v>2734</v>
      </c>
      <c r="W86" s="37">
        <v>1.746</v>
      </c>
    </row>
    <row r="87">
      <c r="A87" s="38" t="s">
        <v>814</v>
      </c>
      <c r="B87" s="38" t="s">
        <v>817</v>
      </c>
      <c r="C87" s="38" t="s">
        <v>57</v>
      </c>
      <c r="D87" s="38" t="s">
        <v>185</v>
      </c>
      <c r="E87" s="38" t="s">
        <v>3435</v>
      </c>
      <c r="F87" s="38" t="s">
        <v>3436</v>
      </c>
      <c r="G87" s="38" t="s">
        <v>3437</v>
      </c>
      <c r="H87" s="37">
        <v>1.554</v>
      </c>
      <c r="I87" s="38" t="s">
        <v>133</v>
      </c>
      <c r="J87" s="38" t="s">
        <v>56</v>
      </c>
      <c r="K87" s="37">
        <v>6.96276E8</v>
      </c>
      <c r="L87" s="38" t="s">
        <v>52</v>
      </c>
      <c r="M87" s="38" t="s">
        <v>1771</v>
      </c>
      <c r="N87" s="38" t="s">
        <v>185</v>
      </c>
      <c r="O87" s="38" t="s">
        <v>4089</v>
      </c>
      <c r="P87" s="37">
        <v>1.5</v>
      </c>
      <c r="Q87" s="38" t="s">
        <v>4090</v>
      </c>
      <c r="R87" s="38" t="s">
        <v>2135</v>
      </c>
      <c r="S87" s="38" t="s">
        <v>264</v>
      </c>
      <c r="T87" s="38" t="s">
        <v>115</v>
      </c>
      <c r="U87" s="38" t="s">
        <v>53</v>
      </c>
      <c r="V87" s="38" t="s">
        <v>3438</v>
      </c>
      <c r="W87" s="37">
        <v>1.306</v>
      </c>
    </row>
    <row r="88">
      <c r="A88" s="38" t="s">
        <v>1519</v>
      </c>
      <c r="B88" s="38" t="s">
        <v>1522</v>
      </c>
      <c r="C88" s="38" t="s">
        <v>71</v>
      </c>
      <c r="D88" s="38" t="s">
        <v>185</v>
      </c>
      <c r="E88" s="38" t="s">
        <v>3096</v>
      </c>
      <c r="F88" s="38" t="s">
        <v>3097</v>
      </c>
      <c r="G88" s="38" t="s">
        <v>3098</v>
      </c>
      <c r="H88" s="37">
        <v>3.413</v>
      </c>
      <c r="I88" s="38" t="s">
        <v>117</v>
      </c>
      <c r="J88" s="38" t="s">
        <v>56</v>
      </c>
      <c r="K88" s="37">
        <v>1.0E9</v>
      </c>
      <c r="L88" s="38" t="s">
        <v>52</v>
      </c>
      <c r="M88" s="38" t="s">
        <v>1771</v>
      </c>
      <c r="N88" s="38" t="s">
        <v>185</v>
      </c>
      <c r="O88" s="38" t="s">
        <v>4091</v>
      </c>
      <c r="P88" s="37">
        <v>3.375</v>
      </c>
      <c r="Q88" s="38" t="s">
        <v>4092</v>
      </c>
      <c r="R88" s="38" t="s">
        <v>174</v>
      </c>
      <c r="S88" s="38" t="s">
        <v>484</v>
      </c>
      <c r="T88" s="38" t="s">
        <v>115</v>
      </c>
      <c r="U88" s="38" t="s">
        <v>263</v>
      </c>
      <c r="V88" s="38" t="s">
        <v>3099</v>
      </c>
      <c r="W88" s="38" t="s">
        <v>54</v>
      </c>
    </row>
    <row r="89">
      <c r="A89" s="38" t="s">
        <v>1519</v>
      </c>
      <c r="B89" s="38" t="s">
        <v>1522</v>
      </c>
      <c r="C89" s="38" t="s">
        <v>71</v>
      </c>
      <c r="D89" s="38" t="s">
        <v>185</v>
      </c>
      <c r="E89" s="38" t="s">
        <v>3100</v>
      </c>
      <c r="F89" s="38" t="s">
        <v>3101</v>
      </c>
      <c r="G89" s="38" t="s">
        <v>3102</v>
      </c>
      <c r="H89" s="37">
        <v>3.713</v>
      </c>
      <c r="I89" s="38" t="s">
        <v>117</v>
      </c>
      <c r="J89" s="38" t="s">
        <v>56</v>
      </c>
      <c r="K89" s="37">
        <v>1.0E9</v>
      </c>
      <c r="L89" s="38" t="s">
        <v>52</v>
      </c>
      <c r="M89" s="38" t="s">
        <v>1771</v>
      </c>
      <c r="N89" s="38" t="s">
        <v>185</v>
      </c>
      <c r="O89" s="38" t="s">
        <v>4091</v>
      </c>
      <c r="P89" s="37">
        <v>3.625</v>
      </c>
      <c r="Q89" s="38" t="s">
        <v>4093</v>
      </c>
      <c r="R89" s="38" t="s">
        <v>174</v>
      </c>
      <c r="S89" s="38" t="s">
        <v>484</v>
      </c>
      <c r="T89" s="38" t="s">
        <v>115</v>
      </c>
      <c r="U89" s="38" t="s">
        <v>263</v>
      </c>
      <c r="V89" s="38" t="s">
        <v>3103</v>
      </c>
      <c r="W89" s="38" t="s">
        <v>54</v>
      </c>
    </row>
    <row r="90">
      <c r="A90" s="38" t="s">
        <v>181</v>
      </c>
      <c r="B90" s="38" t="s">
        <v>184</v>
      </c>
      <c r="C90" s="38" t="s">
        <v>57</v>
      </c>
      <c r="D90" s="38" t="s">
        <v>186</v>
      </c>
      <c r="E90" s="38" t="s">
        <v>3165</v>
      </c>
      <c r="F90" s="38" t="s">
        <v>3166</v>
      </c>
      <c r="G90" s="38" t="s">
        <v>3167</v>
      </c>
      <c r="H90" s="38" t="s">
        <v>54</v>
      </c>
      <c r="I90" s="38" t="s">
        <v>133</v>
      </c>
      <c r="J90" s="38" t="s">
        <v>56</v>
      </c>
      <c r="K90" s="37">
        <v>8.705475E8</v>
      </c>
      <c r="L90" s="38" t="s">
        <v>52</v>
      </c>
      <c r="M90" s="38" t="s">
        <v>1771</v>
      </c>
      <c r="N90" s="38" t="s">
        <v>185</v>
      </c>
      <c r="O90" s="38" t="s">
        <v>4094</v>
      </c>
      <c r="P90" s="37">
        <v>1.375</v>
      </c>
      <c r="Q90" s="38" t="s">
        <v>4095</v>
      </c>
      <c r="R90" s="38" t="s">
        <v>226</v>
      </c>
      <c r="S90" s="38" t="s">
        <v>190</v>
      </c>
      <c r="T90" s="38" t="s">
        <v>115</v>
      </c>
      <c r="U90" s="38" t="s">
        <v>53</v>
      </c>
      <c r="V90" s="38" t="s">
        <v>3168</v>
      </c>
      <c r="W90" s="37">
        <v>1.247</v>
      </c>
    </row>
    <row r="91">
      <c r="A91" s="38" t="s">
        <v>127</v>
      </c>
      <c r="B91" s="38" t="s">
        <v>130</v>
      </c>
      <c r="C91" s="38" t="s">
        <v>71</v>
      </c>
      <c r="D91" s="38" t="s">
        <v>45</v>
      </c>
      <c r="E91" s="38" t="s">
        <v>3067</v>
      </c>
      <c r="F91" s="38" t="s">
        <v>174</v>
      </c>
      <c r="G91" s="38" t="s">
        <v>3068</v>
      </c>
      <c r="H91" s="38" t="s">
        <v>54</v>
      </c>
      <c r="I91" s="38" t="s">
        <v>133</v>
      </c>
      <c r="J91" s="38" t="s">
        <v>70</v>
      </c>
      <c r="K91" s="37">
        <v>1.872912E8</v>
      </c>
      <c r="L91" s="38" t="s">
        <v>52</v>
      </c>
      <c r="M91" s="38" t="s">
        <v>174</v>
      </c>
      <c r="N91" s="38" t="s">
        <v>45</v>
      </c>
      <c r="O91" s="38" t="s">
        <v>4096</v>
      </c>
      <c r="P91" s="37">
        <v>0.0</v>
      </c>
      <c r="Q91" s="38" t="s">
        <v>4097</v>
      </c>
      <c r="R91" s="38" t="s">
        <v>76</v>
      </c>
      <c r="S91" s="38" t="s">
        <v>54</v>
      </c>
      <c r="T91" s="38" t="s">
        <v>49</v>
      </c>
      <c r="U91" s="38" t="s">
        <v>53</v>
      </c>
      <c r="V91" s="38" t="s">
        <v>3069</v>
      </c>
      <c r="W91" s="38" t="s">
        <v>54</v>
      </c>
    </row>
    <row r="92">
      <c r="A92" s="38" t="s">
        <v>1560</v>
      </c>
      <c r="B92" s="38" t="s">
        <v>1563</v>
      </c>
      <c r="C92" s="38" t="s">
        <v>57</v>
      </c>
      <c r="D92" s="38" t="s">
        <v>258</v>
      </c>
      <c r="E92" s="38" t="s">
        <v>2735</v>
      </c>
      <c r="F92" s="38" t="s">
        <v>2736</v>
      </c>
      <c r="G92" s="38" t="s">
        <v>2737</v>
      </c>
      <c r="H92" s="37">
        <v>2.5140000000000002</v>
      </c>
      <c r="I92" s="38" t="s">
        <v>55</v>
      </c>
      <c r="J92" s="38" t="s">
        <v>56</v>
      </c>
      <c r="K92" s="37">
        <v>8.769E8</v>
      </c>
      <c r="L92" s="38" t="s">
        <v>52</v>
      </c>
      <c r="M92" s="38" t="s">
        <v>1771</v>
      </c>
      <c r="N92" s="38" t="s">
        <v>367</v>
      </c>
      <c r="O92" s="38" t="s">
        <v>4087</v>
      </c>
      <c r="P92" s="37">
        <v>2.5</v>
      </c>
      <c r="Q92" s="38" t="s">
        <v>4098</v>
      </c>
      <c r="R92" s="38" t="s">
        <v>2738</v>
      </c>
      <c r="S92" s="38" t="s">
        <v>175</v>
      </c>
      <c r="T92" s="38" t="s">
        <v>49</v>
      </c>
      <c r="U92" s="38" t="s">
        <v>53</v>
      </c>
      <c r="V92" s="38" t="s">
        <v>2739</v>
      </c>
      <c r="W92" s="37">
        <v>2.412</v>
      </c>
    </row>
    <row r="93">
      <c r="A93" s="38" t="s">
        <v>207</v>
      </c>
      <c r="B93" s="38" t="s">
        <v>210</v>
      </c>
      <c r="C93" s="38" t="s">
        <v>71</v>
      </c>
      <c r="D93" s="38" t="s">
        <v>112</v>
      </c>
      <c r="E93" s="38" t="s">
        <v>3058</v>
      </c>
      <c r="F93" s="38" t="s">
        <v>3059</v>
      </c>
      <c r="G93" s="38" t="s">
        <v>3060</v>
      </c>
      <c r="H93" s="38" t="s">
        <v>54</v>
      </c>
      <c r="I93" s="38" t="s">
        <v>175</v>
      </c>
      <c r="J93" s="38" t="s">
        <v>70</v>
      </c>
      <c r="K93" s="37">
        <v>5.36142E7</v>
      </c>
      <c r="L93" s="38" t="s">
        <v>52</v>
      </c>
      <c r="M93" s="38" t="s">
        <v>174</v>
      </c>
      <c r="N93" s="38" t="s">
        <v>112</v>
      </c>
      <c r="O93" s="38" t="s">
        <v>4091</v>
      </c>
      <c r="P93" s="37">
        <v>3.8000000000000003</v>
      </c>
      <c r="Q93" s="38" t="s">
        <v>4099</v>
      </c>
      <c r="R93" s="38" t="s">
        <v>431</v>
      </c>
      <c r="S93" s="38" t="s">
        <v>54</v>
      </c>
      <c r="T93" s="38" t="s">
        <v>49</v>
      </c>
      <c r="U93" s="38" t="s">
        <v>119</v>
      </c>
      <c r="V93" s="38" t="s">
        <v>3061</v>
      </c>
      <c r="W93" s="38" t="s">
        <v>54</v>
      </c>
    </row>
    <row r="94">
      <c r="A94" s="38" t="s">
        <v>1626</v>
      </c>
      <c r="B94" s="38" t="s">
        <v>1629</v>
      </c>
      <c r="C94" s="38" t="s">
        <v>71</v>
      </c>
      <c r="D94" s="38" t="s">
        <v>45</v>
      </c>
      <c r="E94" s="38" t="s">
        <v>2699</v>
      </c>
      <c r="F94" s="38" t="s">
        <v>174</v>
      </c>
      <c r="G94" s="38" t="s">
        <v>2700</v>
      </c>
      <c r="H94" s="38" t="s">
        <v>54</v>
      </c>
      <c r="I94" s="38" t="s">
        <v>55</v>
      </c>
      <c r="J94" s="38" t="s">
        <v>70</v>
      </c>
      <c r="K94" s="37">
        <v>7.11936E7</v>
      </c>
      <c r="L94" s="38" t="s">
        <v>52</v>
      </c>
      <c r="M94" s="38" t="s">
        <v>174</v>
      </c>
      <c r="N94" s="38" t="s">
        <v>45</v>
      </c>
      <c r="O94" s="38" t="s">
        <v>4100</v>
      </c>
      <c r="P94" s="37">
        <v>0.0</v>
      </c>
      <c r="Q94" s="38" t="s">
        <v>4101</v>
      </c>
      <c r="R94" s="38" t="s">
        <v>76</v>
      </c>
      <c r="S94" s="38" t="s">
        <v>54</v>
      </c>
      <c r="T94" s="38" t="s">
        <v>49</v>
      </c>
      <c r="U94" s="38" t="s">
        <v>53</v>
      </c>
      <c r="V94" s="38" t="s">
        <v>2701</v>
      </c>
      <c r="W94" s="38" t="s">
        <v>54</v>
      </c>
    </row>
    <row r="95">
      <c r="A95" s="38" t="s">
        <v>1626</v>
      </c>
      <c r="B95" s="38" t="s">
        <v>1629</v>
      </c>
      <c r="C95" s="38" t="s">
        <v>71</v>
      </c>
      <c r="D95" s="38" t="s">
        <v>45</v>
      </c>
      <c r="E95" s="38" t="s">
        <v>2702</v>
      </c>
      <c r="F95" s="38" t="s">
        <v>174</v>
      </c>
      <c r="G95" s="38" t="s">
        <v>2703</v>
      </c>
      <c r="H95" s="38" t="s">
        <v>54</v>
      </c>
      <c r="I95" s="38" t="s">
        <v>55</v>
      </c>
      <c r="J95" s="38" t="s">
        <v>70</v>
      </c>
      <c r="K95" s="37">
        <v>7.11936E7</v>
      </c>
      <c r="L95" s="38" t="s">
        <v>52</v>
      </c>
      <c r="M95" s="38" t="s">
        <v>174</v>
      </c>
      <c r="N95" s="38" t="s">
        <v>45</v>
      </c>
      <c r="O95" s="38" t="s">
        <v>4100</v>
      </c>
      <c r="P95" s="37">
        <v>0.0</v>
      </c>
      <c r="Q95" s="38" t="s">
        <v>4102</v>
      </c>
      <c r="R95" s="38" t="s">
        <v>69</v>
      </c>
      <c r="S95" s="38" t="s">
        <v>54</v>
      </c>
      <c r="T95" s="38" t="s">
        <v>49</v>
      </c>
      <c r="U95" s="38" t="s">
        <v>53</v>
      </c>
      <c r="V95" s="38" t="s">
        <v>2704</v>
      </c>
      <c r="W95" s="38" t="s">
        <v>54</v>
      </c>
    </row>
    <row r="96">
      <c r="A96" s="38" t="s">
        <v>477</v>
      </c>
      <c r="B96" s="38" t="s">
        <v>480</v>
      </c>
      <c r="C96" s="38" t="s">
        <v>57</v>
      </c>
      <c r="D96" s="38" t="s">
        <v>45</v>
      </c>
      <c r="E96" s="38" t="s">
        <v>1917</v>
      </c>
      <c r="F96" s="38" t="s">
        <v>1918</v>
      </c>
      <c r="G96" s="38" t="s">
        <v>1919</v>
      </c>
      <c r="H96" s="38" t="s">
        <v>54</v>
      </c>
      <c r="I96" s="38" t="s">
        <v>55</v>
      </c>
      <c r="J96" s="38" t="s">
        <v>56</v>
      </c>
      <c r="K96" s="37">
        <v>8.81025E8</v>
      </c>
      <c r="L96" s="38" t="s">
        <v>459</v>
      </c>
      <c r="M96" s="38" t="s">
        <v>1771</v>
      </c>
      <c r="N96" s="38" t="s">
        <v>45</v>
      </c>
      <c r="O96" s="38" t="s">
        <v>4103</v>
      </c>
      <c r="P96" s="37">
        <v>0.0</v>
      </c>
      <c r="Q96" s="38" t="s">
        <v>4104</v>
      </c>
      <c r="R96" s="38" t="s">
        <v>226</v>
      </c>
      <c r="S96" s="38" t="s">
        <v>190</v>
      </c>
      <c r="T96" s="38" t="s">
        <v>49</v>
      </c>
      <c r="U96" s="38" t="s">
        <v>53</v>
      </c>
      <c r="V96" s="38" t="s">
        <v>1920</v>
      </c>
      <c r="W96" s="37">
        <v>0.025</v>
      </c>
    </row>
    <row r="97">
      <c r="A97" s="38" t="s">
        <v>207</v>
      </c>
      <c r="B97" s="38" t="s">
        <v>210</v>
      </c>
      <c r="C97" s="38" t="s">
        <v>71</v>
      </c>
      <c r="D97" s="38" t="s">
        <v>112</v>
      </c>
      <c r="E97" s="38" t="s">
        <v>3062</v>
      </c>
      <c r="F97" s="38" t="s">
        <v>3063</v>
      </c>
      <c r="G97" s="38" t="s">
        <v>3064</v>
      </c>
      <c r="H97" s="38" t="s">
        <v>54</v>
      </c>
      <c r="I97" s="38" t="s">
        <v>175</v>
      </c>
      <c r="J97" s="38" t="s">
        <v>70</v>
      </c>
      <c r="K97" s="37">
        <v>5.41264E7</v>
      </c>
      <c r="L97" s="38" t="s">
        <v>52</v>
      </c>
      <c r="M97" s="38" t="s">
        <v>174</v>
      </c>
      <c r="N97" s="38" t="s">
        <v>112</v>
      </c>
      <c r="O97" s="38" t="s">
        <v>4105</v>
      </c>
      <c r="P97" s="37">
        <v>4.24</v>
      </c>
      <c r="Q97" s="38" t="s">
        <v>4106</v>
      </c>
      <c r="R97" s="38" t="s">
        <v>3065</v>
      </c>
      <c r="S97" s="38" t="s">
        <v>54</v>
      </c>
      <c r="T97" s="38" t="s">
        <v>49</v>
      </c>
      <c r="U97" s="38" t="s">
        <v>119</v>
      </c>
      <c r="V97" s="38" t="s">
        <v>3066</v>
      </c>
      <c r="W97" s="38" t="s">
        <v>54</v>
      </c>
    </row>
    <row r="98">
      <c r="A98" s="38" t="s">
        <v>1011</v>
      </c>
      <c r="B98" s="38" t="s">
        <v>1014</v>
      </c>
      <c r="C98" s="38" t="s">
        <v>71</v>
      </c>
      <c r="D98" s="38" t="s">
        <v>185</v>
      </c>
      <c r="E98" s="38" t="s">
        <v>3197</v>
      </c>
      <c r="F98" s="38" t="s">
        <v>3198</v>
      </c>
      <c r="G98" s="38" t="s">
        <v>3199</v>
      </c>
      <c r="H98" s="38" t="s">
        <v>54</v>
      </c>
      <c r="I98" s="38" t="s">
        <v>55</v>
      </c>
      <c r="J98" s="38" t="s">
        <v>56</v>
      </c>
      <c r="K98" s="37">
        <v>1.4915584E8</v>
      </c>
      <c r="L98" s="38" t="s">
        <v>52</v>
      </c>
      <c r="M98" s="38" t="s">
        <v>174</v>
      </c>
      <c r="N98" s="38" t="s">
        <v>185</v>
      </c>
      <c r="O98" s="38" t="s">
        <v>4107</v>
      </c>
      <c r="P98" s="37">
        <v>3.25</v>
      </c>
      <c r="Q98" s="38" t="s">
        <v>4108</v>
      </c>
      <c r="R98" s="38" t="s">
        <v>174</v>
      </c>
      <c r="S98" s="38" t="s">
        <v>54</v>
      </c>
      <c r="T98" s="38" t="s">
        <v>115</v>
      </c>
      <c r="U98" s="38" t="s">
        <v>53</v>
      </c>
      <c r="V98" s="38" t="s">
        <v>3200</v>
      </c>
      <c r="W98" s="38" t="s">
        <v>54</v>
      </c>
    </row>
    <row r="99">
      <c r="A99" s="38" t="s">
        <v>477</v>
      </c>
      <c r="B99" s="38" t="s">
        <v>480</v>
      </c>
      <c r="C99" s="38" t="s">
        <v>57</v>
      </c>
      <c r="D99" s="38" t="s">
        <v>45</v>
      </c>
      <c r="E99" s="38" t="s">
        <v>1921</v>
      </c>
      <c r="F99" s="38" t="s">
        <v>1922</v>
      </c>
      <c r="G99" s="38" t="s">
        <v>1923</v>
      </c>
      <c r="H99" s="37">
        <v>0.39</v>
      </c>
      <c r="I99" s="38" t="s">
        <v>55</v>
      </c>
      <c r="J99" s="38" t="s">
        <v>56</v>
      </c>
      <c r="K99" s="37">
        <v>5.84405E8</v>
      </c>
      <c r="L99" s="38" t="s">
        <v>483</v>
      </c>
      <c r="M99" s="38" t="s">
        <v>174</v>
      </c>
      <c r="N99" s="38" t="s">
        <v>45</v>
      </c>
      <c r="O99" s="38" t="s">
        <v>4109</v>
      </c>
      <c r="P99" s="37">
        <v>0.375</v>
      </c>
      <c r="Q99" s="38" t="s">
        <v>4110</v>
      </c>
      <c r="R99" s="38" t="s">
        <v>226</v>
      </c>
      <c r="S99" s="38" t="s">
        <v>484</v>
      </c>
      <c r="T99" s="38" t="s">
        <v>49</v>
      </c>
      <c r="U99" s="38" t="s">
        <v>53</v>
      </c>
      <c r="V99" s="38" t="s">
        <v>1924</v>
      </c>
      <c r="W99" s="37">
        <v>0.445</v>
      </c>
    </row>
    <row r="100">
      <c r="A100" s="38" t="s">
        <v>1011</v>
      </c>
      <c r="B100" s="38" t="s">
        <v>1014</v>
      </c>
      <c r="C100" s="38" t="s">
        <v>71</v>
      </c>
      <c r="D100" s="38" t="s">
        <v>185</v>
      </c>
      <c r="E100" s="38" t="s">
        <v>3201</v>
      </c>
      <c r="F100" s="38" t="s">
        <v>3202</v>
      </c>
      <c r="G100" s="38" t="s">
        <v>3203</v>
      </c>
      <c r="H100" s="38" t="s">
        <v>54</v>
      </c>
      <c r="I100" s="38" t="s">
        <v>55</v>
      </c>
      <c r="J100" s="38" t="s">
        <v>56</v>
      </c>
      <c r="K100" s="37">
        <v>2330560.0</v>
      </c>
      <c r="L100" s="38" t="s">
        <v>52</v>
      </c>
      <c r="M100" s="38" t="s">
        <v>174</v>
      </c>
      <c r="N100" s="38" t="s">
        <v>185</v>
      </c>
      <c r="O100" s="38" t="s">
        <v>4107</v>
      </c>
      <c r="P100" s="37">
        <v>3.0</v>
      </c>
      <c r="Q100" s="38" t="s">
        <v>4111</v>
      </c>
      <c r="R100" s="38" t="s">
        <v>174</v>
      </c>
      <c r="S100" s="38" t="s">
        <v>54</v>
      </c>
      <c r="T100" s="38" t="s">
        <v>115</v>
      </c>
      <c r="U100" s="38" t="s">
        <v>53</v>
      </c>
      <c r="V100" s="38" t="s">
        <v>3204</v>
      </c>
      <c r="W100" s="38" t="s">
        <v>54</v>
      </c>
    </row>
    <row r="101">
      <c r="A101" s="38" t="s">
        <v>680</v>
      </c>
      <c r="B101" s="38" t="s">
        <v>683</v>
      </c>
      <c r="C101" s="38" t="s">
        <v>57</v>
      </c>
      <c r="D101" s="38" t="s">
        <v>368</v>
      </c>
      <c r="E101" s="38" t="s">
        <v>3274</v>
      </c>
      <c r="F101" s="38" t="s">
        <v>3275</v>
      </c>
      <c r="G101" s="38" t="s">
        <v>3276</v>
      </c>
      <c r="H101" s="38" t="s">
        <v>54</v>
      </c>
      <c r="I101" s="38" t="s">
        <v>55</v>
      </c>
      <c r="J101" s="38" t="s">
        <v>56</v>
      </c>
      <c r="K101" s="37">
        <v>1.74369E8</v>
      </c>
      <c r="L101" s="38" t="s">
        <v>52</v>
      </c>
      <c r="M101" s="38" t="s">
        <v>1771</v>
      </c>
      <c r="N101" s="38" t="s">
        <v>368</v>
      </c>
      <c r="O101" s="38" t="s">
        <v>4112</v>
      </c>
      <c r="P101" s="37">
        <v>2.875</v>
      </c>
      <c r="Q101" s="38" t="s">
        <v>4113</v>
      </c>
      <c r="R101" s="38" t="s">
        <v>226</v>
      </c>
      <c r="S101" s="38" t="s">
        <v>54</v>
      </c>
      <c r="T101" s="38" t="s">
        <v>49</v>
      </c>
      <c r="U101" s="38" t="s">
        <v>53</v>
      </c>
      <c r="V101" s="38" t="s">
        <v>3277</v>
      </c>
      <c r="W101" s="37">
        <v>2.796</v>
      </c>
    </row>
    <row r="102">
      <c r="A102" s="38" t="s">
        <v>614</v>
      </c>
      <c r="B102" s="38" t="s">
        <v>617</v>
      </c>
      <c r="C102" s="38" t="s">
        <v>71</v>
      </c>
      <c r="D102" s="38" t="s">
        <v>200</v>
      </c>
      <c r="E102" s="38" t="s">
        <v>2450</v>
      </c>
      <c r="F102" s="38" t="s">
        <v>2451</v>
      </c>
      <c r="G102" s="38" t="s">
        <v>2452</v>
      </c>
      <c r="H102" s="37">
        <v>4.12</v>
      </c>
      <c r="I102" s="38" t="s">
        <v>117</v>
      </c>
      <c r="J102" s="38" t="s">
        <v>56</v>
      </c>
      <c r="K102" s="37">
        <v>1.0E9</v>
      </c>
      <c r="L102" s="38" t="s">
        <v>52</v>
      </c>
      <c r="M102" s="38" t="s">
        <v>1776</v>
      </c>
      <c r="N102" s="38" t="s">
        <v>200</v>
      </c>
      <c r="O102" s="38" t="s">
        <v>4114</v>
      </c>
      <c r="P102" s="37">
        <v>4.0</v>
      </c>
      <c r="Q102" s="38" t="s">
        <v>4115</v>
      </c>
      <c r="R102" s="38" t="s">
        <v>2453</v>
      </c>
      <c r="S102" s="38" t="s">
        <v>620</v>
      </c>
      <c r="T102" s="38" t="s">
        <v>49</v>
      </c>
      <c r="U102" s="38" t="s">
        <v>263</v>
      </c>
      <c r="V102" s="38" t="s">
        <v>2454</v>
      </c>
      <c r="W102" s="37">
        <v>4.006</v>
      </c>
    </row>
    <row r="103">
      <c r="A103" s="38" t="s">
        <v>614</v>
      </c>
      <c r="B103" s="38" t="s">
        <v>617</v>
      </c>
      <c r="C103" s="38" t="s">
        <v>71</v>
      </c>
      <c r="D103" s="38" t="s">
        <v>200</v>
      </c>
      <c r="E103" s="38" t="s">
        <v>2455</v>
      </c>
      <c r="F103" s="38" t="s">
        <v>2456</v>
      </c>
      <c r="G103" s="38" t="s">
        <v>2457</v>
      </c>
      <c r="H103" s="37">
        <v>4.12</v>
      </c>
      <c r="I103" s="38" t="s">
        <v>117</v>
      </c>
      <c r="J103" s="38" t="s">
        <v>56</v>
      </c>
      <c r="K103" s="37">
        <v>1.0E9</v>
      </c>
      <c r="L103" s="38" t="s">
        <v>52</v>
      </c>
      <c r="M103" s="38" t="s">
        <v>1776</v>
      </c>
      <c r="N103" s="38" t="s">
        <v>200</v>
      </c>
      <c r="O103" s="38" t="s">
        <v>4114</v>
      </c>
      <c r="P103" s="37">
        <v>4.0</v>
      </c>
      <c r="Q103" s="38" t="s">
        <v>4115</v>
      </c>
      <c r="R103" s="38" t="s">
        <v>271</v>
      </c>
      <c r="S103" s="38" t="s">
        <v>620</v>
      </c>
      <c r="T103" s="38" t="s">
        <v>49</v>
      </c>
      <c r="U103" s="38" t="s">
        <v>263</v>
      </c>
      <c r="V103" s="38" t="s">
        <v>2458</v>
      </c>
      <c r="W103" s="37">
        <v>4.025</v>
      </c>
    </row>
    <row r="104">
      <c r="A104" s="38" t="s">
        <v>614</v>
      </c>
      <c r="B104" s="38" t="s">
        <v>617</v>
      </c>
      <c r="C104" s="38" t="s">
        <v>71</v>
      </c>
      <c r="D104" s="38" t="s">
        <v>200</v>
      </c>
      <c r="E104" s="38" t="s">
        <v>2459</v>
      </c>
      <c r="F104" s="38" t="s">
        <v>2460</v>
      </c>
      <c r="G104" s="38" t="s">
        <v>2461</v>
      </c>
      <c r="H104" s="37">
        <v>4.852</v>
      </c>
      <c r="I104" s="38" t="s">
        <v>117</v>
      </c>
      <c r="J104" s="38" t="s">
        <v>56</v>
      </c>
      <c r="K104" s="37">
        <v>1.0E9</v>
      </c>
      <c r="L104" s="38" t="s">
        <v>52</v>
      </c>
      <c r="M104" s="38" t="s">
        <v>1776</v>
      </c>
      <c r="N104" s="38" t="s">
        <v>200</v>
      </c>
      <c r="O104" s="38" t="s">
        <v>4114</v>
      </c>
      <c r="P104" s="37">
        <v>4.75</v>
      </c>
      <c r="Q104" s="38" t="s">
        <v>4116</v>
      </c>
      <c r="R104" s="38" t="s">
        <v>2453</v>
      </c>
      <c r="S104" s="38" t="s">
        <v>620</v>
      </c>
      <c r="T104" s="38" t="s">
        <v>49</v>
      </c>
      <c r="U104" s="38" t="s">
        <v>263</v>
      </c>
      <c r="V104" s="38" t="s">
        <v>2462</v>
      </c>
      <c r="W104" s="37">
        <v>4.748</v>
      </c>
    </row>
    <row r="105">
      <c r="A105" s="38" t="s">
        <v>614</v>
      </c>
      <c r="B105" s="38" t="s">
        <v>617</v>
      </c>
      <c r="C105" s="38" t="s">
        <v>71</v>
      </c>
      <c r="D105" s="38" t="s">
        <v>200</v>
      </c>
      <c r="E105" s="38" t="s">
        <v>2463</v>
      </c>
      <c r="F105" s="38" t="s">
        <v>2464</v>
      </c>
      <c r="G105" s="38" t="s">
        <v>2465</v>
      </c>
      <c r="H105" s="37">
        <v>4.852</v>
      </c>
      <c r="I105" s="38" t="s">
        <v>117</v>
      </c>
      <c r="J105" s="38" t="s">
        <v>56</v>
      </c>
      <c r="K105" s="37">
        <v>1.0E9</v>
      </c>
      <c r="L105" s="38" t="s">
        <v>52</v>
      </c>
      <c r="M105" s="38" t="s">
        <v>1776</v>
      </c>
      <c r="N105" s="38" t="s">
        <v>200</v>
      </c>
      <c r="O105" s="38" t="s">
        <v>4114</v>
      </c>
      <c r="P105" s="37">
        <v>4.75</v>
      </c>
      <c r="Q105" s="38" t="s">
        <v>4116</v>
      </c>
      <c r="R105" s="38" t="s">
        <v>271</v>
      </c>
      <c r="S105" s="38" t="s">
        <v>620</v>
      </c>
      <c r="T105" s="38" t="s">
        <v>49</v>
      </c>
      <c r="U105" s="38" t="s">
        <v>263</v>
      </c>
      <c r="V105" s="38" t="s">
        <v>2466</v>
      </c>
      <c r="W105" s="38" t="s">
        <v>54</v>
      </c>
    </row>
    <row r="106">
      <c r="A106" s="38" t="s">
        <v>614</v>
      </c>
      <c r="B106" s="38" t="s">
        <v>617</v>
      </c>
      <c r="C106" s="38" t="s">
        <v>71</v>
      </c>
      <c r="D106" s="38" t="s">
        <v>200</v>
      </c>
      <c r="E106" s="38" t="s">
        <v>2467</v>
      </c>
      <c r="F106" s="38" t="s">
        <v>2468</v>
      </c>
      <c r="G106" s="38" t="s">
        <v>2469</v>
      </c>
      <c r="H106" s="37">
        <v>4.852</v>
      </c>
      <c r="I106" s="38" t="s">
        <v>117</v>
      </c>
      <c r="J106" s="38" t="s">
        <v>56</v>
      </c>
      <c r="K106" s="37">
        <v>1.0E9</v>
      </c>
      <c r="L106" s="38" t="s">
        <v>52</v>
      </c>
      <c r="M106" s="38" t="s">
        <v>1776</v>
      </c>
      <c r="N106" s="38" t="s">
        <v>200</v>
      </c>
      <c r="O106" s="38" t="s">
        <v>4114</v>
      </c>
      <c r="P106" s="37">
        <v>4.75</v>
      </c>
      <c r="Q106" s="38" t="s">
        <v>4116</v>
      </c>
      <c r="R106" s="38" t="s">
        <v>2470</v>
      </c>
      <c r="S106" s="38" t="s">
        <v>620</v>
      </c>
      <c r="T106" s="38" t="s">
        <v>49</v>
      </c>
      <c r="U106" s="38" t="s">
        <v>263</v>
      </c>
      <c r="V106" s="38" t="s">
        <v>2471</v>
      </c>
      <c r="W106" s="37">
        <v>4.794</v>
      </c>
    </row>
    <row r="107">
      <c r="A107" s="38" t="s">
        <v>614</v>
      </c>
      <c r="B107" s="38" t="s">
        <v>617</v>
      </c>
      <c r="C107" s="38" t="s">
        <v>71</v>
      </c>
      <c r="D107" s="38" t="s">
        <v>200</v>
      </c>
      <c r="E107" s="38" t="s">
        <v>2472</v>
      </c>
      <c r="F107" s="38" t="s">
        <v>2473</v>
      </c>
      <c r="G107" s="38" t="s">
        <v>2474</v>
      </c>
      <c r="H107" s="37">
        <v>4.852</v>
      </c>
      <c r="I107" s="38" t="s">
        <v>117</v>
      </c>
      <c r="J107" s="38" t="s">
        <v>56</v>
      </c>
      <c r="K107" s="37">
        <v>1.0E9</v>
      </c>
      <c r="L107" s="38" t="s">
        <v>52</v>
      </c>
      <c r="M107" s="38" t="s">
        <v>1776</v>
      </c>
      <c r="N107" s="38" t="s">
        <v>200</v>
      </c>
      <c r="O107" s="38" t="s">
        <v>4114</v>
      </c>
      <c r="P107" s="37">
        <v>4.75</v>
      </c>
      <c r="Q107" s="38" t="s">
        <v>4116</v>
      </c>
      <c r="R107" s="38" t="s">
        <v>2475</v>
      </c>
      <c r="S107" s="38" t="s">
        <v>620</v>
      </c>
      <c r="T107" s="38" t="s">
        <v>49</v>
      </c>
      <c r="U107" s="38" t="s">
        <v>263</v>
      </c>
      <c r="V107" s="38" t="s">
        <v>2476</v>
      </c>
      <c r="W107" s="38" t="s">
        <v>54</v>
      </c>
    </row>
    <row r="108">
      <c r="A108" s="38" t="s">
        <v>614</v>
      </c>
      <c r="B108" s="38" t="s">
        <v>617</v>
      </c>
      <c r="C108" s="38" t="s">
        <v>71</v>
      </c>
      <c r="D108" s="38" t="s">
        <v>200</v>
      </c>
      <c r="E108" s="38" t="s">
        <v>2477</v>
      </c>
      <c r="F108" s="38" t="s">
        <v>2478</v>
      </c>
      <c r="G108" s="38" t="s">
        <v>2479</v>
      </c>
      <c r="H108" s="37">
        <v>4.12</v>
      </c>
      <c r="I108" s="38" t="s">
        <v>117</v>
      </c>
      <c r="J108" s="38" t="s">
        <v>56</v>
      </c>
      <c r="K108" s="37">
        <v>1.0E9</v>
      </c>
      <c r="L108" s="38" t="s">
        <v>52</v>
      </c>
      <c r="M108" s="38" t="s">
        <v>1776</v>
      </c>
      <c r="N108" s="38" t="s">
        <v>200</v>
      </c>
      <c r="O108" s="38" t="s">
        <v>4114</v>
      </c>
      <c r="P108" s="37">
        <v>4.0</v>
      </c>
      <c r="Q108" s="38" t="s">
        <v>4115</v>
      </c>
      <c r="R108" s="38" t="s">
        <v>2470</v>
      </c>
      <c r="S108" s="38" t="s">
        <v>620</v>
      </c>
      <c r="T108" s="38" t="s">
        <v>49</v>
      </c>
      <c r="U108" s="38" t="s">
        <v>263</v>
      </c>
      <c r="V108" s="38" t="s">
        <v>2480</v>
      </c>
      <c r="W108" s="37">
        <v>4.058</v>
      </c>
    </row>
    <row r="109">
      <c r="A109" s="38" t="s">
        <v>614</v>
      </c>
      <c r="B109" s="38" t="s">
        <v>617</v>
      </c>
      <c r="C109" s="38" t="s">
        <v>71</v>
      </c>
      <c r="D109" s="38" t="s">
        <v>200</v>
      </c>
      <c r="E109" s="38" t="s">
        <v>2481</v>
      </c>
      <c r="F109" s="38" t="s">
        <v>2482</v>
      </c>
      <c r="G109" s="38" t="s">
        <v>2483</v>
      </c>
      <c r="H109" s="37">
        <v>4.12</v>
      </c>
      <c r="I109" s="38" t="s">
        <v>117</v>
      </c>
      <c r="J109" s="38" t="s">
        <v>56</v>
      </c>
      <c r="K109" s="37">
        <v>1.0E9</v>
      </c>
      <c r="L109" s="38" t="s">
        <v>52</v>
      </c>
      <c r="M109" s="38" t="s">
        <v>1776</v>
      </c>
      <c r="N109" s="38" t="s">
        <v>200</v>
      </c>
      <c r="O109" s="38" t="s">
        <v>4114</v>
      </c>
      <c r="P109" s="37">
        <v>4.0</v>
      </c>
      <c r="Q109" s="38" t="s">
        <v>4115</v>
      </c>
      <c r="R109" s="38" t="s">
        <v>2475</v>
      </c>
      <c r="S109" s="38" t="s">
        <v>620</v>
      </c>
      <c r="T109" s="38" t="s">
        <v>49</v>
      </c>
      <c r="U109" s="38" t="s">
        <v>263</v>
      </c>
      <c r="V109" s="38" t="s">
        <v>2484</v>
      </c>
      <c r="W109" s="38" t="s">
        <v>54</v>
      </c>
    </row>
    <row r="110">
      <c r="A110" s="38" t="s">
        <v>614</v>
      </c>
      <c r="B110" s="38" t="s">
        <v>617</v>
      </c>
      <c r="C110" s="38" t="s">
        <v>71</v>
      </c>
      <c r="D110" s="38" t="s">
        <v>200</v>
      </c>
      <c r="E110" s="38" t="s">
        <v>2485</v>
      </c>
      <c r="F110" s="38" t="s">
        <v>2486</v>
      </c>
      <c r="G110" s="38" t="s">
        <v>2487</v>
      </c>
      <c r="H110" s="37">
        <v>4.852</v>
      </c>
      <c r="I110" s="38" t="s">
        <v>117</v>
      </c>
      <c r="J110" s="38" t="s">
        <v>56</v>
      </c>
      <c r="K110" s="37">
        <v>1.0E9</v>
      </c>
      <c r="L110" s="38" t="s">
        <v>52</v>
      </c>
      <c r="M110" s="38" t="s">
        <v>1776</v>
      </c>
      <c r="N110" s="38" t="s">
        <v>200</v>
      </c>
      <c r="O110" s="38" t="s">
        <v>4114</v>
      </c>
      <c r="P110" s="37">
        <v>4.75</v>
      </c>
      <c r="Q110" s="38" t="s">
        <v>4116</v>
      </c>
      <c r="R110" s="38" t="s">
        <v>50</v>
      </c>
      <c r="S110" s="38" t="s">
        <v>190</v>
      </c>
      <c r="T110" s="38" t="s">
        <v>49</v>
      </c>
      <c r="U110" s="38" t="s">
        <v>263</v>
      </c>
      <c r="V110" s="38" t="s">
        <v>2488</v>
      </c>
      <c r="W110" s="37">
        <v>4.798</v>
      </c>
    </row>
    <row r="111">
      <c r="A111" s="38" t="s">
        <v>614</v>
      </c>
      <c r="B111" s="38" t="s">
        <v>617</v>
      </c>
      <c r="C111" s="38" t="s">
        <v>71</v>
      </c>
      <c r="D111" s="38" t="s">
        <v>200</v>
      </c>
      <c r="E111" s="38" t="s">
        <v>2489</v>
      </c>
      <c r="F111" s="38" t="s">
        <v>2490</v>
      </c>
      <c r="G111" s="38" t="s">
        <v>2491</v>
      </c>
      <c r="H111" s="37">
        <v>4.12</v>
      </c>
      <c r="I111" s="38" t="s">
        <v>117</v>
      </c>
      <c r="J111" s="38" t="s">
        <v>56</v>
      </c>
      <c r="K111" s="37">
        <v>1.0E9</v>
      </c>
      <c r="L111" s="38" t="s">
        <v>52</v>
      </c>
      <c r="M111" s="38" t="s">
        <v>1776</v>
      </c>
      <c r="N111" s="38" t="s">
        <v>200</v>
      </c>
      <c r="O111" s="38" t="s">
        <v>4114</v>
      </c>
      <c r="P111" s="37">
        <v>4.0</v>
      </c>
      <c r="Q111" s="38" t="s">
        <v>4115</v>
      </c>
      <c r="R111" s="38" t="s">
        <v>50</v>
      </c>
      <c r="S111" s="38" t="s">
        <v>190</v>
      </c>
      <c r="T111" s="38" t="s">
        <v>49</v>
      </c>
      <c r="U111" s="38" t="s">
        <v>263</v>
      </c>
      <c r="V111" s="38" t="s">
        <v>2492</v>
      </c>
      <c r="W111" s="37">
        <v>4.105</v>
      </c>
    </row>
    <row r="112">
      <c r="A112" s="38" t="s">
        <v>1292</v>
      </c>
      <c r="B112" s="38" t="s">
        <v>1295</v>
      </c>
      <c r="C112" s="38" t="s">
        <v>71</v>
      </c>
      <c r="D112" s="38" t="s">
        <v>45</v>
      </c>
      <c r="E112" s="38" t="s">
        <v>1888</v>
      </c>
      <c r="F112" s="38" t="s">
        <v>174</v>
      </c>
      <c r="G112" s="38" t="s">
        <v>1889</v>
      </c>
      <c r="H112" s="38" t="s">
        <v>54</v>
      </c>
      <c r="I112" s="38" t="s">
        <v>55</v>
      </c>
      <c r="J112" s="38" t="s">
        <v>70</v>
      </c>
      <c r="K112" s="37">
        <v>7.96047E7</v>
      </c>
      <c r="L112" s="38" t="s">
        <v>52</v>
      </c>
      <c r="M112" s="38" t="s">
        <v>1840</v>
      </c>
      <c r="N112" s="38" t="s">
        <v>45</v>
      </c>
      <c r="O112" s="38" t="s">
        <v>4117</v>
      </c>
      <c r="P112" s="37">
        <v>0.0</v>
      </c>
      <c r="Q112" s="38" t="s">
        <v>4118</v>
      </c>
      <c r="R112" s="38" t="s">
        <v>76</v>
      </c>
      <c r="S112" s="38" t="s">
        <v>54</v>
      </c>
      <c r="T112" s="38" t="s">
        <v>49</v>
      </c>
      <c r="U112" s="38" t="s">
        <v>53</v>
      </c>
      <c r="V112" s="38" t="s">
        <v>1890</v>
      </c>
      <c r="W112" s="38" t="s">
        <v>54</v>
      </c>
    </row>
    <row r="113">
      <c r="A113" s="38" t="s">
        <v>1292</v>
      </c>
      <c r="B113" s="38" t="s">
        <v>1295</v>
      </c>
      <c r="C113" s="38" t="s">
        <v>71</v>
      </c>
      <c r="D113" s="38" t="s">
        <v>45</v>
      </c>
      <c r="E113" s="38" t="s">
        <v>1891</v>
      </c>
      <c r="F113" s="38" t="s">
        <v>174</v>
      </c>
      <c r="G113" s="38" t="s">
        <v>1892</v>
      </c>
      <c r="H113" s="38" t="s">
        <v>54</v>
      </c>
      <c r="I113" s="38" t="s">
        <v>55</v>
      </c>
      <c r="J113" s="38" t="s">
        <v>70</v>
      </c>
      <c r="K113" s="37">
        <v>7.96047E7</v>
      </c>
      <c r="L113" s="38" t="s">
        <v>52</v>
      </c>
      <c r="M113" s="38" t="s">
        <v>1840</v>
      </c>
      <c r="N113" s="38" t="s">
        <v>45</v>
      </c>
      <c r="O113" s="38" t="s">
        <v>4117</v>
      </c>
      <c r="P113" s="37">
        <v>0.0</v>
      </c>
      <c r="Q113" s="38" t="s">
        <v>4119</v>
      </c>
      <c r="R113" s="38" t="s">
        <v>69</v>
      </c>
      <c r="S113" s="38" t="s">
        <v>54</v>
      </c>
      <c r="T113" s="38" t="s">
        <v>49</v>
      </c>
      <c r="U113" s="38" t="s">
        <v>53</v>
      </c>
      <c r="V113" s="38" t="s">
        <v>1893</v>
      </c>
      <c r="W113" s="38" t="s">
        <v>54</v>
      </c>
    </row>
    <row r="114">
      <c r="A114" s="38" t="s">
        <v>1292</v>
      </c>
      <c r="B114" s="38" t="s">
        <v>1295</v>
      </c>
      <c r="C114" s="38" t="s">
        <v>71</v>
      </c>
      <c r="D114" s="38" t="s">
        <v>45</v>
      </c>
      <c r="E114" s="38" t="s">
        <v>1894</v>
      </c>
      <c r="F114" s="38" t="s">
        <v>174</v>
      </c>
      <c r="G114" s="38" t="s">
        <v>1895</v>
      </c>
      <c r="H114" s="38" t="s">
        <v>54</v>
      </c>
      <c r="I114" s="38" t="s">
        <v>55</v>
      </c>
      <c r="J114" s="38" t="s">
        <v>70</v>
      </c>
      <c r="K114" s="37">
        <v>7.96047E7</v>
      </c>
      <c r="L114" s="38" t="s">
        <v>52</v>
      </c>
      <c r="M114" s="38" t="s">
        <v>1840</v>
      </c>
      <c r="N114" s="38" t="s">
        <v>45</v>
      </c>
      <c r="O114" s="38" t="s">
        <v>4117</v>
      </c>
      <c r="P114" s="37">
        <v>0.0</v>
      </c>
      <c r="Q114" s="38" t="s">
        <v>4120</v>
      </c>
      <c r="R114" s="38" t="s">
        <v>51</v>
      </c>
      <c r="S114" s="38" t="s">
        <v>54</v>
      </c>
      <c r="T114" s="38" t="s">
        <v>49</v>
      </c>
      <c r="U114" s="38" t="s">
        <v>53</v>
      </c>
      <c r="V114" s="38" t="s">
        <v>1896</v>
      </c>
      <c r="W114" s="38" t="s">
        <v>54</v>
      </c>
    </row>
    <row r="115">
      <c r="A115" s="38" t="s">
        <v>1360</v>
      </c>
      <c r="B115" s="38" t="s">
        <v>1363</v>
      </c>
      <c r="C115" s="38" t="s">
        <v>57</v>
      </c>
      <c r="D115" s="38" t="s">
        <v>200</v>
      </c>
      <c r="E115" s="38" t="s">
        <v>3221</v>
      </c>
      <c r="F115" s="38" t="s">
        <v>3222</v>
      </c>
      <c r="G115" s="38" t="s">
        <v>3223</v>
      </c>
      <c r="H115" s="38" t="s">
        <v>54</v>
      </c>
      <c r="I115" s="38" t="s">
        <v>117</v>
      </c>
      <c r="J115" s="38" t="s">
        <v>56</v>
      </c>
      <c r="K115" s="37">
        <v>1.049355E9</v>
      </c>
      <c r="L115" s="38" t="s">
        <v>52</v>
      </c>
      <c r="M115" s="38" t="s">
        <v>1771</v>
      </c>
      <c r="N115" s="38" t="s">
        <v>200</v>
      </c>
      <c r="O115" s="38" t="s">
        <v>4121</v>
      </c>
      <c r="P115" s="37">
        <v>1.0</v>
      </c>
      <c r="Q115" s="38" t="s">
        <v>4122</v>
      </c>
      <c r="R115" s="38" t="s">
        <v>226</v>
      </c>
      <c r="S115" s="38" t="s">
        <v>175</v>
      </c>
      <c r="T115" s="38" t="s">
        <v>115</v>
      </c>
      <c r="U115" s="38" t="s">
        <v>53</v>
      </c>
      <c r="V115" s="38" t="s">
        <v>3224</v>
      </c>
      <c r="W115" s="37">
        <v>1.139</v>
      </c>
    </row>
    <row r="116">
      <c r="A116" s="38" t="s">
        <v>642</v>
      </c>
      <c r="B116" s="38" t="s">
        <v>645</v>
      </c>
      <c r="C116" s="38" t="s">
        <v>71</v>
      </c>
      <c r="D116" s="38" t="s">
        <v>200</v>
      </c>
      <c r="E116" s="38" t="s">
        <v>2426</v>
      </c>
      <c r="F116" s="38" t="s">
        <v>2427</v>
      </c>
      <c r="G116" s="38" t="s">
        <v>2428</v>
      </c>
      <c r="H116" s="37">
        <v>4.974</v>
      </c>
      <c r="I116" s="38" t="s">
        <v>55</v>
      </c>
      <c r="J116" s="38" t="s">
        <v>56</v>
      </c>
      <c r="K116" s="37">
        <v>1.25E9</v>
      </c>
      <c r="L116" s="38" t="s">
        <v>52</v>
      </c>
      <c r="M116" s="38" t="s">
        <v>1776</v>
      </c>
      <c r="N116" s="38" t="s">
        <v>367</v>
      </c>
      <c r="O116" s="38" t="s">
        <v>4123</v>
      </c>
      <c r="P116" s="37">
        <v>4.875</v>
      </c>
      <c r="Q116" s="38" t="s">
        <v>4124</v>
      </c>
      <c r="R116" s="38" t="s">
        <v>262</v>
      </c>
      <c r="S116" s="38" t="s">
        <v>620</v>
      </c>
      <c r="T116" s="38" t="s">
        <v>49</v>
      </c>
      <c r="U116" s="38" t="s">
        <v>263</v>
      </c>
      <c r="V116" s="38" t="s">
        <v>2429</v>
      </c>
      <c r="W116" s="38" t="s">
        <v>54</v>
      </c>
    </row>
    <row r="117">
      <c r="A117" s="38" t="s">
        <v>642</v>
      </c>
      <c r="B117" s="38" t="s">
        <v>645</v>
      </c>
      <c r="C117" s="38" t="s">
        <v>71</v>
      </c>
      <c r="D117" s="38" t="s">
        <v>200</v>
      </c>
      <c r="E117" s="38" t="s">
        <v>2430</v>
      </c>
      <c r="F117" s="38" t="s">
        <v>2431</v>
      </c>
      <c r="G117" s="38" t="s">
        <v>2432</v>
      </c>
      <c r="H117" s="37">
        <v>4.974</v>
      </c>
      <c r="I117" s="38" t="s">
        <v>55</v>
      </c>
      <c r="J117" s="38" t="s">
        <v>56</v>
      </c>
      <c r="K117" s="37">
        <v>1.25E9</v>
      </c>
      <c r="L117" s="38" t="s">
        <v>52</v>
      </c>
      <c r="M117" s="38" t="s">
        <v>1776</v>
      </c>
      <c r="N117" s="38" t="s">
        <v>367</v>
      </c>
      <c r="O117" s="38" t="s">
        <v>4123</v>
      </c>
      <c r="P117" s="37">
        <v>4.875</v>
      </c>
      <c r="Q117" s="38" t="s">
        <v>4124</v>
      </c>
      <c r="R117" s="38" t="s">
        <v>271</v>
      </c>
      <c r="S117" s="38" t="s">
        <v>620</v>
      </c>
      <c r="T117" s="38" t="s">
        <v>49</v>
      </c>
      <c r="U117" s="38" t="s">
        <v>263</v>
      </c>
      <c r="V117" s="38" t="s">
        <v>2433</v>
      </c>
      <c r="W117" s="38" t="s">
        <v>54</v>
      </c>
    </row>
    <row r="118">
      <c r="A118" s="38" t="s">
        <v>894</v>
      </c>
      <c r="B118" s="38" t="s">
        <v>897</v>
      </c>
      <c r="C118" s="38" t="s">
        <v>392</v>
      </c>
      <c r="D118" s="38" t="s">
        <v>368</v>
      </c>
      <c r="E118" s="38" t="s">
        <v>2598</v>
      </c>
      <c r="F118" s="38" t="s">
        <v>2599</v>
      </c>
      <c r="G118" s="38" t="s">
        <v>2600</v>
      </c>
      <c r="H118" s="38" t="s">
        <v>54</v>
      </c>
      <c r="I118" s="38" t="s">
        <v>55</v>
      </c>
      <c r="J118" s="38" t="s">
        <v>70</v>
      </c>
      <c r="K118" s="37">
        <v>3.41481E7</v>
      </c>
      <c r="L118" s="38" t="s">
        <v>52</v>
      </c>
      <c r="M118" s="38" t="s">
        <v>174</v>
      </c>
      <c r="N118" s="38" t="s">
        <v>368</v>
      </c>
      <c r="O118" s="38" t="s">
        <v>4125</v>
      </c>
      <c r="P118" s="37">
        <v>1.661</v>
      </c>
      <c r="Q118" s="38" t="s">
        <v>4126</v>
      </c>
      <c r="R118" s="38" t="s">
        <v>686</v>
      </c>
      <c r="S118" s="38" t="s">
        <v>54</v>
      </c>
      <c r="T118" s="38" t="s">
        <v>49</v>
      </c>
      <c r="U118" s="38" t="s">
        <v>687</v>
      </c>
      <c r="V118" s="38" t="s">
        <v>2601</v>
      </c>
      <c r="W118" s="37">
        <v>1.084</v>
      </c>
    </row>
    <row r="119">
      <c r="A119" s="38" t="s">
        <v>755</v>
      </c>
      <c r="B119" s="38" t="s">
        <v>758</v>
      </c>
      <c r="C119" s="38" t="s">
        <v>71</v>
      </c>
      <c r="D119" s="38" t="s">
        <v>259</v>
      </c>
      <c r="E119" s="38" t="s">
        <v>3303</v>
      </c>
      <c r="F119" s="38" t="s">
        <v>3304</v>
      </c>
      <c r="G119" s="38" t="s">
        <v>3305</v>
      </c>
      <c r="H119" s="37">
        <v>6.125</v>
      </c>
      <c r="I119" s="38" t="s">
        <v>55</v>
      </c>
      <c r="J119" s="38" t="s">
        <v>56</v>
      </c>
      <c r="K119" s="37">
        <v>1.75E9</v>
      </c>
      <c r="L119" s="38" t="s">
        <v>52</v>
      </c>
      <c r="M119" s="38" t="s">
        <v>1776</v>
      </c>
      <c r="N119" s="38" t="s">
        <v>258</v>
      </c>
      <c r="O119" s="38" t="s">
        <v>4125</v>
      </c>
      <c r="P119" s="37">
        <v>6.0</v>
      </c>
      <c r="Q119" s="38" t="s">
        <v>4127</v>
      </c>
      <c r="R119" s="38" t="s">
        <v>262</v>
      </c>
      <c r="S119" s="38" t="s">
        <v>497</v>
      </c>
      <c r="T119" s="38" t="s">
        <v>115</v>
      </c>
      <c r="U119" s="38" t="s">
        <v>263</v>
      </c>
      <c r="V119" s="38" t="s">
        <v>3306</v>
      </c>
      <c r="W119" s="38" t="s">
        <v>54</v>
      </c>
    </row>
    <row r="120">
      <c r="A120" s="38" t="s">
        <v>755</v>
      </c>
      <c r="B120" s="38" t="s">
        <v>758</v>
      </c>
      <c r="C120" s="38" t="s">
        <v>71</v>
      </c>
      <c r="D120" s="38" t="s">
        <v>259</v>
      </c>
      <c r="E120" s="38" t="s">
        <v>3307</v>
      </c>
      <c r="F120" s="38" t="s">
        <v>3308</v>
      </c>
      <c r="G120" s="38" t="s">
        <v>3309</v>
      </c>
      <c r="H120" s="37">
        <v>6.125</v>
      </c>
      <c r="I120" s="38" t="s">
        <v>55</v>
      </c>
      <c r="J120" s="38" t="s">
        <v>56</v>
      </c>
      <c r="K120" s="37">
        <v>1.75E9</v>
      </c>
      <c r="L120" s="38" t="s">
        <v>52</v>
      </c>
      <c r="M120" s="38" t="s">
        <v>1776</v>
      </c>
      <c r="N120" s="38" t="s">
        <v>258</v>
      </c>
      <c r="O120" s="38" t="s">
        <v>4125</v>
      </c>
      <c r="P120" s="37">
        <v>6.0</v>
      </c>
      <c r="Q120" s="38" t="s">
        <v>4127</v>
      </c>
      <c r="R120" s="38" t="s">
        <v>271</v>
      </c>
      <c r="S120" s="38" t="s">
        <v>497</v>
      </c>
      <c r="T120" s="38" t="s">
        <v>115</v>
      </c>
      <c r="U120" s="38" t="s">
        <v>263</v>
      </c>
      <c r="V120" s="38" t="s">
        <v>3310</v>
      </c>
      <c r="W120" s="38" t="s">
        <v>54</v>
      </c>
    </row>
    <row r="121">
      <c r="A121" s="38" t="s">
        <v>947</v>
      </c>
      <c r="B121" s="38" t="s">
        <v>950</v>
      </c>
      <c r="C121" s="38" t="s">
        <v>57</v>
      </c>
      <c r="D121" s="38" t="s">
        <v>367</v>
      </c>
      <c r="E121" s="38" t="s">
        <v>2957</v>
      </c>
      <c r="F121" s="38" t="s">
        <v>2958</v>
      </c>
      <c r="G121" s="38" t="s">
        <v>2959</v>
      </c>
      <c r="H121" s="38" t="s">
        <v>54</v>
      </c>
      <c r="I121" s="38" t="s">
        <v>55</v>
      </c>
      <c r="J121" s="38" t="s">
        <v>56</v>
      </c>
      <c r="K121" s="37">
        <v>3.47565E8</v>
      </c>
      <c r="L121" s="38" t="s">
        <v>52</v>
      </c>
      <c r="M121" s="38" t="s">
        <v>1771</v>
      </c>
      <c r="N121" s="38" t="s">
        <v>367</v>
      </c>
      <c r="O121" s="38" t="s">
        <v>4128</v>
      </c>
      <c r="P121" s="37">
        <v>1.375</v>
      </c>
      <c r="Q121" s="38" t="s">
        <v>4129</v>
      </c>
      <c r="R121" s="38" t="s">
        <v>226</v>
      </c>
      <c r="S121" s="38" t="s">
        <v>1646</v>
      </c>
      <c r="T121" s="38" t="s">
        <v>115</v>
      </c>
      <c r="U121" s="38" t="s">
        <v>53</v>
      </c>
      <c r="V121" s="38" t="s">
        <v>2960</v>
      </c>
      <c r="W121" s="37">
        <v>1.337</v>
      </c>
    </row>
    <row r="122">
      <c r="A122" s="38" t="s">
        <v>1336</v>
      </c>
      <c r="B122" s="38" t="s">
        <v>1339</v>
      </c>
      <c r="C122" s="38" t="s">
        <v>57</v>
      </c>
      <c r="D122" s="38" t="s">
        <v>1340</v>
      </c>
      <c r="E122" s="38" t="s">
        <v>2320</v>
      </c>
      <c r="F122" s="38" t="s">
        <v>2321</v>
      </c>
      <c r="G122" s="38" t="s">
        <v>2322</v>
      </c>
      <c r="H122" s="38" t="s">
        <v>54</v>
      </c>
      <c r="I122" s="38" t="s">
        <v>55</v>
      </c>
      <c r="J122" s="38" t="s">
        <v>56</v>
      </c>
      <c r="K122" s="37">
        <v>1.6498185E8</v>
      </c>
      <c r="L122" s="38" t="s">
        <v>52</v>
      </c>
      <c r="M122" s="38" t="s">
        <v>174</v>
      </c>
      <c r="N122" s="38" t="s">
        <v>170</v>
      </c>
      <c r="O122" s="38" t="s">
        <v>4117</v>
      </c>
      <c r="P122" s="37">
        <v>1.63</v>
      </c>
      <c r="Q122" s="38" t="s">
        <v>4118</v>
      </c>
      <c r="R122" s="38" t="s">
        <v>226</v>
      </c>
      <c r="S122" s="38" t="s">
        <v>175</v>
      </c>
      <c r="T122" s="38" t="s">
        <v>115</v>
      </c>
      <c r="U122" s="38" t="s">
        <v>1807</v>
      </c>
      <c r="V122" s="38" t="s">
        <v>2323</v>
      </c>
      <c r="W122" s="37">
        <v>1.588</v>
      </c>
    </row>
    <row r="123">
      <c r="A123" s="38" t="s">
        <v>529</v>
      </c>
      <c r="B123" s="38" t="s">
        <v>532</v>
      </c>
      <c r="C123" s="38" t="s">
        <v>57</v>
      </c>
      <c r="D123" s="38" t="s">
        <v>258</v>
      </c>
      <c r="E123" s="38" t="s">
        <v>3415</v>
      </c>
      <c r="F123" s="38" t="s">
        <v>3416</v>
      </c>
      <c r="G123" s="38" t="s">
        <v>3417</v>
      </c>
      <c r="H123" s="38" t="s">
        <v>54</v>
      </c>
      <c r="I123" s="38" t="s">
        <v>55</v>
      </c>
      <c r="J123" s="38" t="s">
        <v>56</v>
      </c>
      <c r="K123" s="37">
        <v>1.369476E8</v>
      </c>
      <c r="L123" s="38" t="s">
        <v>52</v>
      </c>
      <c r="M123" s="38" t="s">
        <v>1840</v>
      </c>
      <c r="N123" s="38" t="s">
        <v>258</v>
      </c>
      <c r="O123" s="38" t="s">
        <v>4130</v>
      </c>
      <c r="P123" s="37">
        <v>3.125</v>
      </c>
      <c r="Q123" s="38" t="s">
        <v>4131</v>
      </c>
      <c r="R123" s="38" t="s">
        <v>174</v>
      </c>
      <c r="S123" s="38" t="s">
        <v>54</v>
      </c>
      <c r="T123" s="38" t="s">
        <v>49</v>
      </c>
      <c r="U123" s="38" t="s">
        <v>53</v>
      </c>
      <c r="V123" s="38" t="s">
        <v>3418</v>
      </c>
      <c r="W123" s="38" t="s">
        <v>54</v>
      </c>
    </row>
    <row r="124">
      <c r="A124" s="38" t="s">
        <v>1067</v>
      </c>
      <c r="B124" s="38" t="s">
        <v>1070</v>
      </c>
      <c r="C124" s="38" t="s">
        <v>57</v>
      </c>
      <c r="D124" s="38" t="s">
        <v>185</v>
      </c>
      <c r="E124" s="38" t="s">
        <v>1837</v>
      </c>
      <c r="F124" s="38" t="s">
        <v>1838</v>
      </c>
      <c r="G124" s="38" t="s">
        <v>1839</v>
      </c>
      <c r="H124" s="38" t="s">
        <v>54</v>
      </c>
      <c r="I124" s="38" t="s">
        <v>55</v>
      </c>
      <c r="J124" s="38" t="s">
        <v>56</v>
      </c>
      <c r="K124" s="37">
        <v>8.598E8</v>
      </c>
      <c r="L124" s="38" t="s">
        <v>52</v>
      </c>
      <c r="M124" s="38" t="s">
        <v>1840</v>
      </c>
      <c r="N124" s="38" t="s">
        <v>185</v>
      </c>
      <c r="O124" s="38" t="s">
        <v>4132</v>
      </c>
      <c r="P124" s="37">
        <v>1.75</v>
      </c>
      <c r="Q124" s="38" t="s">
        <v>4133</v>
      </c>
      <c r="R124" s="38" t="s">
        <v>174</v>
      </c>
      <c r="S124" s="38" t="s">
        <v>190</v>
      </c>
      <c r="T124" s="38" t="s">
        <v>115</v>
      </c>
      <c r="U124" s="38" t="s">
        <v>53</v>
      </c>
      <c r="V124" s="38" t="s">
        <v>1841</v>
      </c>
      <c r="W124" s="37">
        <v>1.725</v>
      </c>
    </row>
    <row r="125">
      <c r="A125" s="38" t="s">
        <v>1432</v>
      </c>
      <c r="B125" s="38" t="s">
        <v>1435</v>
      </c>
      <c r="C125" s="38" t="s">
        <v>57</v>
      </c>
      <c r="D125" s="38" t="s">
        <v>368</v>
      </c>
      <c r="E125" s="38" t="s">
        <v>1862</v>
      </c>
      <c r="F125" s="38" t="s">
        <v>1863</v>
      </c>
      <c r="G125" s="38" t="s">
        <v>1864</v>
      </c>
      <c r="H125" s="38" t="s">
        <v>54</v>
      </c>
      <c r="I125" s="38" t="s">
        <v>55</v>
      </c>
      <c r="J125" s="38" t="s">
        <v>56</v>
      </c>
      <c r="K125" s="37">
        <v>5.97265E7</v>
      </c>
      <c r="L125" s="38" t="s">
        <v>52</v>
      </c>
      <c r="M125" s="38" t="s">
        <v>174</v>
      </c>
      <c r="N125" s="38" t="s">
        <v>368</v>
      </c>
      <c r="O125" s="38" t="s">
        <v>4134</v>
      </c>
      <c r="P125" s="37">
        <v>3.845</v>
      </c>
      <c r="Q125" s="38" t="s">
        <v>4135</v>
      </c>
      <c r="R125" s="38" t="s">
        <v>174</v>
      </c>
      <c r="S125" s="38" t="s">
        <v>54</v>
      </c>
      <c r="T125" s="38" t="s">
        <v>49</v>
      </c>
      <c r="U125" s="38" t="s">
        <v>610</v>
      </c>
      <c r="V125" s="38" t="s">
        <v>1865</v>
      </c>
      <c r="W125" s="37">
        <v>3.841</v>
      </c>
    </row>
    <row r="126">
      <c r="A126" s="38" t="s">
        <v>1067</v>
      </c>
      <c r="B126" s="38" t="s">
        <v>1070</v>
      </c>
      <c r="C126" s="38" t="s">
        <v>57</v>
      </c>
      <c r="D126" s="38" t="s">
        <v>185</v>
      </c>
      <c r="E126" s="38" t="s">
        <v>1842</v>
      </c>
      <c r="F126" s="38" t="s">
        <v>1843</v>
      </c>
      <c r="G126" s="38" t="s">
        <v>1844</v>
      </c>
      <c r="H126" s="38" t="s">
        <v>54</v>
      </c>
      <c r="I126" s="38" t="s">
        <v>55</v>
      </c>
      <c r="J126" s="38" t="s">
        <v>56</v>
      </c>
      <c r="K126" s="37">
        <v>8.0248E8</v>
      </c>
      <c r="L126" s="38" t="s">
        <v>52</v>
      </c>
      <c r="M126" s="38" t="s">
        <v>1840</v>
      </c>
      <c r="N126" s="38" t="s">
        <v>185</v>
      </c>
      <c r="O126" s="38" t="s">
        <v>4132</v>
      </c>
      <c r="P126" s="37">
        <v>0.75</v>
      </c>
      <c r="Q126" s="38" t="s">
        <v>4136</v>
      </c>
      <c r="R126" s="38" t="s">
        <v>174</v>
      </c>
      <c r="S126" s="38" t="s">
        <v>190</v>
      </c>
      <c r="T126" s="38" t="s">
        <v>115</v>
      </c>
      <c r="U126" s="38" t="s">
        <v>53</v>
      </c>
      <c r="V126" s="38" t="s">
        <v>1845</v>
      </c>
      <c r="W126" s="37">
        <v>0.666</v>
      </c>
    </row>
    <row r="127">
      <c r="A127" s="38" t="s">
        <v>1067</v>
      </c>
      <c r="B127" s="38" t="s">
        <v>1070</v>
      </c>
      <c r="C127" s="38" t="s">
        <v>57</v>
      </c>
      <c r="D127" s="38" t="s">
        <v>185</v>
      </c>
      <c r="E127" s="38" t="s">
        <v>1846</v>
      </c>
      <c r="F127" s="38" t="s">
        <v>1847</v>
      </c>
      <c r="G127" s="38" t="s">
        <v>1848</v>
      </c>
      <c r="H127" s="38" t="s">
        <v>54</v>
      </c>
      <c r="I127" s="38" t="s">
        <v>55</v>
      </c>
      <c r="J127" s="38" t="s">
        <v>56</v>
      </c>
      <c r="K127" s="37">
        <v>4.0124E8</v>
      </c>
      <c r="L127" s="38" t="s">
        <v>52</v>
      </c>
      <c r="M127" s="38" t="s">
        <v>1776</v>
      </c>
      <c r="N127" s="38" t="s">
        <v>185</v>
      </c>
      <c r="O127" s="38" t="s">
        <v>4132</v>
      </c>
      <c r="P127" s="37">
        <v>2.5</v>
      </c>
      <c r="Q127" s="38" t="s">
        <v>4137</v>
      </c>
      <c r="R127" s="38" t="s">
        <v>174</v>
      </c>
      <c r="S127" s="38" t="s">
        <v>190</v>
      </c>
      <c r="T127" s="38" t="s">
        <v>115</v>
      </c>
      <c r="U127" s="38" t="s">
        <v>53</v>
      </c>
      <c r="V127" s="38" t="s">
        <v>1849</v>
      </c>
      <c r="W127" s="37">
        <v>2.456</v>
      </c>
    </row>
    <row r="128">
      <c r="A128" s="38" t="s">
        <v>1199</v>
      </c>
      <c r="B128" s="38" t="s">
        <v>1202</v>
      </c>
      <c r="C128" s="38" t="s">
        <v>71</v>
      </c>
      <c r="D128" s="38" t="s">
        <v>1203</v>
      </c>
      <c r="E128" s="38" t="s">
        <v>2943</v>
      </c>
      <c r="F128" s="38" t="s">
        <v>2944</v>
      </c>
      <c r="G128" s="38" t="s">
        <v>2945</v>
      </c>
      <c r="H128" s="38" t="s">
        <v>54</v>
      </c>
      <c r="I128" s="38" t="s">
        <v>55</v>
      </c>
      <c r="J128" s="38" t="s">
        <v>56</v>
      </c>
      <c r="K128" s="37">
        <v>1.247873E8</v>
      </c>
      <c r="L128" s="38" t="s">
        <v>52</v>
      </c>
      <c r="M128" s="38" t="s">
        <v>174</v>
      </c>
      <c r="N128" s="38" t="s">
        <v>1203</v>
      </c>
      <c r="O128" s="38" t="s">
        <v>4138</v>
      </c>
      <c r="P128" s="37">
        <v>4.5</v>
      </c>
      <c r="Q128" s="38" t="s">
        <v>4139</v>
      </c>
      <c r="R128" s="38" t="s">
        <v>174</v>
      </c>
      <c r="S128" s="38" t="s">
        <v>54</v>
      </c>
      <c r="T128" s="38" t="s">
        <v>49</v>
      </c>
      <c r="U128" s="38" t="s">
        <v>53</v>
      </c>
      <c r="V128" s="38" t="s">
        <v>2946</v>
      </c>
      <c r="W128" s="38" t="s">
        <v>54</v>
      </c>
    </row>
    <row r="129">
      <c r="A129" s="38" t="s">
        <v>1076</v>
      </c>
      <c r="B129" s="38" t="s">
        <v>1079</v>
      </c>
      <c r="C129" s="38" t="s">
        <v>71</v>
      </c>
      <c r="D129" s="38" t="s">
        <v>185</v>
      </c>
      <c r="E129" s="38" t="s">
        <v>2561</v>
      </c>
      <c r="F129" s="38" t="s">
        <v>174</v>
      </c>
      <c r="G129" s="38" t="s">
        <v>2562</v>
      </c>
      <c r="H129" s="38" t="s">
        <v>54</v>
      </c>
      <c r="I129" s="38" t="s">
        <v>885</v>
      </c>
      <c r="J129" s="38" t="s">
        <v>70</v>
      </c>
      <c r="K129" s="37">
        <v>5.7006535E8</v>
      </c>
      <c r="L129" s="38" t="s">
        <v>52</v>
      </c>
      <c r="M129" s="38" t="s">
        <v>2563</v>
      </c>
      <c r="N129" s="38" t="s">
        <v>185</v>
      </c>
      <c r="O129" s="38" t="s">
        <v>4140</v>
      </c>
      <c r="P129" s="37">
        <v>0.0</v>
      </c>
      <c r="Q129" s="38" t="s">
        <v>4141</v>
      </c>
      <c r="R129" s="38" t="s">
        <v>162</v>
      </c>
      <c r="S129" s="38" t="s">
        <v>54</v>
      </c>
      <c r="T129" s="38" t="s">
        <v>49</v>
      </c>
      <c r="U129" s="38" t="s">
        <v>53</v>
      </c>
      <c r="V129" s="38" t="s">
        <v>2564</v>
      </c>
      <c r="W129" s="38" t="s">
        <v>54</v>
      </c>
    </row>
    <row r="130">
      <c r="A130" s="38" t="s">
        <v>1076</v>
      </c>
      <c r="B130" s="38" t="s">
        <v>1079</v>
      </c>
      <c r="C130" s="38" t="s">
        <v>71</v>
      </c>
      <c r="D130" s="38" t="s">
        <v>185</v>
      </c>
      <c r="E130" s="38" t="s">
        <v>2565</v>
      </c>
      <c r="F130" s="38" t="s">
        <v>174</v>
      </c>
      <c r="G130" s="38" t="s">
        <v>2566</v>
      </c>
      <c r="H130" s="38" t="s">
        <v>54</v>
      </c>
      <c r="I130" s="38" t="s">
        <v>885</v>
      </c>
      <c r="J130" s="38" t="s">
        <v>70</v>
      </c>
      <c r="K130" s="37">
        <v>8.0382079E8</v>
      </c>
      <c r="L130" s="38" t="s">
        <v>52</v>
      </c>
      <c r="M130" s="38" t="s">
        <v>2563</v>
      </c>
      <c r="N130" s="38" t="s">
        <v>185</v>
      </c>
      <c r="O130" s="38" t="s">
        <v>4140</v>
      </c>
      <c r="P130" s="37">
        <v>0.0</v>
      </c>
      <c r="Q130" s="38" t="s">
        <v>4142</v>
      </c>
      <c r="R130" s="38" t="s">
        <v>158</v>
      </c>
      <c r="S130" s="38" t="s">
        <v>54</v>
      </c>
      <c r="T130" s="38" t="s">
        <v>49</v>
      </c>
      <c r="U130" s="38" t="s">
        <v>53</v>
      </c>
      <c r="V130" s="38" t="s">
        <v>2567</v>
      </c>
      <c r="W130" s="38" t="s">
        <v>54</v>
      </c>
    </row>
    <row r="131">
      <c r="A131" s="38" t="s">
        <v>1076</v>
      </c>
      <c r="B131" s="38" t="s">
        <v>1079</v>
      </c>
      <c r="C131" s="38" t="s">
        <v>392</v>
      </c>
      <c r="D131" s="38" t="s">
        <v>185</v>
      </c>
      <c r="E131" s="38" t="s">
        <v>2568</v>
      </c>
      <c r="F131" s="38" t="s">
        <v>174</v>
      </c>
      <c r="G131" s="38" t="s">
        <v>2569</v>
      </c>
      <c r="H131" s="38" t="s">
        <v>54</v>
      </c>
      <c r="I131" s="38" t="s">
        <v>885</v>
      </c>
      <c r="J131" s="38" t="s">
        <v>70</v>
      </c>
      <c r="K131" s="37">
        <v>2.305E8</v>
      </c>
      <c r="L131" s="38" t="s">
        <v>52</v>
      </c>
      <c r="M131" s="38" t="s">
        <v>2563</v>
      </c>
      <c r="N131" s="38" t="s">
        <v>185</v>
      </c>
      <c r="O131" s="38" t="s">
        <v>4140</v>
      </c>
      <c r="P131" s="37">
        <v>0.0</v>
      </c>
      <c r="Q131" s="38" t="s">
        <v>4143</v>
      </c>
      <c r="R131" s="38" t="s">
        <v>76</v>
      </c>
      <c r="S131" s="38" t="s">
        <v>54</v>
      </c>
      <c r="T131" s="38" t="s">
        <v>49</v>
      </c>
      <c r="U131" s="38" t="s">
        <v>263</v>
      </c>
      <c r="V131" s="38" t="s">
        <v>2570</v>
      </c>
      <c r="W131" s="38" t="s">
        <v>54</v>
      </c>
    </row>
    <row r="132">
      <c r="A132" s="38" t="s">
        <v>1487</v>
      </c>
      <c r="B132" s="38" t="s">
        <v>1490</v>
      </c>
      <c r="C132" s="38" t="s">
        <v>57</v>
      </c>
      <c r="D132" s="38" t="s">
        <v>185</v>
      </c>
      <c r="E132" s="38" t="s">
        <v>2264</v>
      </c>
      <c r="F132" s="38" t="s">
        <v>2265</v>
      </c>
      <c r="G132" s="38" t="s">
        <v>2266</v>
      </c>
      <c r="H132" s="38" t="s">
        <v>54</v>
      </c>
      <c r="I132" s="38" t="s">
        <v>117</v>
      </c>
      <c r="J132" s="38" t="s">
        <v>56</v>
      </c>
      <c r="K132" s="37">
        <v>5.6714E8</v>
      </c>
      <c r="L132" s="38" t="s">
        <v>52</v>
      </c>
      <c r="M132" s="38" t="s">
        <v>1771</v>
      </c>
      <c r="N132" s="38" t="s">
        <v>185</v>
      </c>
      <c r="O132" s="38" t="s">
        <v>4144</v>
      </c>
      <c r="P132" s="37">
        <v>1.75</v>
      </c>
      <c r="Q132" s="38" t="s">
        <v>4145</v>
      </c>
      <c r="R132" s="38" t="s">
        <v>226</v>
      </c>
      <c r="S132" s="38" t="s">
        <v>190</v>
      </c>
      <c r="T132" s="38" t="s">
        <v>115</v>
      </c>
      <c r="U132" s="38" t="s">
        <v>53</v>
      </c>
      <c r="V132" s="38" t="s">
        <v>2267</v>
      </c>
      <c r="W132" s="37">
        <v>1.74</v>
      </c>
    </row>
    <row r="133">
      <c r="A133" s="38" t="s">
        <v>671</v>
      </c>
      <c r="B133" s="38" t="s">
        <v>674</v>
      </c>
      <c r="C133" s="38" t="s">
        <v>57</v>
      </c>
      <c r="D133" s="38" t="s">
        <v>185</v>
      </c>
      <c r="E133" s="38" t="s">
        <v>2371</v>
      </c>
      <c r="F133" s="38" t="s">
        <v>2372</v>
      </c>
      <c r="G133" s="38" t="s">
        <v>2373</v>
      </c>
      <c r="H133" s="38" t="s">
        <v>54</v>
      </c>
      <c r="I133" s="38" t="s">
        <v>421</v>
      </c>
      <c r="J133" s="38" t="s">
        <v>56</v>
      </c>
      <c r="K133" s="37">
        <v>5.69325E8</v>
      </c>
      <c r="L133" s="38" t="s">
        <v>52</v>
      </c>
      <c r="M133" s="38" t="s">
        <v>1771</v>
      </c>
      <c r="N133" s="38" t="s">
        <v>185</v>
      </c>
      <c r="O133" s="38" t="s">
        <v>4146</v>
      </c>
      <c r="P133" s="37">
        <v>1.875</v>
      </c>
      <c r="Q133" s="38" t="s">
        <v>4050</v>
      </c>
      <c r="R133" s="38" t="s">
        <v>174</v>
      </c>
      <c r="S133" s="38" t="s">
        <v>190</v>
      </c>
      <c r="T133" s="38" t="s">
        <v>115</v>
      </c>
      <c r="U133" s="38" t="s">
        <v>53</v>
      </c>
      <c r="V133" s="38" t="s">
        <v>2374</v>
      </c>
      <c r="W133" s="37">
        <v>2.012</v>
      </c>
    </row>
    <row r="134">
      <c r="A134" s="38" t="s">
        <v>1336</v>
      </c>
      <c r="B134" s="38" t="s">
        <v>1339</v>
      </c>
      <c r="C134" s="38" t="s">
        <v>71</v>
      </c>
      <c r="D134" s="38" t="s">
        <v>1340</v>
      </c>
      <c r="E134" s="38" t="s">
        <v>2324</v>
      </c>
      <c r="F134" s="38" t="s">
        <v>2325</v>
      </c>
      <c r="G134" s="38" t="s">
        <v>2326</v>
      </c>
      <c r="H134" s="37">
        <v>1.995</v>
      </c>
      <c r="I134" s="38" t="s">
        <v>55</v>
      </c>
      <c r="J134" s="38" t="s">
        <v>56</v>
      </c>
      <c r="K134" s="37">
        <v>2.651991E7</v>
      </c>
      <c r="L134" s="38" t="s">
        <v>52</v>
      </c>
      <c r="M134" s="38" t="s">
        <v>1776</v>
      </c>
      <c r="N134" s="38" t="s">
        <v>170</v>
      </c>
      <c r="O134" s="38" t="s">
        <v>4147</v>
      </c>
      <c r="P134" s="37">
        <v>1.995</v>
      </c>
      <c r="Q134" s="38" t="s">
        <v>4148</v>
      </c>
      <c r="R134" s="38" t="s">
        <v>226</v>
      </c>
      <c r="S134" s="38" t="s">
        <v>175</v>
      </c>
      <c r="T134" s="38" t="s">
        <v>49</v>
      </c>
      <c r="U134" s="38" t="s">
        <v>976</v>
      </c>
      <c r="V134" s="38" t="s">
        <v>2327</v>
      </c>
      <c r="W134" s="37">
        <v>1.959</v>
      </c>
    </row>
    <row r="135">
      <c r="A135" s="38" t="s">
        <v>477</v>
      </c>
      <c r="B135" s="38" t="s">
        <v>480</v>
      </c>
      <c r="C135" s="38" t="s">
        <v>57</v>
      </c>
      <c r="D135" s="38" t="s">
        <v>45</v>
      </c>
      <c r="E135" s="38" t="s">
        <v>1925</v>
      </c>
      <c r="F135" s="38" t="s">
        <v>1926</v>
      </c>
      <c r="G135" s="38" t="s">
        <v>1927</v>
      </c>
      <c r="H135" s="38" t="s">
        <v>54</v>
      </c>
      <c r="I135" s="38" t="s">
        <v>55</v>
      </c>
      <c r="J135" s="38" t="s">
        <v>56</v>
      </c>
      <c r="K135" s="37">
        <v>1.13767E7</v>
      </c>
      <c r="L135" s="38" t="s">
        <v>459</v>
      </c>
      <c r="M135" s="38" t="s">
        <v>174</v>
      </c>
      <c r="N135" s="38" t="s">
        <v>45</v>
      </c>
      <c r="O135" s="38" t="s">
        <v>4149</v>
      </c>
      <c r="P135" s="37">
        <v>0.8</v>
      </c>
      <c r="Q135" s="38" t="s">
        <v>4150</v>
      </c>
      <c r="R135" s="38" t="s">
        <v>4151</v>
      </c>
      <c r="S135" s="38" t="s">
        <v>190</v>
      </c>
      <c r="T135" s="38" t="s">
        <v>49</v>
      </c>
      <c r="U135" s="38" t="s">
        <v>53</v>
      </c>
      <c r="V135" s="38" t="s">
        <v>1928</v>
      </c>
      <c r="W135" s="37">
        <v>0.749</v>
      </c>
    </row>
    <row r="136">
      <c r="A136" s="38" t="s">
        <v>181</v>
      </c>
      <c r="B136" s="38" t="s">
        <v>184</v>
      </c>
      <c r="C136" s="38" t="s">
        <v>57</v>
      </c>
      <c r="D136" s="38" t="s">
        <v>186</v>
      </c>
      <c r="E136" s="38" t="s">
        <v>3169</v>
      </c>
      <c r="F136" s="38" t="s">
        <v>3170</v>
      </c>
      <c r="G136" s="38" t="s">
        <v>3171</v>
      </c>
      <c r="H136" s="38" t="s">
        <v>54</v>
      </c>
      <c r="I136" s="38" t="s">
        <v>133</v>
      </c>
      <c r="J136" s="38" t="s">
        <v>56</v>
      </c>
      <c r="K136" s="37">
        <v>8.54235E8</v>
      </c>
      <c r="L136" s="38" t="s">
        <v>52</v>
      </c>
      <c r="M136" s="38" t="s">
        <v>1771</v>
      </c>
      <c r="N136" s="38" t="s">
        <v>185</v>
      </c>
      <c r="O136" s="38" t="s">
        <v>4152</v>
      </c>
      <c r="P136" s="37">
        <v>1.5</v>
      </c>
      <c r="Q136" s="38" t="s">
        <v>4153</v>
      </c>
      <c r="R136" s="38" t="s">
        <v>226</v>
      </c>
      <c r="S136" s="38" t="s">
        <v>190</v>
      </c>
      <c r="T136" s="38" t="s">
        <v>115</v>
      </c>
      <c r="U136" s="38" t="s">
        <v>53</v>
      </c>
      <c r="V136" s="38" t="s">
        <v>3172</v>
      </c>
      <c r="W136" s="37">
        <v>1.401</v>
      </c>
    </row>
    <row r="137">
      <c r="A137" s="38" t="s">
        <v>1158</v>
      </c>
      <c r="B137" s="38" t="s">
        <v>1161</v>
      </c>
      <c r="C137" s="38" t="s">
        <v>57</v>
      </c>
      <c r="D137" s="38" t="s">
        <v>185</v>
      </c>
      <c r="E137" s="38" t="s">
        <v>1795</v>
      </c>
      <c r="F137" s="38" t="s">
        <v>1796</v>
      </c>
      <c r="G137" s="38" t="s">
        <v>1797</v>
      </c>
      <c r="H137" s="38" t="s">
        <v>54</v>
      </c>
      <c r="I137" s="38" t="s">
        <v>117</v>
      </c>
      <c r="J137" s="38" t="s">
        <v>56</v>
      </c>
      <c r="K137" s="37">
        <v>6.85872E8</v>
      </c>
      <c r="L137" s="38" t="s">
        <v>52</v>
      </c>
      <c r="M137" s="38" t="s">
        <v>1776</v>
      </c>
      <c r="N137" s="38" t="s">
        <v>185</v>
      </c>
      <c r="O137" s="38" t="s">
        <v>4154</v>
      </c>
      <c r="P137" s="37">
        <v>3.0</v>
      </c>
      <c r="Q137" s="38" t="s">
        <v>4155</v>
      </c>
      <c r="R137" s="38" t="s">
        <v>174</v>
      </c>
      <c r="S137" s="38" t="s">
        <v>264</v>
      </c>
      <c r="T137" s="38" t="s">
        <v>115</v>
      </c>
      <c r="U137" s="38" t="s">
        <v>53</v>
      </c>
      <c r="V137" s="38" t="s">
        <v>1798</v>
      </c>
      <c r="W137" s="37">
        <v>2.36</v>
      </c>
    </row>
    <row r="138">
      <c r="A138" s="38" t="s">
        <v>477</v>
      </c>
      <c r="B138" s="38" t="s">
        <v>480</v>
      </c>
      <c r="C138" s="38" t="s">
        <v>57</v>
      </c>
      <c r="D138" s="38" t="s">
        <v>45</v>
      </c>
      <c r="E138" s="38" t="s">
        <v>1929</v>
      </c>
      <c r="F138" s="38" t="s">
        <v>1930</v>
      </c>
      <c r="G138" s="38" t="s">
        <v>1931</v>
      </c>
      <c r="H138" s="38" t="s">
        <v>54</v>
      </c>
      <c r="I138" s="38" t="s">
        <v>55</v>
      </c>
      <c r="J138" s="38" t="s">
        <v>56</v>
      </c>
      <c r="K138" s="37">
        <v>5.70465E8</v>
      </c>
      <c r="L138" s="38" t="s">
        <v>483</v>
      </c>
      <c r="M138" s="38" t="s">
        <v>174</v>
      </c>
      <c r="N138" s="38" t="s">
        <v>45</v>
      </c>
      <c r="O138" s="38" t="s">
        <v>4156</v>
      </c>
      <c r="P138" s="37">
        <v>1.0</v>
      </c>
      <c r="Q138" s="38" t="s">
        <v>4157</v>
      </c>
      <c r="R138" s="38" t="s">
        <v>226</v>
      </c>
      <c r="S138" s="38" t="s">
        <v>484</v>
      </c>
      <c r="T138" s="38" t="s">
        <v>49</v>
      </c>
      <c r="U138" s="38" t="s">
        <v>53</v>
      </c>
      <c r="V138" s="38" t="s">
        <v>1932</v>
      </c>
      <c r="W138" s="37">
        <v>0.838</v>
      </c>
    </row>
    <row r="139">
      <c r="A139" s="38" t="s">
        <v>1360</v>
      </c>
      <c r="B139" s="38" t="s">
        <v>1363</v>
      </c>
      <c r="C139" s="38" t="s">
        <v>57</v>
      </c>
      <c r="D139" s="38" t="s">
        <v>200</v>
      </c>
      <c r="E139" s="38" t="s">
        <v>3225</v>
      </c>
      <c r="F139" s="38" t="s">
        <v>3226</v>
      </c>
      <c r="G139" s="38" t="s">
        <v>3227</v>
      </c>
      <c r="H139" s="38" t="s">
        <v>54</v>
      </c>
      <c r="I139" s="38" t="s">
        <v>117</v>
      </c>
      <c r="J139" s="38" t="s">
        <v>56</v>
      </c>
      <c r="K139" s="37">
        <v>5.691E8</v>
      </c>
      <c r="L139" s="38" t="s">
        <v>52</v>
      </c>
      <c r="M139" s="38" t="s">
        <v>174</v>
      </c>
      <c r="N139" s="38" t="s">
        <v>200</v>
      </c>
      <c r="O139" s="38" t="s">
        <v>4158</v>
      </c>
      <c r="P139" s="37">
        <v>1.25</v>
      </c>
      <c r="Q139" s="38" t="s">
        <v>4159</v>
      </c>
      <c r="R139" s="38" t="s">
        <v>226</v>
      </c>
      <c r="S139" s="38" t="s">
        <v>175</v>
      </c>
      <c r="T139" s="38" t="s">
        <v>115</v>
      </c>
      <c r="U139" s="38" t="s">
        <v>53</v>
      </c>
      <c r="V139" s="38" t="s">
        <v>3228</v>
      </c>
      <c r="W139" s="37">
        <v>1.3</v>
      </c>
    </row>
    <row r="140">
      <c r="A140" s="38" t="s">
        <v>1336</v>
      </c>
      <c r="B140" s="38" t="s">
        <v>1339</v>
      </c>
      <c r="C140" s="38" t="s">
        <v>57</v>
      </c>
      <c r="D140" s="38" t="s">
        <v>1340</v>
      </c>
      <c r="E140" s="38" t="s">
        <v>2328</v>
      </c>
      <c r="F140" s="38" t="s">
        <v>2329</v>
      </c>
      <c r="G140" s="38" t="s">
        <v>2330</v>
      </c>
      <c r="H140" s="37">
        <v>4.51</v>
      </c>
      <c r="I140" s="38" t="s">
        <v>55</v>
      </c>
      <c r="J140" s="38" t="s">
        <v>56</v>
      </c>
      <c r="K140" s="37">
        <v>5.73354E7</v>
      </c>
      <c r="L140" s="38" t="s">
        <v>52</v>
      </c>
      <c r="M140" s="38" t="s">
        <v>174</v>
      </c>
      <c r="N140" s="38" t="s">
        <v>170</v>
      </c>
      <c r="O140" s="38" t="s">
        <v>4160</v>
      </c>
      <c r="P140" s="37">
        <v>4.51</v>
      </c>
      <c r="Q140" s="38" t="s">
        <v>4161</v>
      </c>
      <c r="R140" s="38" t="s">
        <v>226</v>
      </c>
      <c r="S140" s="38" t="s">
        <v>175</v>
      </c>
      <c r="T140" s="38" t="s">
        <v>49</v>
      </c>
      <c r="U140" s="38" t="s">
        <v>2331</v>
      </c>
      <c r="V140" s="38" t="s">
        <v>2332</v>
      </c>
      <c r="W140" s="38" t="s">
        <v>54</v>
      </c>
    </row>
    <row r="141">
      <c r="A141" s="38" t="s">
        <v>1336</v>
      </c>
      <c r="B141" s="38" t="s">
        <v>1339</v>
      </c>
      <c r="C141" s="38" t="s">
        <v>57</v>
      </c>
      <c r="D141" s="38" t="s">
        <v>1340</v>
      </c>
      <c r="E141" s="38" t="s">
        <v>2333</v>
      </c>
      <c r="F141" s="38" t="s">
        <v>174</v>
      </c>
      <c r="G141" s="38" t="s">
        <v>2334</v>
      </c>
      <c r="H141" s="38" t="s">
        <v>54</v>
      </c>
      <c r="I141" s="38" t="s">
        <v>55</v>
      </c>
      <c r="J141" s="38" t="s">
        <v>56</v>
      </c>
      <c r="K141" s="37">
        <v>1.929993E8</v>
      </c>
      <c r="L141" s="38" t="s">
        <v>52</v>
      </c>
      <c r="M141" s="38" t="s">
        <v>1776</v>
      </c>
      <c r="N141" s="38" t="s">
        <v>170</v>
      </c>
      <c r="O141" s="38" t="s">
        <v>4162</v>
      </c>
      <c r="P141" s="37">
        <v>2.696</v>
      </c>
      <c r="Q141" s="38" t="s">
        <v>4163</v>
      </c>
      <c r="R141" s="38" t="s">
        <v>1036</v>
      </c>
      <c r="S141" s="38" t="s">
        <v>54</v>
      </c>
      <c r="T141" s="38" t="s">
        <v>49</v>
      </c>
      <c r="U141" s="38" t="s">
        <v>53</v>
      </c>
      <c r="V141" s="38" t="s">
        <v>2335</v>
      </c>
      <c r="W141" s="38" t="s">
        <v>54</v>
      </c>
    </row>
    <row r="142">
      <c r="A142" s="38" t="s">
        <v>1432</v>
      </c>
      <c r="B142" s="38" t="s">
        <v>1435</v>
      </c>
      <c r="C142" s="38" t="s">
        <v>57</v>
      </c>
      <c r="D142" s="38" t="s">
        <v>368</v>
      </c>
      <c r="E142" s="38" t="s">
        <v>1866</v>
      </c>
      <c r="F142" s="38" t="s">
        <v>1867</v>
      </c>
      <c r="G142" s="38" t="s">
        <v>1868</v>
      </c>
      <c r="H142" s="38" t="s">
        <v>54</v>
      </c>
      <c r="I142" s="38" t="s">
        <v>55</v>
      </c>
      <c r="J142" s="38" t="s">
        <v>56</v>
      </c>
      <c r="K142" s="37">
        <v>5.82935E7</v>
      </c>
      <c r="L142" s="38" t="s">
        <v>52</v>
      </c>
      <c r="M142" s="38" t="s">
        <v>1771</v>
      </c>
      <c r="N142" s="38" t="s">
        <v>368</v>
      </c>
      <c r="O142" s="38" t="s">
        <v>4164</v>
      </c>
      <c r="P142" s="37">
        <v>3.225</v>
      </c>
      <c r="Q142" s="38" t="s">
        <v>4165</v>
      </c>
      <c r="R142" s="38" t="s">
        <v>686</v>
      </c>
      <c r="S142" s="38" t="s">
        <v>54</v>
      </c>
      <c r="T142" s="38" t="s">
        <v>49</v>
      </c>
      <c r="U142" s="38" t="s">
        <v>610</v>
      </c>
      <c r="V142" s="38" t="s">
        <v>1869</v>
      </c>
      <c r="W142" s="37">
        <v>2.269</v>
      </c>
    </row>
    <row r="143">
      <c r="A143" s="38" t="s">
        <v>814</v>
      </c>
      <c r="B143" s="38" t="s">
        <v>817</v>
      </c>
      <c r="C143" s="38" t="s">
        <v>71</v>
      </c>
      <c r="D143" s="38" t="s">
        <v>185</v>
      </c>
      <c r="E143" s="38" t="s">
        <v>3439</v>
      </c>
      <c r="F143" s="38" t="s">
        <v>174</v>
      </c>
      <c r="G143" s="38" t="s">
        <v>3440</v>
      </c>
      <c r="H143" s="38" t="s">
        <v>54</v>
      </c>
      <c r="I143" s="38" t="s">
        <v>133</v>
      </c>
      <c r="J143" s="38" t="s">
        <v>70</v>
      </c>
      <c r="K143" s="37">
        <v>6.1760148E8</v>
      </c>
      <c r="L143" s="38" t="s">
        <v>52</v>
      </c>
      <c r="M143" s="38" t="s">
        <v>174</v>
      </c>
      <c r="N143" s="38" t="s">
        <v>185</v>
      </c>
      <c r="O143" s="38" t="s">
        <v>4166</v>
      </c>
      <c r="P143" s="37">
        <v>0.7949999999999999</v>
      </c>
      <c r="Q143" s="38" t="s">
        <v>4167</v>
      </c>
      <c r="R143" s="38" t="s">
        <v>1097</v>
      </c>
      <c r="S143" s="38" t="s">
        <v>54</v>
      </c>
      <c r="T143" s="38" t="s">
        <v>49</v>
      </c>
      <c r="U143" s="38" t="s">
        <v>53</v>
      </c>
      <c r="V143" s="38" t="s">
        <v>3441</v>
      </c>
      <c r="W143" s="38" t="s">
        <v>54</v>
      </c>
    </row>
    <row r="144">
      <c r="A144" s="38" t="s">
        <v>814</v>
      </c>
      <c r="B144" s="38" t="s">
        <v>817</v>
      </c>
      <c r="C144" s="38" t="s">
        <v>71</v>
      </c>
      <c r="D144" s="38" t="s">
        <v>185</v>
      </c>
      <c r="E144" s="38" t="s">
        <v>3442</v>
      </c>
      <c r="F144" s="38" t="s">
        <v>174</v>
      </c>
      <c r="G144" s="38" t="s">
        <v>3443</v>
      </c>
      <c r="H144" s="38" t="s">
        <v>54</v>
      </c>
      <c r="I144" s="38" t="s">
        <v>133</v>
      </c>
      <c r="J144" s="38" t="s">
        <v>70</v>
      </c>
      <c r="K144" s="37">
        <v>6.1760148E8</v>
      </c>
      <c r="L144" s="38" t="s">
        <v>52</v>
      </c>
      <c r="M144" s="38" t="s">
        <v>174</v>
      </c>
      <c r="N144" s="38" t="s">
        <v>185</v>
      </c>
      <c r="O144" s="38" t="s">
        <v>4166</v>
      </c>
      <c r="P144" s="37">
        <v>0.595</v>
      </c>
      <c r="Q144" s="38" t="s">
        <v>4168</v>
      </c>
      <c r="R144" s="38" t="s">
        <v>1088</v>
      </c>
      <c r="S144" s="38" t="s">
        <v>54</v>
      </c>
      <c r="T144" s="38" t="s">
        <v>49</v>
      </c>
      <c r="U144" s="38" t="s">
        <v>53</v>
      </c>
      <c r="V144" s="38" t="s">
        <v>3444</v>
      </c>
      <c r="W144" s="38" t="s">
        <v>54</v>
      </c>
    </row>
    <row r="145">
      <c r="A145" s="38" t="s">
        <v>1519</v>
      </c>
      <c r="B145" s="38" t="s">
        <v>1522</v>
      </c>
      <c r="C145" s="38" t="s">
        <v>57</v>
      </c>
      <c r="D145" s="38" t="s">
        <v>185</v>
      </c>
      <c r="E145" s="38" t="s">
        <v>3104</v>
      </c>
      <c r="F145" s="38" t="s">
        <v>3105</v>
      </c>
      <c r="G145" s="38" t="s">
        <v>3106</v>
      </c>
      <c r="H145" s="38" t="s">
        <v>54</v>
      </c>
      <c r="I145" s="38" t="s">
        <v>117</v>
      </c>
      <c r="J145" s="38" t="s">
        <v>56</v>
      </c>
      <c r="K145" s="37">
        <v>7.379385E8</v>
      </c>
      <c r="L145" s="38" t="s">
        <v>52</v>
      </c>
      <c r="M145" s="38" t="s">
        <v>1771</v>
      </c>
      <c r="N145" s="38" t="s">
        <v>185</v>
      </c>
      <c r="O145" s="38" t="s">
        <v>4162</v>
      </c>
      <c r="P145" s="37">
        <v>0.875</v>
      </c>
      <c r="Q145" s="38" t="s">
        <v>4169</v>
      </c>
      <c r="R145" s="38" t="s">
        <v>226</v>
      </c>
      <c r="S145" s="38" t="s">
        <v>484</v>
      </c>
      <c r="T145" s="38" t="s">
        <v>115</v>
      </c>
      <c r="U145" s="38" t="s">
        <v>53</v>
      </c>
      <c r="V145" s="38" t="s">
        <v>3107</v>
      </c>
      <c r="W145" s="37">
        <v>0.849</v>
      </c>
    </row>
    <row r="146">
      <c r="A146" s="38" t="s">
        <v>1519</v>
      </c>
      <c r="B146" s="38" t="s">
        <v>1522</v>
      </c>
      <c r="C146" s="38" t="s">
        <v>57</v>
      </c>
      <c r="D146" s="38" t="s">
        <v>185</v>
      </c>
      <c r="E146" s="38" t="s">
        <v>3108</v>
      </c>
      <c r="F146" s="38" t="s">
        <v>3109</v>
      </c>
      <c r="G146" s="38" t="s">
        <v>3110</v>
      </c>
      <c r="H146" s="38" t="s">
        <v>54</v>
      </c>
      <c r="I146" s="38" t="s">
        <v>117</v>
      </c>
      <c r="J146" s="38" t="s">
        <v>56</v>
      </c>
      <c r="K146" s="37">
        <v>5.67645E8</v>
      </c>
      <c r="L146" s="38" t="s">
        <v>52</v>
      </c>
      <c r="M146" s="38" t="s">
        <v>1771</v>
      </c>
      <c r="N146" s="38" t="s">
        <v>185</v>
      </c>
      <c r="O146" s="38" t="s">
        <v>4162</v>
      </c>
      <c r="P146" s="37">
        <v>1.25</v>
      </c>
      <c r="Q146" s="38" t="s">
        <v>4170</v>
      </c>
      <c r="R146" s="38" t="s">
        <v>226</v>
      </c>
      <c r="S146" s="38" t="s">
        <v>484</v>
      </c>
      <c r="T146" s="38" t="s">
        <v>115</v>
      </c>
      <c r="U146" s="38" t="s">
        <v>53</v>
      </c>
      <c r="V146" s="38" t="s">
        <v>3111</v>
      </c>
      <c r="W146" s="37">
        <v>1.293</v>
      </c>
    </row>
    <row r="147">
      <c r="A147" s="38" t="s">
        <v>1076</v>
      </c>
      <c r="B147" s="38" t="s">
        <v>1079</v>
      </c>
      <c r="C147" s="38" t="s">
        <v>71</v>
      </c>
      <c r="D147" s="38" t="s">
        <v>185</v>
      </c>
      <c r="E147" s="38" t="s">
        <v>2571</v>
      </c>
      <c r="F147" s="38" t="s">
        <v>2572</v>
      </c>
      <c r="G147" s="38" t="s">
        <v>2573</v>
      </c>
      <c r="H147" s="38" t="s">
        <v>54</v>
      </c>
      <c r="I147" s="38" t="s">
        <v>885</v>
      </c>
      <c r="J147" s="38" t="s">
        <v>56</v>
      </c>
      <c r="K147" s="37">
        <v>8.4405E8</v>
      </c>
      <c r="L147" s="38" t="s">
        <v>52</v>
      </c>
      <c r="M147" s="38" t="s">
        <v>1840</v>
      </c>
      <c r="N147" s="38" t="s">
        <v>185</v>
      </c>
      <c r="O147" s="38" t="s">
        <v>4171</v>
      </c>
      <c r="P147" s="37">
        <v>3.125</v>
      </c>
      <c r="Q147" s="38" t="s">
        <v>188</v>
      </c>
      <c r="R147" s="38" t="s">
        <v>174</v>
      </c>
      <c r="S147" s="38" t="s">
        <v>885</v>
      </c>
      <c r="T147" s="38" t="s">
        <v>115</v>
      </c>
      <c r="U147" s="38" t="s">
        <v>53</v>
      </c>
      <c r="V147" s="38" t="s">
        <v>2574</v>
      </c>
      <c r="W147" s="37">
        <v>2.954</v>
      </c>
    </row>
    <row r="148">
      <c r="A148" s="38" t="s">
        <v>254</v>
      </c>
      <c r="B148" s="38" t="s">
        <v>257</v>
      </c>
      <c r="C148" s="38" t="s">
        <v>71</v>
      </c>
      <c r="D148" s="38" t="s">
        <v>259</v>
      </c>
      <c r="E148" s="38" t="s">
        <v>2831</v>
      </c>
      <c r="F148" s="38" t="s">
        <v>2832</v>
      </c>
      <c r="G148" s="38" t="s">
        <v>2833</v>
      </c>
      <c r="H148" s="37">
        <v>5.800000000000001</v>
      </c>
      <c r="I148" s="38" t="s">
        <v>55</v>
      </c>
      <c r="J148" s="38" t="s">
        <v>56</v>
      </c>
      <c r="K148" s="37">
        <v>7.5E8</v>
      </c>
      <c r="L148" s="38" t="s">
        <v>52</v>
      </c>
      <c r="M148" s="38" t="s">
        <v>1840</v>
      </c>
      <c r="N148" s="38" t="s">
        <v>258</v>
      </c>
      <c r="O148" s="38" t="s">
        <v>4172</v>
      </c>
      <c r="P148" s="37">
        <v>5.75</v>
      </c>
      <c r="Q148" s="38" t="s">
        <v>4173</v>
      </c>
      <c r="R148" s="38" t="s">
        <v>262</v>
      </c>
      <c r="S148" s="38" t="s">
        <v>264</v>
      </c>
      <c r="T148" s="38" t="s">
        <v>115</v>
      </c>
      <c r="U148" s="38" t="s">
        <v>263</v>
      </c>
      <c r="V148" s="38" t="s">
        <v>2834</v>
      </c>
      <c r="W148" s="37">
        <v>5.704</v>
      </c>
    </row>
    <row r="149">
      <c r="A149" s="38" t="s">
        <v>254</v>
      </c>
      <c r="B149" s="38" t="s">
        <v>257</v>
      </c>
      <c r="C149" s="38" t="s">
        <v>71</v>
      </c>
      <c r="D149" s="38" t="s">
        <v>259</v>
      </c>
      <c r="E149" s="38" t="s">
        <v>2835</v>
      </c>
      <c r="F149" s="38" t="s">
        <v>2836</v>
      </c>
      <c r="G149" s="38" t="s">
        <v>2837</v>
      </c>
      <c r="H149" s="37">
        <v>5.800000000000001</v>
      </c>
      <c r="I149" s="38" t="s">
        <v>55</v>
      </c>
      <c r="J149" s="38" t="s">
        <v>56</v>
      </c>
      <c r="K149" s="37">
        <v>7.5E8</v>
      </c>
      <c r="L149" s="38" t="s">
        <v>52</v>
      </c>
      <c r="M149" s="38" t="s">
        <v>1840</v>
      </c>
      <c r="N149" s="38" t="s">
        <v>258</v>
      </c>
      <c r="O149" s="38" t="s">
        <v>4172</v>
      </c>
      <c r="P149" s="37">
        <v>5.75</v>
      </c>
      <c r="Q149" s="38" t="s">
        <v>4173</v>
      </c>
      <c r="R149" s="38" t="s">
        <v>271</v>
      </c>
      <c r="S149" s="38" t="s">
        <v>264</v>
      </c>
      <c r="T149" s="38" t="s">
        <v>115</v>
      </c>
      <c r="U149" s="38" t="s">
        <v>263</v>
      </c>
      <c r="V149" s="38" t="s">
        <v>2838</v>
      </c>
      <c r="W149" s="37">
        <v>5.63</v>
      </c>
    </row>
    <row r="150">
      <c r="A150" s="38" t="s">
        <v>917</v>
      </c>
      <c r="B150" s="38" t="s">
        <v>920</v>
      </c>
      <c r="C150" s="38" t="s">
        <v>57</v>
      </c>
      <c r="D150" s="38" t="s">
        <v>185</v>
      </c>
      <c r="E150" s="38" t="s">
        <v>2909</v>
      </c>
      <c r="F150" s="38" t="s">
        <v>2910</v>
      </c>
      <c r="G150" s="38" t="s">
        <v>2911</v>
      </c>
      <c r="H150" s="38" t="s">
        <v>54</v>
      </c>
      <c r="I150" s="38" t="s">
        <v>421</v>
      </c>
      <c r="J150" s="38" t="s">
        <v>56</v>
      </c>
      <c r="K150" s="37">
        <v>4.55568E8</v>
      </c>
      <c r="L150" s="38" t="s">
        <v>52</v>
      </c>
      <c r="M150" s="38" t="s">
        <v>1771</v>
      </c>
      <c r="N150" s="38" t="s">
        <v>185</v>
      </c>
      <c r="O150" s="38" t="s">
        <v>4174</v>
      </c>
      <c r="P150" s="37">
        <v>0.625</v>
      </c>
      <c r="Q150" s="38" t="s">
        <v>4175</v>
      </c>
      <c r="R150" s="38" t="s">
        <v>174</v>
      </c>
      <c r="S150" s="38" t="s">
        <v>190</v>
      </c>
      <c r="T150" s="38" t="s">
        <v>115</v>
      </c>
      <c r="U150" s="38" t="s">
        <v>53</v>
      </c>
      <c r="V150" s="38" t="s">
        <v>2912</v>
      </c>
      <c r="W150" s="37">
        <v>0.614</v>
      </c>
    </row>
    <row r="151">
      <c r="A151" s="38" t="s">
        <v>680</v>
      </c>
      <c r="B151" s="38" t="s">
        <v>683</v>
      </c>
      <c r="C151" s="38" t="s">
        <v>57</v>
      </c>
      <c r="D151" s="38" t="s">
        <v>368</v>
      </c>
      <c r="E151" s="38" t="s">
        <v>3278</v>
      </c>
      <c r="F151" s="38" t="s">
        <v>3279</v>
      </c>
      <c r="G151" s="38" t="s">
        <v>3280</v>
      </c>
      <c r="H151" s="38" t="s">
        <v>54</v>
      </c>
      <c r="I151" s="38" t="s">
        <v>55</v>
      </c>
      <c r="J151" s="38" t="s">
        <v>56</v>
      </c>
      <c r="K151" s="37">
        <v>6.4815E7</v>
      </c>
      <c r="L151" s="38" t="s">
        <v>52</v>
      </c>
      <c r="M151" s="38" t="s">
        <v>174</v>
      </c>
      <c r="N151" s="38" t="s">
        <v>368</v>
      </c>
      <c r="O151" s="38" t="s">
        <v>4176</v>
      </c>
      <c r="P151" s="37">
        <v>2.75</v>
      </c>
      <c r="Q151" s="38" t="s">
        <v>4177</v>
      </c>
      <c r="R151" s="38" t="s">
        <v>226</v>
      </c>
      <c r="S151" s="38" t="s">
        <v>54</v>
      </c>
      <c r="T151" s="38" t="s">
        <v>49</v>
      </c>
      <c r="U151" s="38" t="s">
        <v>687</v>
      </c>
      <c r="V151" s="38" t="s">
        <v>3281</v>
      </c>
      <c r="W151" s="37">
        <v>2.673</v>
      </c>
    </row>
    <row r="152">
      <c r="A152" s="38" t="s">
        <v>680</v>
      </c>
      <c r="B152" s="38" t="s">
        <v>683</v>
      </c>
      <c r="C152" s="38" t="s">
        <v>392</v>
      </c>
      <c r="D152" s="38" t="s">
        <v>368</v>
      </c>
      <c r="E152" s="38" t="s">
        <v>3282</v>
      </c>
      <c r="F152" s="38" t="s">
        <v>3283</v>
      </c>
      <c r="G152" s="38" t="s">
        <v>3284</v>
      </c>
      <c r="H152" s="38" t="s">
        <v>54</v>
      </c>
      <c r="I152" s="38" t="s">
        <v>55</v>
      </c>
      <c r="J152" s="38" t="s">
        <v>70</v>
      </c>
      <c r="K152" s="37">
        <v>1.51235E8</v>
      </c>
      <c r="L152" s="38" t="s">
        <v>52</v>
      </c>
      <c r="M152" s="38" t="s">
        <v>174</v>
      </c>
      <c r="N152" s="38" t="s">
        <v>368</v>
      </c>
      <c r="O152" s="38" t="s">
        <v>4176</v>
      </c>
      <c r="P152" s="37">
        <v>2.763</v>
      </c>
      <c r="Q152" s="38" t="s">
        <v>4177</v>
      </c>
      <c r="R152" s="38" t="s">
        <v>226</v>
      </c>
      <c r="S152" s="38" t="s">
        <v>54</v>
      </c>
      <c r="T152" s="38" t="s">
        <v>49</v>
      </c>
      <c r="U152" s="38" t="s">
        <v>687</v>
      </c>
      <c r="V152" s="38" t="s">
        <v>3285</v>
      </c>
      <c r="W152" s="37">
        <v>2.489</v>
      </c>
    </row>
    <row r="153">
      <c r="A153" s="38" t="s">
        <v>1250</v>
      </c>
      <c r="B153" s="38" t="s">
        <v>1253</v>
      </c>
      <c r="C153" s="38" t="s">
        <v>71</v>
      </c>
      <c r="D153" s="38" t="s">
        <v>368</v>
      </c>
      <c r="E153" s="38" t="s">
        <v>2387</v>
      </c>
      <c r="F153" s="38" t="s">
        <v>174</v>
      </c>
      <c r="G153" s="38" t="s">
        <v>2388</v>
      </c>
      <c r="H153" s="38" t="s">
        <v>54</v>
      </c>
      <c r="I153" s="38" t="s">
        <v>55</v>
      </c>
      <c r="J153" s="38" t="s">
        <v>56</v>
      </c>
      <c r="K153" s="38"/>
      <c r="L153" s="38" t="s">
        <v>118</v>
      </c>
      <c r="M153" s="38" t="s">
        <v>174</v>
      </c>
      <c r="N153" s="38" t="s">
        <v>368</v>
      </c>
      <c r="O153" s="38" t="s">
        <v>4178</v>
      </c>
      <c r="P153" s="37">
        <v>5.21</v>
      </c>
      <c r="Q153" s="38" t="s">
        <v>4179</v>
      </c>
      <c r="R153" s="38" t="s">
        <v>174</v>
      </c>
      <c r="S153" s="38" t="s">
        <v>54</v>
      </c>
      <c r="T153" s="38" t="s">
        <v>49</v>
      </c>
      <c r="U153" s="38" t="s">
        <v>263</v>
      </c>
      <c r="V153" s="38" t="s">
        <v>2389</v>
      </c>
      <c r="W153" s="38" t="s">
        <v>54</v>
      </c>
    </row>
    <row r="154">
      <c r="A154" s="38" t="s">
        <v>625</v>
      </c>
      <c r="B154" s="38" t="s">
        <v>628</v>
      </c>
      <c r="C154" s="38" t="s">
        <v>71</v>
      </c>
      <c r="D154" s="38" t="s">
        <v>45</v>
      </c>
      <c r="E154" s="38" t="s">
        <v>2587</v>
      </c>
      <c r="F154" s="38" t="s">
        <v>174</v>
      </c>
      <c r="G154" s="38" t="s">
        <v>2588</v>
      </c>
      <c r="H154" s="38" t="s">
        <v>54</v>
      </c>
      <c r="I154" s="38" t="s">
        <v>55</v>
      </c>
      <c r="J154" s="38" t="s">
        <v>56</v>
      </c>
      <c r="K154" s="38"/>
      <c r="L154" s="38" t="s">
        <v>118</v>
      </c>
      <c r="M154" s="38" t="s">
        <v>174</v>
      </c>
      <c r="N154" s="38" t="s">
        <v>45</v>
      </c>
      <c r="O154" s="38" t="s">
        <v>4180</v>
      </c>
      <c r="P154" s="37">
        <v>5.0</v>
      </c>
      <c r="Q154" s="38" t="s">
        <v>4181</v>
      </c>
      <c r="R154" s="38" t="s">
        <v>174</v>
      </c>
      <c r="S154" s="38" t="s">
        <v>54</v>
      </c>
      <c r="T154" s="38" t="s">
        <v>49</v>
      </c>
      <c r="U154" s="38" t="s">
        <v>263</v>
      </c>
      <c r="V154" s="38" t="s">
        <v>2589</v>
      </c>
      <c r="W154" s="38" t="s">
        <v>54</v>
      </c>
    </row>
    <row r="155">
      <c r="A155" s="38" t="s">
        <v>1225</v>
      </c>
      <c r="B155" s="38" t="s">
        <v>1228</v>
      </c>
      <c r="C155" s="38" t="s">
        <v>71</v>
      </c>
      <c r="D155" s="38" t="s">
        <v>595</v>
      </c>
      <c r="E155" s="38" t="s">
        <v>2812</v>
      </c>
      <c r="F155" s="38" t="s">
        <v>174</v>
      </c>
      <c r="G155" s="38" t="s">
        <v>2813</v>
      </c>
      <c r="H155" s="38" t="s">
        <v>54</v>
      </c>
      <c r="I155" s="38" t="s">
        <v>55</v>
      </c>
      <c r="J155" s="38" t="s">
        <v>56</v>
      </c>
      <c r="K155" s="38"/>
      <c r="L155" s="38" t="s">
        <v>118</v>
      </c>
      <c r="M155" s="38" t="s">
        <v>174</v>
      </c>
      <c r="N155" s="38" t="s">
        <v>595</v>
      </c>
      <c r="O155" s="38" t="s">
        <v>4182</v>
      </c>
      <c r="P155" s="37">
        <v>5.08</v>
      </c>
      <c r="Q155" s="38" t="s">
        <v>4183</v>
      </c>
      <c r="R155" s="38" t="s">
        <v>174</v>
      </c>
      <c r="S155" s="38" t="s">
        <v>54</v>
      </c>
      <c r="T155" s="38" t="s">
        <v>49</v>
      </c>
      <c r="U155" s="38" t="s">
        <v>263</v>
      </c>
      <c r="V155" s="38" t="s">
        <v>2814</v>
      </c>
      <c r="W155" s="38" t="s">
        <v>54</v>
      </c>
    </row>
    <row r="156">
      <c r="A156" s="38" t="s">
        <v>755</v>
      </c>
      <c r="B156" s="38" t="s">
        <v>758</v>
      </c>
      <c r="C156" s="38" t="s">
        <v>71</v>
      </c>
      <c r="D156" s="38" t="s">
        <v>259</v>
      </c>
      <c r="E156" s="38" t="s">
        <v>3311</v>
      </c>
      <c r="F156" s="38" t="s">
        <v>3312</v>
      </c>
      <c r="G156" s="38" t="s">
        <v>3313</v>
      </c>
      <c r="H156" s="38" t="s">
        <v>54</v>
      </c>
      <c r="I156" s="38" t="s">
        <v>55</v>
      </c>
      <c r="J156" s="38" t="s">
        <v>56</v>
      </c>
      <c r="K156" s="37">
        <v>1.74816E9</v>
      </c>
      <c r="L156" s="38" t="s">
        <v>52</v>
      </c>
      <c r="M156" s="38" t="s">
        <v>1776</v>
      </c>
      <c r="N156" s="38" t="s">
        <v>258</v>
      </c>
      <c r="O156" s="38" t="s">
        <v>4184</v>
      </c>
      <c r="P156" s="37">
        <v>6.0</v>
      </c>
      <c r="Q156" s="38" t="s">
        <v>4127</v>
      </c>
      <c r="R156" s="38" t="s">
        <v>174</v>
      </c>
      <c r="S156" s="38" t="s">
        <v>497</v>
      </c>
      <c r="T156" s="38" t="s">
        <v>115</v>
      </c>
      <c r="U156" s="38" t="s">
        <v>263</v>
      </c>
      <c r="V156" s="38" t="s">
        <v>3314</v>
      </c>
      <c r="W156" s="38" t="s">
        <v>54</v>
      </c>
    </row>
    <row r="157">
      <c r="A157" s="38" t="s">
        <v>755</v>
      </c>
      <c r="B157" s="38" t="s">
        <v>758</v>
      </c>
      <c r="C157" s="38" t="s">
        <v>71</v>
      </c>
      <c r="D157" s="38" t="s">
        <v>259</v>
      </c>
      <c r="E157" s="38" t="s">
        <v>3315</v>
      </c>
      <c r="F157" s="38" t="s">
        <v>3316</v>
      </c>
      <c r="G157" s="38" t="s">
        <v>3317</v>
      </c>
      <c r="H157" s="38" t="s">
        <v>54</v>
      </c>
      <c r="I157" s="38" t="s">
        <v>55</v>
      </c>
      <c r="J157" s="38" t="s">
        <v>56</v>
      </c>
      <c r="K157" s="37">
        <v>9.99904E8</v>
      </c>
      <c r="L157" s="38" t="s">
        <v>52</v>
      </c>
      <c r="M157" s="38" t="s">
        <v>174</v>
      </c>
      <c r="N157" s="38" t="s">
        <v>258</v>
      </c>
      <c r="O157" s="38" t="s">
        <v>4184</v>
      </c>
      <c r="P157" s="37">
        <v>5.0</v>
      </c>
      <c r="Q157" s="38" t="s">
        <v>4185</v>
      </c>
      <c r="R157" s="38" t="s">
        <v>174</v>
      </c>
      <c r="S157" s="38" t="s">
        <v>497</v>
      </c>
      <c r="T157" s="38" t="s">
        <v>115</v>
      </c>
      <c r="U157" s="38" t="s">
        <v>263</v>
      </c>
      <c r="V157" s="38" t="s">
        <v>3318</v>
      </c>
      <c r="W157" s="38" t="s">
        <v>54</v>
      </c>
    </row>
    <row r="158">
      <c r="A158" s="38" t="s">
        <v>477</v>
      </c>
      <c r="B158" s="38" t="s">
        <v>480</v>
      </c>
      <c r="C158" s="38" t="s">
        <v>57</v>
      </c>
      <c r="D158" s="38" t="s">
        <v>45</v>
      </c>
      <c r="E158" s="38" t="s">
        <v>1933</v>
      </c>
      <c r="F158" s="38" t="s">
        <v>1934</v>
      </c>
      <c r="G158" s="38" t="s">
        <v>1935</v>
      </c>
      <c r="H158" s="38" t="s">
        <v>54</v>
      </c>
      <c r="I158" s="38" t="s">
        <v>55</v>
      </c>
      <c r="J158" s="38" t="s">
        <v>56</v>
      </c>
      <c r="K158" s="37">
        <v>2.24224E8</v>
      </c>
      <c r="L158" s="38" t="s">
        <v>483</v>
      </c>
      <c r="M158" s="38" t="s">
        <v>174</v>
      </c>
      <c r="N158" s="38" t="s">
        <v>45</v>
      </c>
      <c r="O158" s="38" t="s">
        <v>4186</v>
      </c>
      <c r="P158" s="37">
        <v>0.01</v>
      </c>
      <c r="Q158" s="38" t="s">
        <v>4187</v>
      </c>
      <c r="R158" s="38" t="s">
        <v>226</v>
      </c>
      <c r="S158" s="38" t="s">
        <v>484</v>
      </c>
      <c r="T158" s="38" t="s">
        <v>49</v>
      </c>
      <c r="U158" s="38" t="s">
        <v>53</v>
      </c>
      <c r="V158" s="38" t="s">
        <v>1936</v>
      </c>
      <c r="W158" s="37">
        <v>-0.495</v>
      </c>
    </row>
    <row r="159">
      <c r="A159" s="38" t="s">
        <v>1146</v>
      </c>
      <c r="B159" s="38" t="s">
        <v>1149</v>
      </c>
      <c r="C159" s="38" t="s">
        <v>392</v>
      </c>
      <c r="D159" s="38" t="s">
        <v>368</v>
      </c>
      <c r="E159" s="38" t="s">
        <v>2823</v>
      </c>
      <c r="F159" s="38" t="s">
        <v>2824</v>
      </c>
      <c r="G159" s="38" t="s">
        <v>2825</v>
      </c>
      <c r="H159" s="38" t="s">
        <v>54</v>
      </c>
      <c r="I159" s="38" t="s">
        <v>421</v>
      </c>
      <c r="J159" s="38" t="s">
        <v>70</v>
      </c>
      <c r="K159" s="37">
        <v>1.274525E8</v>
      </c>
      <c r="L159" s="38" t="s">
        <v>52</v>
      </c>
      <c r="M159" s="38" t="s">
        <v>1776</v>
      </c>
      <c r="N159" s="38" t="s">
        <v>368</v>
      </c>
      <c r="O159" s="38" t="s">
        <v>1670</v>
      </c>
      <c r="P159" s="37">
        <v>0.756</v>
      </c>
      <c r="Q159" s="38" t="s">
        <v>1676</v>
      </c>
      <c r="R159" s="38" t="s">
        <v>686</v>
      </c>
      <c r="S159" s="38" t="s">
        <v>54</v>
      </c>
      <c r="T159" s="38" t="s">
        <v>49</v>
      </c>
      <c r="U159" s="38" t="s">
        <v>687</v>
      </c>
      <c r="V159" s="38" t="s">
        <v>2826</v>
      </c>
      <c r="W159" s="37">
        <v>0.887</v>
      </c>
    </row>
    <row r="160">
      <c r="A160" s="38" t="s">
        <v>1146</v>
      </c>
      <c r="B160" s="38" t="s">
        <v>1149</v>
      </c>
      <c r="C160" s="38" t="s">
        <v>57</v>
      </c>
      <c r="D160" s="38" t="s">
        <v>368</v>
      </c>
      <c r="E160" s="38" t="s">
        <v>2827</v>
      </c>
      <c r="F160" s="38" t="s">
        <v>2828</v>
      </c>
      <c r="G160" s="38" t="s">
        <v>2829</v>
      </c>
      <c r="H160" s="38" t="s">
        <v>54</v>
      </c>
      <c r="I160" s="38" t="s">
        <v>421</v>
      </c>
      <c r="J160" s="38" t="s">
        <v>56</v>
      </c>
      <c r="K160" s="37">
        <v>2.54905E7</v>
      </c>
      <c r="L160" s="38" t="s">
        <v>52</v>
      </c>
      <c r="M160" s="38" t="s">
        <v>1776</v>
      </c>
      <c r="N160" s="38" t="s">
        <v>368</v>
      </c>
      <c r="O160" s="38" t="s">
        <v>1670</v>
      </c>
      <c r="P160" s="37">
        <v>1.058</v>
      </c>
      <c r="Q160" s="38" t="s">
        <v>1676</v>
      </c>
      <c r="R160" s="38" t="s">
        <v>686</v>
      </c>
      <c r="S160" s="38" t="s">
        <v>54</v>
      </c>
      <c r="T160" s="38" t="s">
        <v>49</v>
      </c>
      <c r="U160" s="38" t="s">
        <v>687</v>
      </c>
      <c r="V160" s="38" t="s">
        <v>2830</v>
      </c>
      <c r="W160" s="37">
        <v>0.946</v>
      </c>
    </row>
    <row r="161">
      <c r="A161" s="38" t="s">
        <v>1432</v>
      </c>
      <c r="B161" s="38" t="s">
        <v>1435</v>
      </c>
      <c r="C161" s="38" t="s">
        <v>392</v>
      </c>
      <c r="D161" s="38" t="s">
        <v>368</v>
      </c>
      <c r="E161" s="38" t="s">
        <v>1870</v>
      </c>
      <c r="F161" s="38" t="s">
        <v>1871</v>
      </c>
      <c r="G161" s="38" t="s">
        <v>1872</v>
      </c>
      <c r="H161" s="38" t="s">
        <v>54</v>
      </c>
      <c r="I161" s="38" t="s">
        <v>55</v>
      </c>
      <c r="J161" s="38" t="s">
        <v>70</v>
      </c>
      <c r="K161" s="37">
        <v>5.3677E7</v>
      </c>
      <c r="L161" s="38" t="s">
        <v>52</v>
      </c>
      <c r="M161" s="38" t="s">
        <v>174</v>
      </c>
      <c r="N161" s="38" t="s">
        <v>368</v>
      </c>
      <c r="O161" s="38" t="s">
        <v>4188</v>
      </c>
      <c r="P161" s="37">
        <v>2.09</v>
      </c>
      <c r="Q161" s="38" t="s">
        <v>4189</v>
      </c>
      <c r="R161" s="38" t="s">
        <v>174</v>
      </c>
      <c r="S161" s="38" t="s">
        <v>54</v>
      </c>
      <c r="T161" s="38" t="s">
        <v>49</v>
      </c>
      <c r="U161" s="38" t="s">
        <v>610</v>
      </c>
      <c r="V161" s="38" t="s">
        <v>1873</v>
      </c>
      <c r="W161" s="37">
        <v>2.548</v>
      </c>
    </row>
    <row r="162">
      <c r="A162" s="38" t="s">
        <v>477</v>
      </c>
      <c r="B162" s="38" t="s">
        <v>480</v>
      </c>
      <c r="C162" s="38" t="s">
        <v>57</v>
      </c>
      <c r="D162" s="38" t="s">
        <v>45</v>
      </c>
      <c r="E162" s="38" t="s">
        <v>1937</v>
      </c>
      <c r="F162" s="38" t="s">
        <v>1938</v>
      </c>
      <c r="G162" s="38" t="s">
        <v>1939</v>
      </c>
      <c r="H162" s="38" t="s">
        <v>54</v>
      </c>
      <c r="I162" s="38" t="s">
        <v>55</v>
      </c>
      <c r="J162" s="38" t="s">
        <v>56</v>
      </c>
      <c r="K162" s="37">
        <v>1.668555E7</v>
      </c>
      <c r="L162" s="38" t="s">
        <v>459</v>
      </c>
      <c r="M162" s="38" t="s">
        <v>174</v>
      </c>
      <c r="N162" s="38" t="s">
        <v>45</v>
      </c>
      <c r="O162" s="38" t="s">
        <v>4190</v>
      </c>
      <c r="P162" s="37">
        <v>0.75</v>
      </c>
      <c r="Q162" s="38" t="s">
        <v>4191</v>
      </c>
      <c r="R162" s="38" t="s">
        <v>226</v>
      </c>
      <c r="S162" s="38" t="s">
        <v>190</v>
      </c>
      <c r="T162" s="38" t="s">
        <v>115</v>
      </c>
      <c r="U162" s="38" t="s">
        <v>53</v>
      </c>
      <c r="V162" s="38" t="s">
        <v>1940</v>
      </c>
      <c r="W162" s="37">
        <v>0.683</v>
      </c>
    </row>
    <row r="163">
      <c r="A163" s="38" t="s">
        <v>181</v>
      </c>
      <c r="B163" s="38" t="s">
        <v>184</v>
      </c>
      <c r="C163" s="38" t="s">
        <v>57</v>
      </c>
      <c r="D163" s="38" t="s">
        <v>186</v>
      </c>
      <c r="E163" s="38" t="s">
        <v>3173</v>
      </c>
      <c r="F163" s="38" t="s">
        <v>3174</v>
      </c>
      <c r="G163" s="38" t="s">
        <v>3175</v>
      </c>
      <c r="H163" s="38" t="s">
        <v>54</v>
      </c>
      <c r="I163" s="38" t="s">
        <v>133</v>
      </c>
      <c r="J163" s="38" t="s">
        <v>56</v>
      </c>
      <c r="K163" s="37">
        <v>9.028E8</v>
      </c>
      <c r="L163" s="38" t="s">
        <v>52</v>
      </c>
      <c r="M163" s="38" t="s">
        <v>1771</v>
      </c>
      <c r="N163" s="38" t="s">
        <v>185</v>
      </c>
      <c r="O163" s="38" t="s">
        <v>4192</v>
      </c>
      <c r="P163" s="37">
        <v>0.25</v>
      </c>
      <c r="Q163" s="38" t="s">
        <v>4193</v>
      </c>
      <c r="R163" s="38" t="s">
        <v>226</v>
      </c>
      <c r="S163" s="38" t="s">
        <v>190</v>
      </c>
      <c r="T163" s="38" t="s">
        <v>115</v>
      </c>
      <c r="U163" s="38" t="s">
        <v>53</v>
      </c>
      <c r="V163" s="38" t="s">
        <v>3176</v>
      </c>
      <c r="W163" s="37">
        <v>0.441</v>
      </c>
    </row>
    <row r="164">
      <c r="A164" s="38" t="s">
        <v>1250</v>
      </c>
      <c r="B164" s="38" t="s">
        <v>1253</v>
      </c>
      <c r="C164" s="38" t="s">
        <v>392</v>
      </c>
      <c r="D164" s="38" t="s">
        <v>368</v>
      </c>
      <c r="E164" s="38" t="s">
        <v>2390</v>
      </c>
      <c r="F164" s="38" t="s">
        <v>2391</v>
      </c>
      <c r="G164" s="38" t="s">
        <v>2392</v>
      </c>
      <c r="H164" s="38" t="s">
        <v>54</v>
      </c>
      <c r="I164" s="38" t="s">
        <v>55</v>
      </c>
      <c r="J164" s="38" t="s">
        <v>70</v>
      </c>
      <c r="K164" s="37">
        <v>5.13025E7</v>
      </c>
      <c r="L164" s="38" t="s">
        <v>52</v>
      </c>
      <c r="M164" s="38" t="s">
        <v>174</v>
      </c>
      <c r="N164" s="38" t="s">
        <v>368</v>
      </c>
      <c r="O164" s="38" t="s">
        <v>4194</v>
      </c>
      <c r="P164" s="37">
        <v>0.921</v>
      </c>
      <c r="Q164" s="38" t="s">
        <v>4195</v>
      </c>
      <c r="R164" s="38" t="s">
        <v>686</v>
      </c>
      <c r="S164" s="38" t="s">
        <v>190</v>
      </c>
      <c r="T164" s="38" t="s">
        <v>49</v>
      </c>
      <c r="U164" s="38" t="s">
        <v>687</v>
      </c>
      <c r="V164" s="38" t="s">
        <v>2393</v>
      </c>
      <c r="W164" s="37">
        <v>1.439</v>
      </c>
    </row>
    <row r="165">
      <c r="A165" s="38" t="s">
        <v>1250</v>
      </c>
      <c r="B165" s="38" t="s">
        <v>1253</v>
      </c>
      <c r="C165" s="38" t="s">
        <v>392</v>
      </c>
      <c r="D165" s="38" t="s">
        <v>368</v>
      </c>
      <c r="E165" s="38" t="s">
        <v>2394</v>
      </c>
      <c r="F165" s="38" t="s">
        <v>2395</v>
      </c>
      <c r="G165" s="38" t="s">
        <v>2396</v>
      </c>
      <c r="H165" s="38" t="s">
        <v>54</v>
      </c>
      <c r="I165" s="38" t="s">
        <v>55</v>
      </c>
      <c r="J165" s="38" t="s">
        <v>70</v>
      </c>
      <c r="K165" s="37">
        <v>1.02605E8</v>
      </c>
      <c r="L165" s="38" t="s">
        <v>52</v>
      </c>
      <c r="M165" s="38" t="s">
        <v>174</v>
      </c>
      <c r="N165" s="38" t="s">
        <v>368</v>
      </c>
      <c r="O165" s="38" t="s">
        <v>4194</v>
      </c>
      <c r="P165" s="37">
        <v>1.371</v>
      </c>
      <c r="Q165" s="38" t="s">
        <v>4196</v>
      </c>
      <c r="R165" s="38" t="s">
        <v>686</v>
      </c>
      <c r="S165" s="38" t="s">
        <v>190</v>
      </c>
      <c r="T165" s="38" t="s">
        <v>49</v>
      </c>
      <c r="U165" s="38" t="s">
        <v>687</v>
      </c>
      <c r="V165" s="38" t="s">
        <v>2397</v>
      </c>
      <c r="W165" s="38" t="s">
        <v>54</v>
      </c>
    </row>
    <row r="166">
      <c r="A166" s="38" t="s">
        <v>1519</v>
      </c>
      <c r="B166" s="38" t="s">
        <v>1522</v>
      </c>
      <c r="C166" s="38" t="s">
        <v>57</v>
      </c>
      <c r="D166" s="38" t="s">
        <v>185</v>
      </c>
      <c r="E166" s="38" t="s">
        <v>3112</v>
      </c>
      <c r="F166" s="38" t="s">
        <v>3113</v>
      </c>
      <c r="G166" s="38" t="s">
        <v>3114</v>
      </c>
      <c r="H166" s="38" t="s">
        <v>54</v>
      </c>
      <c r="I166" s="38" t="s">
        <v>117</v>
      </c>
      <c r="J166" s="38" t="s">
        <v>56</v>
      </c>
      <c r="K166" s="37">
        <v>1.10196E9</v>
      </c>
      <c r="L166" s="38" t="s">
        <v>52</v>
      </c>
      <c r="M166" s="38" t="s">
        <v>1771</v>
      </c>
      <c r="N166" s="38" t="s">
        <v>185</v>
      </c>
      <c r="O166" s="38" t="s">
        <v>4197</v>
      </c>
      <c r="P166" s="37">
        <v>1.0</v>
      </c>
      <c r="Q166" s="38" t="s">
        <v>4198</v>
      </c>
      <c r="R166" s="38" t="s">
        <v>226</v>
      </c>
      <c r="S166" s="38" t="s">
        <v>484</v>
      </c>
      <c r="T166" s="38" t="s">
        <v>115</v>
      </c>
      <c r="U166" s="38" t="s">
        <v>53</v>
      </c>
      <c r="V166" s="38" t="s">
        <v>3115</v>
      </c>
      <c r="W166" s="37">
        <v>0.457</v>
      </c>
    </row>
    <row r="167">
      <c r="A167" s="38" t="s">
        <v>1519</v>
      </c>
      <c r="B167" s="38" t="s">
        <v>1522</v>
      </c>
      <c r="C167" s="38" t="s">
        <v>57</v>
      </c>
      <c r="D167" s="38" t="s">
        <v>185</v>
      </c>
      <c r="E167" s="38" t="s">
        <v>3116</v>
      </c>
      <c r="F167" s="38" t="s">
        <v>3117</v>
      </c>
      <c r="G167" s="38" t="s">
        <v>3118</v>
      </c>
      <c r="H167" s="38" t="s">
        <v>54</v>
      </c>
      <c r="I167" s="38" t="s">
        <v>117</v>
      </c>
      <c r="J167" s="38" t="s">
        <v>56</v>
      </c>
      <c r="K167" s="37">
        <v>1.10196E9</v>
      </c>
      <c r="L167" s="38" t="s">
        <v>52</v>
      </c>
      <c r="M167" s="38" t="s">
        <v>1771</v>
      </c>
      <c r="N167" s="38" t="s">
        <v>185</v>
      </c>
      <c r="O167" s="38" t="s">
        <v>4197</v>
      </c>
      <c r="P167" s="37">
        <v>1.5</v>
      </c>
      <c r="Q167" s="38" t="s">
        <v>4199</v>
      </c>
      <c r="R167" s="38" t="s">
        <v>226</v>
      </c>
      <c r="S167" s="38" t="s">
        <v>484</v>
      </c>
      <c r="T167" s="38" t="s">
        <v>115</v>
      </c>
      <c r="U167" s="38" t="s">
        <v>53</v>
      </c>
      <c r="V167" s="38" t="s">
        <v>3119</v>
      </c>
      <c r="W167" s="37">
        <v>0.78</v>
      </c>
    </row>
    <row r="168">
      <c r="A168" s="38" t="s">
        <v>1487</v>
      </c>
      <c r="B168" s="38" t="s">
        <v>1490</v>
      </c>
      <c r="C168" s="38" t="s">
        <v>57</v>
      </c>
      <c r="D168" s="38" t="s">
        <v>185</v>
      </c>
      <c r="E168" s="38" t="s">
        <v>2268</v>
      </c>
      <c r="F168" s="38" t="s">
        <v>2269</v>
      </c>
      <c r="G168" s="38" t="s">
        <v>2270</v>
      </c>
      <c r="H168" s="38" t="s">
        <v>54</v>
      </c>
      <c r="I168" s="38" t="s">
        <v>117</v>
      </c>
      <c r="J168" s="38" t="s">
        <v>56</v>
      </c>
      <c r="K168" s="37">
        <v>1.09253E9</v>
      </c>
      <c r="L168" s="38" t="s">
        <v>52</v>
      </c>
      <c r="M168" s="38" t="s">
        <v>1771</v>
      </c>
      <c r="N168" s="38" t="s">
        <v>185</v>
      </c>
      <c r="O168" s="38" t="s">
        <v>4200</v>
      </c>
      <c r="P168" s="37">
        <v>2.625</v>
      </c>
      <c r="Q168" s="38" t="s">
        <v>4201</v>
      </c>
      <c r="R168" s="38" t="s">
        <v>2135</v>
      </c>
      <c r="S168" s="38" t="s">
        <v>190</v>
      </c>
      <c r="T168" s="38" t="s">
        <v>115</v>
      </c>
      <c r="U168" s="38" t="s">
        <v>53</v>
      </c>
      <c r="V168" s="38" t="s">
        <v>2271</v>
      </c>
      <c r="W168" s="37">
        <v>2.139</v>
      </c>
    </row>
    <row r="169">
      <c r="A169" s="38" t="s">
        <v>416</v>
      </c>
      <c r="B169" s="38" t="s">
        <v>419</v>
      </c>
      <c r="C169" s="38" t="s">
        <v>57</v>
      </c>
      <c r="D169" s="38" t="s">
        <v>367</v>
      </c>
      <c r="E169" s="38" t="s">
        <v>2855</v>
      </c>
      <c r="F169" s="38" t="s">
        <v>2856</v>
      </c>
      <c r="G169" s="38" t="s">
        <v>2857</v>
      </c>
      <c r="H169" s="38" t="s">
        <v>54</v>
      </c>
      <c r="I169" s="38" t="s">
        <v>421</v>
      </c>
      <c r="J169" s="38" t="s">
        <v>56</v>
      </c>
      <c r="K169" s="37">
        <v>5.4209E8</v>
      </c>
      <c r="L169" s="38" t="s">
        <v>52</v>
      </c>
      <c r="M169" s="38" t="s">
        <v>1776</v>
      </c>
      <c r="N169" s="38" t="s">
        <v>367</v>
      </c>
      <c r="O169" s="38" t="s">
        <v>4202</v>
      </c>
      <c r="P169" s="37">
        <v>1.75</v>
      </c>
      <c r="Q169" s="38" t="s">
        <v>4203</v>
      </c>
      <c r="R169" s="38" t="s">
        <v>174</v>
      </c>
      <c r="S169" s="38" t="s">
        <v>175</v>
      </c>
      <c r="T169" s="38" t="s">
        <v>115</v>
      </c>
      <c r="U169" s="38" t="s">
        <v>53</v>
      </c>
      <c r="V169" s="38" t="s">
        <v>2858</v>
      </c>
      <c r="W169" s="37">
        <v>1.506</v>
      </c>
    </row>
    <row r="170">
      <c r="A170" s="38" t="s">
        <v>1526</v>
      </c>
      <c r="B170" s="38" t="s">
        <v>1529</v>
      </c>
      <c r="C170" s="38" t="s">
        <v>57</v>
      </c>
      <c r="D170" s="38" t="s">
        <v>185</v>
      </c>
      <c r="E170" s="38" t="s">
        <v>2997</v>
      </c>
      <c r="F170" s="38" t="s">
        <v>2998</v>
      </c>
      <c r="G170" s="38" t="s">
        <v>2999</v>
      </c>
      <c r="H170" s="38" t="s">
        <v>54</v>
      </c>
      <c r="I170" s="38" t="s">
        <v>421</v>
      </c>
      <c r="J170" s="38" t="s">
        <v>56</v>
      </c>
      <c r="K170" s="37">
        <v>1.0802E9</v>
      </c>
      <c r="L170" s="38" t="s">
        <v>52</v>
      </c>
      <c r="M170" s="38" t="s">
        <v>1771</v>
      </c>
      <c r="N170" s="38" t="s">
        <v>185</v>
      </c>
      <c r="O170" s="38" t="s">
        <v>46</v>
      </c>
      <c r="P170" s="37">
        <v>1.125</v>
      </c>
      <c r="Q170" s="38" t="s">
        <v>4204</v>
      </c>
      <c r="R170" s="38" t="s">
        <v>174</v>
      </c>
      <c r="S170" s="38" t="s">
        <v>620</v>
      </c>
      <c r="T170" s="38" t="s">
        <v>115</v>
      </c>
      <c r="U170" s="38" t="s">
        <v>53</v>
      </c>
      <c r="V170" s="38" t="s">
        <v>3000</v>
      </c>
      <c r="W170" s="37">
        <v>1.142</v>
      </c>
    </row>
    <row r="171">
      <c r="A171" s="38" t="s">
        <v>1526</v>
      </c>
      <c r="B171" s="38" t="s">
        <v>1529</v>
      </c>
      <c r="C171" s="38" t="s">
        <v>57</v>
      </c>
      <c r="D171" s="38" t="s">
        <v>185</v>
      </c>
      <c r="E171" s="38" t="s">
        <v>3001</v>
      </c>
      <c r="F171" s="38" t="s">
        <v>3002</v>
      </c>
      <c r="G171" s="38" t="s">
        <v>3003</v>
      </c>
      <c r="H171" s="38" t="s">
        <v>54</v>
      </c>
      <c r="I171" s="38" t="s">
        <v>421</v>
      </c>
      <c r="J171" s="38" t="s">
        <v>56</v>
      </c>
      <c r="K171" s="37">
        <v>1.0802E9</v>
      </c>
      <c r="L171" s="38" t="s">
        <v>52</v>
      </c>
      <c r="M171" s="38" t="s">
        <v>1771</v>
      </c>
      <c r="N171" s="38" t="s">
        <v>185</v>
      </c>
      <c r="O171" s="38" t="s">
        <v>46</v>
      </c>
      <c r="P171" s="37">
        <v>1.75</v>
      </c>
      <c r="Q171" s="38" t="s">
        <v>4205</v>
      </c>
      <c r="R171" s="38" t="s">
        <v>174</v>
      </c>
      <c r="S171" s="38" t="s">
        <v>620</v>
      </c>
      <c r="T171" s="38" t="s">
        <v>115</v>
      </c>
      <c r="U171" s="38" t="s">
        <v>53</v>
      </c>
      <c r="V171" s="38" t="s">
        <v>3004</v>
      </c>
      <c r="W171" s="37">
        <v>1.752</v>
      </c>
    </row>
    <row r="172">
      <c r="A172" s="38" t="s">
        <v>181</v>
      </c>
      <c r="B172" s="38" t="s">
        <v>184</v>
      </c>
      <c r="C172" s="38" t="s">
        <v>57</v>
      </c>
      <c r="D172" s="38" t="s">
        <v>186</v>
      </c>
      <c r="E172" s="38" t="s">
        <v>3177</v>
      </c>
      <c r="F172" s="38" t="s">
        <v>3178</v>
      </c>
      <c r="G172" s="38" t="s">
        <v>3179</v>
      </c>
      <c r="H172" s="38" t="s">
        <v>54</v>
      </c>
      <c r="I172" s="38" t="s">
        <v>133</v>
      </c>
      <c r="J172" s="38" t="s">
        <v>56</v>
      </c>
      <c r="K172" s="37">
        <v>5.468E8</v>
      </c>
      <c r="L172" s="38" t="s">
        <v>52</v>
      </c>
      <c r="M172" s="38" t="s">
        <v>1771</v>
      </c>
      <c r="N172" s="38" t="s">
        <v>185</v>
      </c>
      <c r="O172" s="38" t="s">
        <v>4206</v>
      </c>
      <c r="P172" s="37">
        <v>1.0</v>
      </c>
      <c r="Q172" s="38" t="s">
        <v>4207</v>
      </c>
      <c r="R172" s="38" t="s">
        <v>226</v>
      </c>
      <c r="S172" s="38" t="s">
        <v>190</v>
      </c>
      <c r="T172" s="38" t="s">
        <v>115</v>
      </c>
      <c r="U172" s="38" t="s">
        <v>53</v>
      </c>
      <c r="V172" s="38" t="s">
        <v>3180</v>
      </c>
      <c r="W172" s="37">
        <v>0.824</v>
      </c>
    </row>
    <row r="173">
      <c r="A173" s="38" t="s">
        <v>166</v>
      </c>
      <c r="B173" s="38" t="s">
        <v>169</v>
      </c>
      <c r="C173" s="38" t="s">
        <v>57</v>
      </c>
      <c r="D173" s="38" t="s">
        <v>171</v>
      </c>
      <c r="E173" s="38" t="s">
        <v>2639</v>
      </c>
      <c r="F173" s="38" t="s">
        <v>2640</v>
      </c>
      <c r="G173" s="38" t="s">
        <v>2641</v>
      </c>
      <c r="H173" s="38" t="s">
        <v>54</v>
      </c>
      <c r="I173" s="38" t="s">
        <v>55</v>
      </c>
      <c r="J173" s="38" t="s">
        <v>56</v>
      </c>
      <c r="K173" s="37">
        <v>5.468E8</v>
      </c>
      <c r="L173" s="38" t="s">
        <v>52</v>
      </c>
      <c r="M173" s="38" t="s">
        <v>1771</v>
      </c>
      <c r="N173" s="38" t="s">
        <v>170</v>
      </c>
      <c r="O173" s="38" t="s">
        <v>4206</v>
      </c>
      <c r="P173" s="37">
        <v>2.375</v>
      </c>
      <c r="Q173" s="38" t="s">
        <v>4167</v>
      </c>
      <c r="R173" s="38" t="s">
        <v>226</v>
      </c>
      <c r="S173" s="38" t="s">
        <v>175</v>
      </c>
      <c r="T173" s="38" t="s">
        <v>115</v>
      </c>
      <c r="U173" s="38" t="s">
        <v>53</v>
      </c>
      <c r="V173" s="38" t="s">
        <v>2642</v>
      </c>
      <c r="W173" s="37">
        <v>2.042</v>
      </c>
    </row>
    <row r="174">
      <c r="A174" s="38" t="s">
        <v>1560</v>
      </c>
      <c r="B174" s="38" t="s">
        <v>1563</v>
      </c>
      <c r="C174" s="38" t="s">
        <v>57</v>
      </c>
      <c r="D174" s="38" t="s">
        <v>258</v>
      </c>
      <c r="E174" s="38" t="s">
        <v>2740</v>
      </c>
      <c r="F174" s="38" t="s">
        <v>2741</v>
      </c>
      <c r="G174" s="38" t="s">
        <v>2742</v>
      </c>
      <c r="H174" s="38" t="s">
        <v>54</v>
      </c>
      <c r="I174" s="38" t="s">
        <v>55</v>
      </c>
      <c r="J174" s="38" t="s">
        <v>56</v>
      </c>
      <c r="K174" s="37">
        <v>5.4336E8</v>
      </c>
      <c r="L174" s="38" t="s">
        <v>52</v>
      </c>
      <c r="M174" s="38" t="s">
        <v>1771</v>
      </c>
      <c r="N174" s="38" t="s">
        <v>367</v>
      </c>
      <c r="O174" s="38" t="s">
        <v>4208</v>
      </c>
      <c r="P174" s="37">
        <v>2.5</v>
      </c>
      <c r="Q174" s="38" t="s">
        <v>4209</v>
      </c>
      <c r="R174" s="38" t="s">
        <v>174</v>
      </c>
      <c r="S174" s="38" t="s">
        <v>175</v>
      </c>
      <c r="T174" s="38" t="s">
        <v>49</v>
      </c>
      <c r="U174" s="38" t="s">
        <v>53</v>
      </c>
      <c r="V174" s="38" t="s">
        <v>2743</v>
      </c>
      <c r="W174" s="37">
        <v>2.237</v>
      </c>
    </row>
    <row r="175">
      <c r="A175" s="38" t="s">
        <v>1560</v>
      </c>
      <c r="B175" s="38" t="s">
        <v>1563</v>
      </c>
      <c r="C175" s="38" t="s">
        <v>57</v>
      </c>
      <c r="D175" s="38" t="s">
        <v>258</v>
      </c>
      <c r="E175" s="38" t="s">
        <v>2744</v>
      </c>
      <c r="F175" s="38" t="s">
        <v>2745</v>
      </c>
      <c r="G175" s="38" t="s">
        <v>2746</v>
      </c>
      <c r="H175" s="38" t="s">
        <v>54</v>
      </c>
      <c r="I175" s="38" t="s">
        <v>55</v>
      </c>
      <c r="J175" s="38" t="s">
        <v>56</v>
      </c>
      <c r="K175" s="37">
        <v>5.4336E8</v>
      </c>
      <c r="L175" s="38" t="s">
        <v>52</v>
      </c>
      <c r="M175" s="38" t="s">
        <v>1771</v>
      </c>
      <c r="N175" s="38" t="s">
        <v>367</v>
      </c>
      <c r="O175" s="38" t="s">
        <v>4208</v>
      </c>
      <c r="P175" s="37">
        <v>3.375</v>
      </c>
      <c r="Q175" s="38" t="s">
        <v>4210</v>
      </c>
      <c r="R175" s="38" t="s">
        <v>174</v>
      </c>
      <c r="S175" s="38" t="s">
        <v>175</v>
      </c>
      <c r="T175" s="38" t="s">
        <v>49</v>
      </c>
      <c r="U175" s="38" t="s">
        <v>53</v>
      </c>
      <c r="V175" s="38" t="s">
        <v>2747</v>
      </c>
      <c r="W175" s="37">
        <v>2.832</v>
      </c>
    </row>
    <row r="176">
      <c r="A176" s="38" t="s">
        <v>1133</v>
      </c>
      <c r="B176" s="38" t="s">
        <v>1136</v>
      </c>
      <c r="C176" s="38" t="s">
        <v>57</v>
      </c>
      <c r="D176" s="38" t="s">
        <v>45</v>
      </c>
      <c r="E176" s="38" t="s">
        <v>2602</v>
      </c>
      <c r="F176" s="38" t="s">
        <v>2603</v>
      </c>
      <c r="G176" s="38" t="s">
        <v>2604</v>
      </c>
      <c r="H176" s="38" t="s">
        <v>54</v>
      </c>
      <c r="I176" s="38" t="s">
        <v>421</v>
      </c>
      <c r="J176" s="38" t="s">
        <v>56</v>
      </c>
      <c r="K176" s="37">
        <v>3.385338E8</v>
      </c>
      <c r="L176" s="38" t="s">
        <v>52</v>
      </c>
      <c r="M176" s="38" t="s">
        <v>174</v>
      </c>
      <c r="N176" s="38" t="s">
        <v>45</v>
      </c>
      <c r="O176" s="38" t="s">
        <v>4211</v>
      </c>
      <c r="P176" s="37">
        <v>0.2725</v>
      </c>
      <c r="Q176" s="38" t="s">
        <v>4212</v>
      </c>
      <c r="R176" s="38" t="s">
        <v>226</v>
      </c>
      <c r="S176" s="38" t="s">
        <v>117</v>
      </c>
      <c r="T176" s="38" t="s">
        <v>49</v>
      </c>
      <c r="U176" s="38" t="s">
        <v>1807</v>
      </c>
      <c r="V176" s="38" t="s">
        <v>2605</v>
      </c>
      <c r="W176" s="37">
        <v>-0.056</v>
      </c>
    </row>
    <row r="177">
      <c r="A177" s="38" t="s">
        <v>477</v>
      </c>
      <c r="B177" s="38" t="s">
        <v>480</v>
      </c>
      <c r="C177" s="38" t="s">
        <v>57</v>
      </c>
      <c r="D177" s="38" t="s">
        <v>45</v>
      </c>
      <c r="E177" s="38" t="s">
        <v>1941</v>
      </c>
      <c r="F177" s="38" t="s">
        <v>1942</v>
      </c>
      <c r="G177" s="38" t="s">
        <v>1943</v>
      </c>
      <c r="H177" s="38" t="s">
        <v>54</v>
      </c>
      <c r="I177" s="38" t="s">
        <v>55</v>
      </c>
      <c r="J177" s="38" t="s">
        <v>56</v>
      </c>
      <c r="K177" s="37">
        <v>8.111775E7</v>
      </c>
      <c r="L177" s="38" t="s">
        <v>483</v>
      </c>
      <c r="M177" s="38" t="s">
        <v>174</v>
      </c>
      <c r="N177" s="38" t="s">
        <v>45</v>
      </c>
      <c r="O177" s="38" t="s">
        <v>4213</v>
      </c>
      <c r="P177" s="37">
        <v>0.45</v>
      </c>
      <c r="Q177" s="38" t="s">
        <v>4214</v>
      </c>
      <c r="R177" s="38" t="s">
        <v>226</v>
      </c>
      <c r="S177" s="38" t="s">
        <v>484</v>
      </c>
      <c r="T177" s="38" t="s">
        <v>49</v>
      </c>
      <c r="U177" s="38" t="s">
        <v>53</v>
      </c>
      <c r="V177" s="38" t="s">
        <v>1944</v>
      </c>
      <c r="W177" s="38" t="s">
        <v>54</v>
      </c>
    </row>
    <row r="178">
      <c r="A178" s="38" t="s">
        <v>477</v>
      </c>
      <c r="B178" s="38" t="s">
        <v>480</v>
      </c>
      <c r="C178" s="38" t="s">
        <v>57</v>
      </c>
      <c r="D178" s="38" t="s">
        <v>45</v>
      </c>
      <c r="E178" s="38" t="s">
        <v>1945</v>
      </c>
      <c r="F178" s="38" t="s">
        <v>1946</v>
      </c>
      <c r="G178" s="38" t="s">
        <v>1947</v>
      </c>
      <c r="H178" s="38" t="s">
        <v>54</v>
      </c>
      <c r="I178" s="38" t="s">
        <v>55</v>
      </c>
      <c r="J178" s="38" t="s">
        <v>56</v>
      </c>
      <c r="K178" s="37">
        <v>5.45015E7</v>
      </c>
      <c r="L178" s="38" t="s">
        <v>483</v>
      </c>
      <c r="M178" s="38" t="s">
        <v>174</v>
      </c>
      <c r="N178" s="38" t="s">
        <v>45</v>
      </c>
      <c r="O178" s="38" t="s">
        <v>4215</v>
      </c>
      <c r="P178" s="37">
        <v>0.46</v>
      </c>
      <c r="Q178" s="38" t="s">
        <v>4216</v>
      </c>
      <c r="R178" s="38" t="s">
        <v>226</v>
      </c>
      <c r="S178" s="38" t="s">
        <v>484</v>
      </c>
      <c r="T178" s="38" t="s">
        <v>49</v>
      </c>
      <c r="U178" s="38" t="s">
        <v>53</v>
      </c>
      <c r="V178" s="38" t="s">
        <v>1948</v>
      </c>
      <c r="W178" s="37">
        <v>0.297</v>
      </c>
    </row>
    <row r="179">
      <c r="A179" s="38" t="s">
        <v>477</v>
      </c>
      <c r="B179" s="38" t="s">
        <v>480</v>
      </c>
      <c r="C179" s="38" t="s">
        <v>57</v>
      </c>
      <c r="D179" s="38" t="s">
        <v>45</v>
      </c>
      <c r="E179" s="38" t="s">
        <v>1949</v>
      </c>
      <c r="F179" s="38" t="s">
        <v>1950</v>
      </c>
      <c r="G179" s="38" t="s">
        <v>1951</v>
      </c>
      <c r="H179" s="38" t="s">
        <v>54</v>
      </c>
      <c r="I179" s="38" t="s">
        <v>55</v>
      </c>
      <c r="J179" s="38" t="s">
        <v>56</v>
      </c>
      <c r="K179" s="37">
        <v>2.734325E7</v>
      </c>
      <c r="L179" s="38" t="s">
        <v>483</v>
      </c>
      <c r="M179" s="38" t="s">
        <v>174</v>
      </c>
      <c r="N179" s="38" t="s">
        <v>45</v>
      </c>
      <c r="O179" s="38" t="s">
        <v>4217</v>
      </c>
      <c r="P179" s="37">
        <v>0.45</v>
      </c>
      <c r="Q179" s="38" t="s">
        <v>4216</v>
      </c>
      <c r="R179" s="38" t="s">
        <v>226</v>
      </c>
      <c r="S179" s="38" t="s">
        <v>484</v>
      </c>
      <c r="T179" s="38" t="s">
        <v>49</v>
      </c>
      <c r="U179" s="38" t="s">
        <v>53</v>
      </c>
      <c r="V179" s="38" t="s">
        <v>1952</v>
      </c>
      <c r="W179" s="38" t="s">
        <v>54</v>
      </c>
    </row>
    <row r="180">
      <c r="A180" s="38" t="s">
        <v>477</v>
      </c>
      <c r="B180" s="38" t="s">
        <v>480</v>
      </c>
      <c r="C180" s="38" t="s">
        <v>57</v>
      </c>
      <c r="D180" s="38" t="s">
        <v>45</v>
      </c>
      <c r="E180" s="38" t="s">
        <v>1953</v>
      </c>
      <c r="F180" s="38" t="s">
        <v>1954</v>
      </c>
      <c r="G180" s="38" t="s">
        <v>1955</v>
      </c>
      <c r="H180" s="38" t="s">
        <v>54</v>
      </c>
      <c r="I180" s="38" t="s">
        <v>55</v>
      </c>
      <c r="J180" s="38" t="s">
        <v>56</v>
      </c>
      <c r="K180" s="37">
        <v>1.09373E7</v>
      </c>
      <c r="L180" s="38" t="s">
        <v>483</v>
      </c>
      <c r="M180" s="38" t="s">
        <v>174</v>
      </c>
      <c r="N180" s="38" t="s">
        <v>45</v>
      </c>
      <c r="O180" s="38" t="s">
        <v>4217</v>
      </c>
      <c r="P180" s="37">
        <v>0.49</v>
      </c>
      <c r="Q180" s="38" t="s">
        <v>4067</v>
      </c>
      <c r="R180" s="38" t="s">
        <v>226</v>
      </c>
      <c r="S180" s="38" t="s">
        <v>484</v>
      </c>
      <c r="T180" s="38" t="s">
        <v>49</v>
      </c>
      <c r="U180" s="38" t="s">
        <v>53</v>
      </c>
      <c r="V180" s="38" t="s">
        <v>1956</v>
      </c>
      <c r="W180" s="37">
        <v>0.297</v>
      </c>
    </row>
    <row r="181">
      <c r="A181" s="38" t="s">
        <v>614</v>
      </c>
      <c r="B181" s="38" t="s">
        <v>617</v>
      </c>
      <c r="C181" s="38" t="s">
        <v>57</v>
      </c>
      <c r="D181" s="38" t="s">
        <v>200</v>
      </c>
      <c r="E181" s="38" t="s">
        <v>2493</v>
      </c>
      <c r="F181" s="38" t="s">
        <v>2494</v>
      </c>
      <c r="G181" s="38" t="s">
        <v>2495</v>
      </c>
      <c r="H181" s="38" t="s">
        <v>54</v>
      </c>
      <c r="I181" s="38" t="s">
        <v>117</v>
      </c>
      <c r="J181" s="38" t="s">
        <v>56</v>
      </c>
      <c r="K181" s="37">
        <v>1.09093E9</v>
      </c>
      <c r="L181" s="38" t="s">
        <v>52</v>
      </c>
      <c r="M181" s="38" t="s">
        <v>1771</v>
      </c>
      <c r="N181" s="38" t="s">
        <v>200</v>
      </c>
      <c r="O181" s="38" t="s">
        <v>4218</v>
      </c>
      <c r="P181" s="37">
        <v>1.25</v>
      </c>
      <c r="Q181" s="38" t="s">
        <v>4219</v>
      </c>
      <c r="R181" s="38" t="s">
        <v>226</v>
      </c>
      <c r="S181" s="38" t="s">
        <v>620</v>
      </c>
      <c r="T181" s="38" t="s">
        <v>49</v>
      </c>
      <c r="U181" s="38" t="s">
        <v>53</v>
      </c>
      <c r="V181" s="38" t="s">
        <v>2496</v>
      </c>
      <c r="W181" s="37">
        <v>1.382</v>
      </c>
    </row>
    <row r="182">
      <c r="A182" s="38" t="s">
        <v>614</v>
      </c>
      <c r="B182" s="38" t="s">
        <v>617</v>
      </c>
      <c r="C182" s="38" t="s">
        <v>57</v>
      </c>
      <c r="D182" s="38" t="s">
        <v>200</v>
      </c>
      <c r="E182" s="38" t="s">
        <v>2497</v>
      </c>
      <c r="F182" s="38" t="s">
        <v>2498</v>
      </c>
      <c r="G182" s="38" t="s">
        <v>2499</v>
      </c>
      <c r="H182" s="38" t="s">
        <v>54</v>
      </c>
      <c r="I182" s="38" t="s">
        <v>117</v>
      </c>
      <c r="J182" s="38" t="s">
        <v>56</v>
      </c>
      <c r="K182" s="37">
        <v>1.09093E9</v>
      </c>
      <c r="L182" s="38" t="s">
        <v>52</v>
      </c>
      <c r="M182" s="38" t="s">
        <v>1771</v>
      </c>
      <c r="N182" s="38" t="s">
        <v>200</v>
      </c>
      <c r="O182" s="38" t="s">
        <v>4218</v>
      </c>
      <c r="P182" s="37">
        <v>2.0</v>
      </c>
      <c r="Q182" s="38" t="s">
        <v>4220</v>
      </c>
      <c r="R182" s="38" t="s">
        <v>226</v>
      </c>
      <c r="S182" s="38" t="s">
        <v>620</v>
      </c>
      <c r="T182" s="38" t="s">
        <v>49</v>
      </c>
      <c r="U182" s="38" t="s">
        <v>53</v>
      </c>
      <c r="V182" s="38" t="s">
        <v>2500</v>
      </c>
      <c r="W182" s="37">
        <v>1.977</v>
      </c>
    </row>
    <row r="183">
      <c r="A183" s="38" t="s">
        <v>477</v>
      </c>
      <c r="B183" s="38" t="s">
        <v>480</v>
      </c>
      <c r="C183" s="38" t="s">
        <v>392</v>
      </c>
      <c r="D183" s="38" t="s">
        <v>45</v>
      </c>
      <c r="E183" s="38" t="s">
        <v>1957</v>
      </c>
      <c r="F183" s="38" t="s">
        <v>1958</v>
      </c>
      <c r="G183" s="38" t="s">
        <v>1959</v>
      </c>
      <c r="H183" s="38" t="s">
        <v>54</v>
      </c>
      <c r="I183" s="38" t="s">
        <v>55</v>
      </c>
      <c r="J183" s="38" t="s">
        <v>70</v>
      </c>
      <c r="K183" s="37">
        <v>7.309231E8</v>
      </c>
      <c r="L183" s="38" t="s">
        <v>459</v>
      </c>
      <c r="M183" s="38" t="s">
        <v>1771</v>
      </c>
      <c r="N183" s="38" t="s">
        <v>45</v>
      </c>
      <c r="O183" s="38" t="s">
        <v>4218</v>
      </c>
      <c r="P183" s="37">
        <v>0.0</v>
      </c>
      <c r="Q183" s="38" t="s">
        <v>4077</v>
      </c>
      <c r="R183" s="38" t="s">
        <v>226</v>
      </c>
      <c r="S183" s="38" t="s">
        <v>190</v>
      </c>
      <c r="T183" s="38" t="s">
        <v>49</v>
      </c>
      <c r="U183" s="38" t="s">
        <v>53</v>
      </c>
      <c r="V183" s="38" t="s">
        <v>1960</v>
      </c>
      <c r="W183" s="37">
        <v>-0.079</v>
      </c>
    </row>
    <row r="184">
      <c r="A184" s="38" t="s">
        <v>917</v>
      </c>
      <c r="B184" s="38" t="s">
        <v>920</v>
      </c>
      <c r="C184" s="38" t="s">
        <v>57</v>
      </c>
      <c r="D184" s="38" t="s">
        <v>185</v>
      </c>
      <c r="E184" s="38" t="s">
        <v>2913</v>
      </c>
      <c r="F184" s="38" t="s">
        <v>2914</v>
      </c>
      <c r="G184" s="38" t="s">
        <v>2915</v>
      </c>
      <c r="H184" s="38" t="s">
        <v>54</v>
      </c>
      <c r="I184" s="38" t="s">
        <v>421</v>
      </c>
      <c r="J184" s="38" t="s">
        <v>56</v>
      </c>
      <c r="K184" s="37">
        <v>6.58542E8</v>
      </c>
      <c r="L184" s="38" t="s">
        <v>52</v>
      </c>
      <c r="M184" s="38" t="s">
        <v>1771</v>
      </c>
      <c r="N184" s="38" t="s">
        <v>185</v>
      </c>
      <c r="O184" s="38" t="s">
        <v>4221</v>
      </c>
      <c r="P184" s="37">
        <v>0.75</v>
      </c>
      <c r="Q184" s="38" t="s">
        <v>4222</v>
      </c>
      <c r="R184" s="38" t="s">
        <v>174</v>
      </c>
      <c r="S184" s="38" t="s">
        <v>190</v>
      </c>
      <c r="T184" s="38" t="s">
        <v>115</v>
      </c>
      <c r="U184" s="38" t="s">
        <v>53</v>
      </c>
      <c r="V184" s="38" t="s">
        <v>2916</v>
      </c>
      <c r="W184" s="37">
        <v>0.766</v>
      </c>
    </row>
    <row r="185">
      <c r="A185" s="38" t="s">
        <v>477</v>
      </c>
      <c r="B185" s="38" t="s">
        <v>480</v>
      </c>
      <c r="C185" s="38" t="s">
        <v>57</v>
      </c>
      <c r="D185" s="38" t="s">
        <v>45</v>
      </c>
      <c r="E185" s="38" t="s">
        <v>1961</v>
      </c>
      <c r="F185" s="38" t="s">
        <v>1962</v>
      </c>
      <c r="G185" s="38" t="s">
        <v>1963</v>
      </c>
      <c r="H185" s="37">
        <v>-0.286</v>
      </c>
      <c r="I185" s="38" t="s">
        <v>55</v>
      </c>
      <c r="J185" s="38" t="s">
        <v>56</v>
      </c>
      <c r="K185" s="37">
        <v>1.693575E7</v>
      </c>
      <c r="L185" s="38" t="s">
        <v>459</v>
      </c>
      <c r="M185" s="38" t="s">
        <v>174</v>
      </c>
      <c r="N185" s="38" t="s">
        <v>45</v>
      </c>
      <c r="O185" s="38" t="s">
        <v>4223</v>
      </c>
      <c r="P185" s="37">
        <v>0.01</v>
      </c>
      <c r="Q185" s="38" t="s">
        <v>4224</v>
      </c>
      <c r="R185" s="38" t="s">
        <v>226</v>
      </c>
      <c r="S185" s="38" t="s">
        <v>190</v>
      </c>
      <c r="T185" s="38" t="s">
        <v>49</v>
      </c>
      <c r="U185" s="38" t="s">
        <v>53</v>
      </c>
      <c r="V185" s="38" t="s">
        <v>1964</v>
      </c>
      <c r="W185" s="38" t="s">
        <v>54</v>
      </c>
    </row>
    <row r="186">
      <c r="A186" s="38" t="s">
        <v>181</v>
      </c>
      <c r="B186" s="38" t="s">
        <v>184</v>
      </c>
      <c r="C186" s="38" t="s">
        <v>57</v>
      </c>
      <c r="D186" s="38" t="s">
        <v>186</v>
      </c>
      <c r="E186" s="38" t="s">
        <v>3181</v>
      </c>
      <c r="F186" s="38" t="s">
        <v>3182</v>
      </c>
      <c r="G186" s="38" t="s">
        <v>3183</v>
      </c>
      <c r="H186" s="37">
        <v>0.08</v>
      </c>
      <c r="I186" s="38" t="s">
        <v>133</v>
      </c>
      <c r="J186" s="38" t="s">
        <v>56</v>
      </c>
      <c r="K186" s="37">
        <v>5.6181E8</v>
      </c>
      <c r="L186" s="38" t="s">
        <v>52</v>
      </c>
      <c r="M186" s="38" t="s">
        <v>1771</v>
      </c>
      <c r="N186" s="38" t="s">
        <v>185</v>
      </c>
      <c r="O186" s="38" t="s">
        <v>4225</v>
      </c>
      <c r="P186" s="37">
        <v>0.0</v>
      </c>
      <c r="Q186" s="38" t="s">
        <v>4083</v>
      </c>
      <c r="R186" s="38" t="s">
        <v>226</v>
      </c>
      <c r="S186" s="38" t="s">
        <v>190</v>
      </c>
      <c r="T186" s="38" t="s">
        <v>115</v>
      </c>
      <c r="U186" s="38" t="s">
        <v>53</v>
      </c>
      <c r="V186" s="38" t="s">
        <v>3184</v>
      </c>
      <c r="W186" s="37">
        <v>-0.038</v>
      </c>
    </row>
    <row r="187">
      <c r="A187" s="38" t="s">
        <v>477</v>
      </c>
      <c r="B187" s="38" t="s">
        <v>480</v>
      </c>
      <c r="C187" s="38" t="s">
        <v>392</v>
      </c>
      <c r="D187" s="38" t="s">
        <v>45</v>
      </c>
      <c r="E187" s="38" t="s">
        <v>1965</v>
      </c>
      <c r="F187" s="38" t="s">
        <v>1966</v>
      </c>
      <c r="G187" s="38" t="s">
        <v>1967</v>
      </c>
      <c r="H187" s="38" t="s">
        <v>54</v>
      </c>
      <c r="I187" s="38" t="s">
        <v>55</v>
      </c>
      <c r="J187" s="38" t="s">
        <v>70</v>
      </c>
      <c r="K187" s="37">
        <v>4.51416E8</v>
      </c>
      <c r="L187" s="38" t="s">
        <v>459</v>
      </c>
      <c r="M187" s="38" t="s">
        <v>174</v>
      </c>
      <c r="N187" s="38" t="s">
        <v>45</v>
      </c>
      <c r="O187" s="38" t="s">
        <v>4226</v>
      </c>
      <c r="P187" s="37">
        <v>0.0</v>
      </c>
      <c r="Q187" s="38" t="s">
        <v>4227</v>
      </c>
      <c r="R187" s="38" t="s">
        <v>226</v>
      </c>
      <c r="S187" s="38" t="s">
        <v>190</v>
      </c>
      <c r="T187" s="38" t="s">
        <v>49</v>
      </c>
      <c r="U187" s="38" t="s">
        <v>53</v>
      </c>
      <c r="V187" s="38" t="s">
        <v>1968</v>
      </c>
      <c r="W187" s="37">
        <v>-0.083</v>
      </c>
    </row>
    <row r="188">
      <c r="A188" s="38" t="s">
        <v>1360</v>
      </c>
      <c r="B188" s="38" t="s">
        <v>1363</v>
      </c>
      <c r="C188" s="38" t="s">
        <v>57</v>
      </c>
      <c r="D188" s="38" t="s">
        <v>200</v>
      </c>
      <c r="E188" s="38" t="s">
        <v>3229</v>
      </c>
      <c r="F188" s="38" t="s">
        <v>3230</v>
      </c>
      <c r="G188" s="38" t="s">
        <v>3231</v>
      </c>
      <c r="H188" s="37">
        <v>0.765</v>
      </c>
      <c r="I188" s="38" t="s">
        <v>117</v>
      </c>
      <c r="J188" s="38" t="s">
        <v>56</v>
      </c>
      <c r="K188" s="37">
        <v>8.423325E8</v>
      </c>
      <c r="L188" s="38" t="s">
        <v>52</v>
      </c>
      <c r="M188" s="38" t="s">
        <v>3232</v>
      </c>
      <c r="N188" s="38" t="s">
        <v>200</v>
      </c>
      <c r="O188" s="38" t="s">
        <v>4228</v>
      </c>
      <c r="P188" s="37">
        <v>0.75</v>
      </c>
      <c r="Q188" s="38" t="s">
        <v>652</v>
      </c>
      <c r="R188" s="38" t="s">
        <v>226</v>
      </c>
      <c r="S188" s="38" t="s">
        <v>175</v>
      </c>
      <c r="T188" s="38" t="s">
        <v>115</v>
      </c>
      <c r="U188" s="38" t="s">
        <v>53</v>
      </c>
      <c r="V188" s="38" t="s">
        <v>3233</v>
      </c>
      <c r="W188" s="37">
        <v>0.66</v>
      </c>
    </row>
    <row r="189">
      <c r="A189" s="38" t="s">
        <v>671</v>
      </c>
      <c r="B189" s="38" t="s">
        <v>674</v>
      </c>
      <c r="C189" s="38" t="s">
        <v>57</v>
      </c>
      <c r="D189" s="38" t="s">
        <v>185</v>
      </c>
      <c r="E189" s="38" t="s">
        <v>2375</v>
      </c>
      <c r="F189" s="38" t="s">
        <v>2376</v>
      </c>
      <c r="G189" s="38" t="s">
        <v>2377</v>
      </c>
      <c r="H189" s="37">
        <v>1.3800000000000001</v>
      </c>
      <c r="I189" s="38" t="s">
        <v>421</v>
      </c>
      <c r="J189" s="38" t="s">
        <v>56</v>
      </c>
      <c r="K189" s="37">
        <v>6.71616E8</v>
      </c>
      <c r="L189" s="38" t="s">
        <v>52</v>
      </c>
      <c r="M189" s="38" t="s">
        <v>1771</v>
      </c>
      <c r="N189" s="38" t="s">
        <v>185</v>
      </c>
      <c r="O189" s="38" t="s">
        <v>4229</v>
      </c>
      <c r="P189" s="37">
        <v>1.375</v>
      </c>
      <c r="Q189" s="38" t="s">
        <v>4230</v>
      </c>
      <c r="R189" s="38" t="s">
        <v>174</v>
      </c>
      <c r="S189" s="38" t="s">
        <v>190</v>
      </c>
      <c r="T189" s="38" t="s">
        <v>115</v>
      </c>
      <c r="U189" s="38" t="s">
        <v>53</v>
      </c>
      <c r="V189" s="38" t="s">
        <v>2378</v>
      </c>
      <c r="W189" s="37">
        <v>1.306</v>
      </c>
    </row>
    <row r="190">
      <c r="A190" s="38" t="s">
        <v>345</v>
      </c>
      <c r="B190" s="38" t="s">
        <v>348</v>
      </c>
      <c r="C190" s="38" t="s">
        <v>71</v>
      </c>
      <c r="D190" s="38" t="s">
        <v>186</v>
      </c>
      <c r="E190" s="38" t="s">
        <v>2312</v>
      </c>
      <c r="F190" s="38" t="s">
        <v>2313</v>
      </c>
      <c r="G190" s="38" t="s">
        <v>2314</v>
      </c>
      <c r="H190" s="37">
        <v>5.625</v>
      </c>
      <c r="I190" s="38" t="s">
        <v>55</v>
      </c>
      <c r="J190" s="38" t="s">
        <v>56</v>
      </c>
      <c r="K190" s="37">
        <v>3.25E8</v>
      </c>
      <c r="L190" s="38" t="s">
        <v>52</v>
      </c>
      <c r="M190" s="38" t="s">
        <v>1776</v>
      </c>
      <c r="N190" s="38" t="s">
        <v>185</v>
      </c>
      <c r="O190" s="38" t="s">
        <v>4231</v>
      </c>
      <c r="P190" s="37">
        <v>5.625</v>
      </c>
      <c r="Q190" s="38" t="s">
        <v>505</v>
      </c>
      <c r="R190" s="38" t="s">
        <v>262</v>
      </c>
      <c r="S190" s="38" t="s">
        <v>351</v>
      </c>
      <c r="T190" s="38" t="s">
        <v>115</v>
      </c>
      <c r="U190" s="38" t="s">
        <v>263</v>
      </c>
      <c r="V190" s="38" t="s">
        <v>2315</v>
      </c>
      <c r="W190" s="37">
        <v>5.702</v>
      </c>
    </row>
    <row r="191">
      <c r="A191" s="38" t="s">
        <v>345</v>
      </c>
      <c r="B191" s="38" t="s">
        <v>348</v>
      </c>
      <c r="C191" s="38" t="s">
        <v>71</v>
      </c>
      <c r="D191" s="38" t="s">
        <v>186</v>
      </c>
      <c r="E191" s="38" t="s">
        <v>2316</v>
      </c>
      <c r="F191" s="38" t="s">
        <v>2317</v>
      </c>
      <c r="G191" s="38" t="s">
        <v>2318</v>
      </c>
      <c r="H191" s="37">
        <v>5.625</v>
      </c>
      <c r="I191" s="38" t="s">
        <v>55</v>
      </c>
      <c r="J191" s="38" t="s">
        <v>56</v>
      </c>
      <c r="K191" s="37">
        <v>3.25E8</v>
      </c>
      <c r="L191" s="38" t="s">
        <v>52</v>
      </c>
      <c r="M191" s="38" t="s">
        <v>1776</v>
      </c>
      <c r="N191" s="38" t="s">
        <v>185</v>
      </c>
      <c r="O191" s="38" t="s">
        <v>4231</v>
      </c>
      <c r="P191" s="37">
        <v>5.625</v>
      </c>
      <c r="Q191" s="38" t="s">
        <v>505</v>
      </c>
      <c r="R191" s="38" t="s">
        <v>271</v>
      </c>
      <c r="S191" s="38" t="s">
        <v>351</v>
      </c>
      <c r="T191" s="38" t="s">
        <v>115</v>
      </c>
      <c r="U191" s="38" t="s">
        <v>263</v>
      </c>
      <c r="V191" s="38" t="s">
        <v>2319</v>
      </c>
      <c r="W191" s="37">
        <v>5.652</v>
      </c>
    </row>
    <row r="192">
      <c r="A192" s="38" t="s">
        <v>1262</v>
      </c>
      <c r="B192" s="38" t="s">
        <v>1265</v>
      </c>
      <c r="C192" s="38" t="s">
        <v>71</v>
      </c>
      <c r="D192" s="38" t="s">
        <v>408</v>
      </c>
      <c r="E192" s="38" t="s">
        <v>2594</v>
      </c>
      <c r="F192" s="38" t="s">
        <v>2595</v>
      </c>
      <c r="G192" s="38" t="s">
        <v>2596</v>
      </c>
      <c r="H192" s="38" t="s">
        <v>54</v>
      </c>
      <c r="I192" s="38" t="s">
        <v>55</v>
      </c>
      <c r="J192" s="38" t="s">
        <v>56</v>
      </c>
      <c r="K192" s="37">
        <v>5.6209E8</v>
      </c>
      <c r="L192" s="38" t="s">
        <v>118</v>
      </c>
      <c r="M192" s="38" t="s">
        <v>174</v>
      </c>
      <c r="N192" s="38" t="s">
        <v>408</v>
      </c>
      <c r="O192" s="38" t="s">
        <v>4232</v>
      </c>
      <c r="P192" s="37">
        <v>2.75</v>
      </c>
      <c r="Q192" s="38" t="s">
        <v>4233</v>
      </c>
      <c r="R192" s="38" t="s">
        <v>174</v>
      </c>
      <c r="S192" s="38" t="s">
        <v>54</v>
      </c>
      <c r="T192" s="38" t="s">
        <v>49</v>
      </c>
      <c r="U192" s="38" t="s">
        <v>53</v>
      </c>
      <c r="V192" s="38" t="s">
        <v>2597</v>
      </c>
      <c r="W192" s="37">
        <v>2.745</v>
      </c>
    </row>
    <row r="193">
      <c r="A193" s="38" t="s">
        <v>477</v>
      </c>
      <c r="B193" s="38" t="s">
        <v>480</v>
      </c>
      <c r="C193" s="38" t="s">
        <v>57</v>
      </c>
      <c r="D193" s="38" t="s">
        <v>45</v>
      </c>
      <c r="E193" s="38" t="s">
        <v>1969</v>
      </c>
      <c r="F193" s="38" t="s">
        <v>1970</v>
      </c>
      <c r="G193" s="38" t="s">
        <v>1971</v>
      </c>
      <c r="H193" s="38" t="s">
        <v>54</v>
      </c>
      <c r="I193" s="38" t="s">
        <v>55</v>
      </c>
      <c r="J193" s="38" t="s">
        <v>56</v>
      </c>
      <c r="K193" s="37">
        <v>1.14386E7</v>
      </c>
      <c r="L193" s="38" t="s">
        <v>459</v>
      </c>
      <c r="M193" s="38" t="s">
        <v>1771</v>
      </c>
      <c r="N193" s="38" t="s">
        <v>45</v>
      </c>
      <c r="O193" s="38" t="s">
        <v>4234</v>
      </c>
      <c r="P193" s="37">
        <v>0.895</v>
      </c>
      <c r="Q193" s="38" t="s">
        <v>4235</v>
      </c>
      <c r="R193" s="38" t="s">
        <v>226</v>
      </c>
      <c r="S193" s="38" t="s">
        <v>190</v>
      </c>
      <c r="T193" s="38" t="s">
        <v>115</v>
      </c>
      <c r="U193" s="38" t="s">
        <v>53</v>
      </c>
      <c r="V193" s="38" t="s">
        <v>1972</v>
      </c>
      <c r="W193" s="37">
        <v>0.882</v>
      </c>
    </row>
    <row r="194">
      <c r="A194" s="38" t="s">
        <v>1076</v>
      </c>
      <c r="B194" s="38" t="s">
        <v>1079</v>
      </c>
      <c r="C194" s="38" t="s">
        <v>71</v>
      </c>
      <c r="D194" s="38" t="s">
        <v>185</v>
      </c>
      <c r="E194" s="38" t="s">
        <v>2575</v>
      </c>
      <c r="F194" s="38" t="s">
        <v>2576</v>
      </c>
      <c r="G194" s="38" t="s">
        <v>2577</v>
      </c>
      <c r="H194" s="37">
        <v>3.75</v>
      </c>
      <c r="I194" s="38" t="s">
        <v>885</v>
      </c>
      <c r="J194" s="38" t="s">
        <v>56</v>
      </c>
      <c r="K194" s="37">
        <v>8.25398E8</v>
      </c>
      <c r="L194" s="38" t="s">
        <v>52</v>
      </c>
      <c r="M194" s="38" t="s">
        <v>1776</v>
      </c>
      <c r="N194" s="38" t="s">
        <v>185</v>
      </c>
      <c r="O194" s="38" t="s">
        <v>4236</v>
      </c>
      <c r="P194" s="37">
        <v>3.75</v>
      </c>
      <c r="Q194" s="38" t="s">
        <v>505</v>
      </c>
      <c r="R194" s="38" t="s">
        <v>174</v>
      </c>
      <c r="S194" s="38" t="s">
        <v>885</v>
      </c>
      <c r="T194" s="38" t="s">
        <v>115</v>
      </c>
      <c r="U194" s="38" t="s">
        <v>53</v>
      </c>
      <c r="V194" s="38" t="s">
        <v>2578</v>
      </c>
      <c r="W194" s="37">
        <v>3.691</v>
      </c>
    </row>
    <row r="195">
      <c r="A195" s="38" t="s">
        <v>775</v>
      </c>
      <c r="B195" s="38" t="s">
        <v>778</v>
      </c>
      <c r="C195" s="38" t="s">
        <v>57</v>
      </c>
      <c r="D195" s="38" t="s">
        <v>200</v>
      </c>
      <c r="E195" s="38" t="s">
        <v>1778</v>
      </c>
      <c r="F195" s="38" t="s">
        <v>1779</v>
      </c>
      <c r="G195" s="38" t="s">
        <v>1780</v>
      </c>
      <c r="H195" s="38" t="s">
        <v>54</v>
      </c>
      <c r="I195" s="38" t="s">
        <v>55</v>
      </c>
      <c r="J195" s="38" t="s">
        <v>56</v>
      </c>
      <c r="K195" s="37">
        <v>5.8753E8</v>
      </c>
      <c r="L195" s="38" t="s">
        <v>52</v>
      </c>
      <c r="M195" s="38" t="s">
        <v>1776</v>
      </c>
      <c r="N195" s="38" t="s">
        <v>200</v>
      </c>
      <c r="O195" s="38" t="s">
        <v>4237</v>
      </c>
      <c r="P195" s="37">
        <v>0.625</v>
      </c>
      <c r="Q195" s="38" t="s">
        <v>4238</v>
      </c>
      <c r="R195" s="38" t="s">
        <v>226</v>
      </c>
      <c r="S195" s="38" t="s">
        <v>175</v>
      </c>
      <c r="T195" s="38" t="s">
        <v>115</v>
      </c>
      <c r="U195" s="38" t="s">
        <v>53</v>
      </c>
      <c r="V195" s="38" t="s">
        <v>1781</v>
      </c>
      <c r="W195" s="37">
        <v>0.609</v>
      </c>
    </row>
    <row r="196">
      <c r="A196" s="38" t="s">
        <v>477</v>
      </c>
      <c r="B196" s="38" t="s">
        <v>480</v>
      </c>
      <c r="C196" s="38" t="s">
        <v>57</v>
      </c>
      <c r="D196" s="38" t="s">
        <v>45</v>
      </c>
      <c r="E196" s="38" t="s">
        <v>1973</v>
      </c>
      <c r="F196" s="38" t="s">
        <v>1974</v>
      </c>
      <c r="G196" s="38" t="s">
        <v>1975</v>
      </c>
      <c r="H196" s="38" t="s">
        <v>54</v>
      </c>
      <c r="I196" s="38" t="s">
        <v>55</v>
      </c>
      <c r="J196" s="38" t="s">
        <v>56</v>
      </c>
      <c r="K196" s="37">
        <v>7577635.0</v>
      </c>
      <c r="L196" s="38" t="s">
        <v>483</v>
      </c>
      <c r="M196" s="38" t="s">
        <v>174</v>
      </c>
      <c r="N196" s="38" t="s">
        <v>45</v>
      </c>
      <c r="O196" s="38" t="s">
        <v>4239</v>
      </c>
      <c r="P196" s="37">
        <v>0.44</v>
      </c>
      <c r="Q196" s="38" t="s">
        <v>4240</v>
      </c>
      <c r="R196" s="38" t="s">
        <v>226</v>
      </c>
      <c r="S196" s="38" t="s">
        <v>484</v>
      </c>
      <c r="T196" s="38" t="s">
        <v>115</v>
      </c>
      <c r="U196" s="38" t="s">
        <v>53</v>
      </c>
      <c r="V196" s="38" t="s">
        <v>1976</v>
      </c>
      <c r="W196" s="38" t="s">
        <v>54</v>
      </c>
    </row>
    <row r="197">
      <c r="A197" s="38" t="s">
        <v>1560</v>
      </c>
      <c r="B197" s="38" t="s">
        <v>1563</v>
      </c>
      <c r="C197" s="38" t="s">
        <v>71</v>
      </c>
      <c r="D197" s="38" t="s">
        <v>258</v>
      </c>
      <c r="E197" s="38" t="s">
        <v>2748</v>
      </c>
      <c r="F197" s="38" t="s">
        <v>2749</v>
      </c>
      <c r="G197" s="38" t="s">
        <v>2750</v>
      </c>
      <c r="H197" s="37">
        <v>2.235</v>
      </c>
      <c r="I197" s="38" t="s">
        <v>55</v>
      </c>
      <c r="J197" s="38" t="s">
        <v>56</v>
      </c>
      <c r="K197" s="37">
        <v>5.0E8</v>
      </c>
      <c r="L197" s="38" t="s">
        <v>52</v>
      </c>
      <c r="M197" s="38" t="s">
        <v>1776</v>
      </c>
      <c r="N197" s="38" t="s">
        <v>367</v>
      </c>
      <c r="O197" s="38" t="s">
        <v>172</v>
      </c>
      <c r="P197" s="37">
        <v>2.2</v>
      </c>
      <c r="Q197" s="38" t="s">
        <v>4241</v>
      </c>
      <c r="R197" s="38" t="s">
        <v>262</v>
      </c>
      <c r="S197" s="38" t="s">
        <v>175</v>
      </c>
      <c r="T197" s="38" t="s">
        <v>115</v>
      </c>
      <c r="U197" s="38" t="s">
        <v>263</v>
      </c>
      <c r="V197" s="38" t="s">
        <v>2751</v>
      </c>
      <c r="W197" s="38" t="s">
        <v>54</v>
      </c>
    </row>
    <row r="198">
      <c r="A198" s="38" t="s">
        <v>1560</v>
      </c>
      <c r="B198" s="38" t="s">
        <v>1563</v>
      </c>
      <c r="C198" s="38" t="s">
        <v>71</v>
      </c>
      <c r="D198" s="38" t="s">
        <v>258</v>
      </c>
      <c r="E198" s="38" t="s">
        <v>2752</v>
      </c>
      <c r="F198" s="38" t="s">
        <v>2753</v>
      </c>
      <c r="G198" s="38" t="s">
        <v>2754</v>
      </c>
      <c r="H198" s="37">
        <v>2.235</v>
      </c>
      <c r="I198" s="38" t="s">
        <v>55</v>
      </c>
      <c r="J198" s="38" t="s">
        <v>56</v>
      </c>
      <c r="K198" s="37">
        <v>5.0E8</v>
      </c>
      <c r="L198" s="38" t="s">
        <v>52</v>
      </c>
      <c r="M198" s="38" t="s">
        <v>1776</v>
      </c>
      <c r="N198" s="38" t="s">
        <v>367</v>
      </c>
      <c r="O198" s="38" t="s">
        <v>172</v>
      </c>
      <c r="P198" s="37">
        <v>2.2</v>
      </c>
      <c r="Q198" s="38" t="s">
        <v>4241</v>
      </c>
      <c r="R198" s="38" t="s">
        <v>271</v>
      </c>
      <c r="S198" s="38" t="s">
        <v>175</v>
      </c>
      <c r="T198" s="38" t="s">
        <v>115</v>
      </c>
      <c r="U198" s="38" t="s">
        <v>263</v>
      </c>
      <c r="V198" s="38" t="s">
        <v>2755</v>
      </c>
      <c r="W198" s="38" t="s">
        <v>54</v>
      </c>
    </row>
    <row r="199">
      <c r="A199" s="38" t="s">
        <v>980</v>
      </c>
      <c r="B199" s="38" t="s">
        <v>983</v>
      </c>
      <c r="C199" s="38" t="s">
        <v>57</v>
      </c>
      <c r="D199" s="38" t="s">
        <v>200</v>
      </c>
      <c r="E199" s="38" t="s">
        <v>2619</v>
      </c>
      <c r="F199" s="38" t="s">
        <v>2620</v>
      </c>
      <c r="G199" s="38" t="s">
        <v>2621</v>
      </c>
      <c r="H199" s="38" t="s">
        <v>54</v>
      </c>
      <c r="I199" s="38" t="s">
        <v>55</v>
      </c>
      <c r="J199" s="38" t="s">
        <v>56</v>
      </c>
      <c r="K199" s="37">
        <v>6.07315E8</v>
      </c>
      <c r="L199" s="38" t="s">
        <v>52</v>
      </c>
      <c r="M199" s="38" t="s">
        <v>1771</v>
      </c>
      <c r="N199" s="38" t="s">
        <v>200</v>
      </c>
      <c r="O199" s="38" t="s">
        <v>4242</v>
      </c>
      <c r="P199" s="37">
        <v>0.25</v>
      </c>
      <c r="Q199" s="38" t="s">
        <v>4243</v>
      </c>
      <c r="R199" s="38" t="s">
        <v>226</v>
      </c>
      <c r="S199" s="38" t="s">
        <v>175</v>
      </c>
      <c r="T199" s="38" t="s">
        <v>115</v>
      </c>
      <c r="U199" s="38" t="s">
        <v>53</v>
      </c>
      <c r="V199" s="38" t="s">
        <v>2622</v>
      </c>
      <c r="W199" s="37">
        <v>0.272</v>
      </c>
    </row>
    <row r="200">
      <c r="A200" s="38" t="s">
        <v>1158</v>
      </c>
      <c r="B200" s="38" t="s">
        <v>1161</v>
      </c>
      <c r="C200" s="38" t="s">
        <v>57</v>
      </c>
      <c r="D200" s="38" t="s">
        <v>185</v>
      </c>
      <c r="E200" s="38" t="s">
        <v>1799</v>
      </c>
      <c r="F200" s="38" t="s">
        <v>1800</v>
      </c>
      <c r="G200" s="38" t="s">
        <v>1801</v>
      </c>
      <c r="H200" s="38" t="s">
        <v>54</v>
      </c>
      <c r="I200" s="38" t="s">
        <v>117</v>
      </c>
      <c r="J200" s="38" t="s">
        <v>56</v>
      </c>
      <c r="K200" s="37">
        <v>6.06654945013E8</v>
      </c>
      <c r="L200" s="38" t="s">
        <v>52</v>
      </c>
      <c r="M200" s="38" t="s">
        <v>1771</v>
      </c>
      <c r="N200" s="38" t="s">
        <v>185</v>
      </c>
      <c r="O200" s="38" t="s">
        <v>236</v>
      </c>
      <c r="P200" s="37">
        <v>0.7</v>
      </c>
      <c r="Q200" s="38" t="s">
        <v>237</v>
      </c>
      <c r="R200" s="38" t="s">
        <v>174</v>
      </c>
      <c r="S200" s="38" t="s">
        <v>54</v>
      </c>
      <c r="T200" s="38" t="s">
        <v>189</v>
      </c>
      <c r="U200" s="38" t="s">
        <v>53</v>
      </c>
      <c r="V200" s="38" t="s">
        <v>1802</v>
      </c>
      <c r="W200" s="37">
        <v>-1.063</v>
      </c>
    </row>
    <row r="201">
      <c r="A201" s="38" t="s">
        <v>1360</v>
      </c>
      <c r="B201" s="38" t="s">
        <v>1363</v>
      </c>
      <c r="C201" s="38" t="s">
        <v>57</v>
      </c>
      <c r="D201" s="38" t="s">
        <v>200</v>
      </c>
      <c r="E201" s="38" t="s">
        <v>3234</v>
      </c>
      <c r="F201" s="38" t="s">
        <v>3235</v>
      </c>
      <c r="G201" s="38" t="s">
        <v>3236</v>
      </c>
      <c r="H201" s="38" t="s">
        <v>54</v>
      </c>
      <c r="I201" s="38" t="s">
        <v>117</v>
      </c>
      <c r="J201" s="38" t="s">
        <v>56</v>
      </c>
      <c r="K201" s="37">
        <v>7.27986E8</v>
      </c>
      <c r="L201" s="38" t="s">
        <v>52</v>
      </c>
      <c r="M201" s="38" t="s">
        <v>1776</v>
      </c>
      <c r="N201" s="38" t="s">
        <v>200</v>
      </c>
      <c r="O201" s="38" t="s">
        <v>236</v>
      </c>
      <c r="P201" s="37">
        <v>0.0</v>
      </c>
      <c r="Q201" s="38" t="s">
        <v>243</v>
      </c>
      <c r="R201" s="38" t="s">
        <v>226</v>
      </c>
      <c r="S201" s="38" t="s">
        <v>175</v>
      </c>
      <c r="T201" s="38" t="s">
        <v>115</v>
      </c>
      <c r="U201" s="38" t="s">
        <v>53</v>
      </c>
      <c r="V201" s="38" t="s">
        <v>3237</v>
      </c>
      <c r="W201" s="37">
        <v>0.029</v>
      </c>
    </row>
    <row r="202">
      <c r="A202" s="38" t="s">
        <v>1551</v>
      </c>
      <c r="B202" s="38" t="s">
        <v>1554</v>
      </c>
      <c r="C202" s="38" t="s">
        <v>57</v>
      </c>
      <c r="D202" s="38" t="s">
        <v>1555</v>
      </c>
      <c r="E202" s="38" t="s">
        <v>2247</v>
      </c>
      <c r="F202" s="38" t="s">
        <v>2248</v>
      </c>
      <c r="G202" s="38" t="s">
        <v>2249</v>
      </c>
      <c r="H202" s="38" t="s">
        <v>54</v>
      </c>
      <c r="I202" s="38" t="s">
        <v>55</v>
      </c>
      <c r="J202" s="38" t="s">
        <v>56</v>
      </c>
      <c r="K202" s="37">
        <v>6.0362E7</v>
      </c>
      <c r="L202" s="38" t="s">
        <v>52</v>
      </c>
      <c r="M202" s="38" t="s">
        <v>1776</v>
      </c>
      <c r="N202" s="38" t="s">
        <v>1555</v>
      </c>
      <c r="O202" s="38" t="s">
        <v>201</v>
      </c>
      <c r="P202" s="37">
        <v>4.0</v>
      </c>
      <c r="Q202" s="38" t="s">
        <v>4244</v>
      </c>
      <c r="R202" s="38" t="s">
        <v>174</v>
      </c>
      <c r="S202" s="38" t="s">
        <v>54</v>
      </c>
      <c r="T202" s="38" t="s">
        <v>115</v>
      </c>
      <c r="U202" s="38" t="s">
        <v>53</v>
      </c>
      <c r="V202" s="38" t="s">
        <v>2250</v>
      </c>
      <c r="W202" s="38" t="s">
        <v>54</v>
      </c>
    </row>
    <row r="203">
      <c r="A203" s="38" t="s">
        <v>1414</v>
      </c>
      <c r="B203" s="38" t="s">
        <v>1417</v>
      </c>
      <c r="C203" s="38" t="s">
        <v>57</v>
      </c>
      <c r="D203" s="38" t="s">
        <v>200</v>
      </c>
      <c r="E203" s="38" t="s">
        <v>3466</v>
      </c>
      <c r="F203" s="38" t="s">
        <v>3467</v>
      </c>
      <c r="G203" s="38" t="s">
        <v>3468</v>
      </c>
      <c r="H203" s="38" t="s">
        <v>54</v>
      </c>
      <c r="I203" s="38" t="s">
        <v>55</v>
      </c>
      <c r="J203" s="38" t="s">
        <v>56</v>
      </c>
      <c r="K203" s="37">
        <v>9.12075E8</v>
      </c>
      <c r="L203" s="38" t="s">
        <v>52</v>
      </c>
      <c r="M203" s="38" t="s">
        <v>1776</v>
      </c>
      <c r="N203" s="38" t="s">
        <v>200</v>
      </c>
      <c r="O203" s="38" t="s">
        <v>4245</v>
      </c>
      <c r="P203" s="37">
        <v>5.875</v>
      </c>
      <c r="Q203" s="38" t="s">
        <v>4246</v>
      </c>
      <c r="R203" s="38" t="s">
        <v>174</v>
      </c>
      <c r="S203" s="38" t="s">
        <v>297</v>
      </c>
      <c r="T203" s="38" t="s">
        <v>115</v>
      </c>
      <c r="U203" s="38" t="s">
        <v>53</v>
      </c>
      <c r="V203" s="38" t="s">
        <v>3469</v>
      </c>
      <c r="W203" s="37">
        <v>5.427</v>
      </c>
    </row>
    <row r="204">
      <c r="A204" s="38" t="s">
        <v>529</v>
      </c>
      <c r="B204" s="38" t="s">
        <v>532</v>
      </c>
      <c r="C204" s="38" t="s">
        <v>57</v>
      </c>
      <c r="D204" s="38" t="s">
        <v>258</v>
      </c>
      <c r="E204" s="38" t="s">
        <v>3419</v>
      </c>
      <c r="F204" s="38" t="s">
        <v>3420</v>
      </c>
      <c r="G204" s="38" t="s">
        <v>3421</v>
      </c>
      <c r="H204" s="38" t="s">
        <v>54</v>
      </c>
      <c r="I204" s="38" t="s">
        <v>55</v>
      </c>
      <c r="J204" s="38" t="s">
        <v>56</v>
      </c>
      <c r="K204" s="37">
        <v>2.697266E7</v>
      </c>
      <c r="L204" s="38" t="s">
        <v>52</v>
      </c>
      <c r="M204" s="38" t="s">
        <v>1771</v>
      </c>
      <c r="N204" s="38" t="s">
        <v>258</v>
      </c>
      <c r="O204" s="38" t="s">
        <v>4247</v>
      </c>
      <c r="P204" s="37">
        <v>3.0</v>
      </c>
      <c r="Q204" s="38" t="s">
        <v>4248</v>
      </c>
      <c r="R204" s="38" t="s">
        <v>174</v>
      </c>
      <c r="S204" s="38" t="s">
        <v>54</v>
      </c>
      <c r="T204" s="38" t="s">
        <v>49</v>
      </c>
      <c r="U204" s="38" t="s">
        <v>53</v>
      </c>
      <c r="V204" s="38" t="s">
        <v>3422</v>
      </c>
      <c r="W204" s="38" t="s">
        <v>54</v>
      </c>
    </row>
    <row r="205">
      <c r="A205" s="38" t="s">
        <v>477</v>
      </c>
      <c r="B205" s="38" t="s">
        <v>480</v>
      </c>
      <c r="C205" s="38" t="s">
        <v>392</v>
      </c>
      <c r="D205" s="38" t="s">
        <v>45</v>
      </c>
      <c r="E205" s="38" t="s">
        <v>1977</v>
      </c>
      <c r="F205" s="38" t="s">
        <v>1978</v>
      </c>
      <c r="G205" s="38" t="s">
        <v>1979</v>
      </c>
      <c r="H205" s="38" t="s">
        <v>54</v>
      </c>
      <c r="I205" s="38" t="s">
        <v>55</v>
      </c>
      <c r="J205" s="38" t="s">
        <v>70</v>
      </c>
      <c r="K205" s="37">
        <v>7.003384E8</v>
      </c>
      <c r="L205" s="38" t="s">
        <v>459</v>
      </c>
      <c r="M205" s="38" t="s">
        <v>1771</v>
      </c>
      <c r="N205" s="38" t="s">
        <v>45</v>
      </c>
      <c r="O205" s="38" t="s">
        <v>4249</v>
      </c>
      <c r="P205" s="37">
        <v>-0.40499999999999997</v>
      </c>
      <c r="Q205" s="38" t="s">
        <v>4250</v>
      </c>
      <c r="R205" s="38" t="s">
        <v>226</v>
      </c>
      <c r="S205" s="38" t="s">
        <v>190</v>
      </c>
      <c r="T205" s="38" t="s">
        <v>49</v>
      </c>
      <c r="U205" s="38" t="s">
        <v>53</v>
      </c>
      <c r="V205" s="38" t="s">
        <v>1980</v>
      </c>
      <c r="W205" s="37">
        <v>0.009</v>
      </c>
    </row>
    <row r="206">
      <c r="A206" s="38" t="s">
        <v>166</v>
      </c>
      <c r="B206" s="38" t="s">
        <v>169</v>
      </c>
      <c r="C206" s="38" t="s">
        <v>57</v>
      </c>
      <c r="D206" s="38" t="s">
        <v>171</v>
      </c>
      <c r="E206" s="38" t="s">
        <v>2643</v>
      </c>
      <c r="F206" s="38" t="s">
        <v>2644</v>
      </c>
      <c r="G206" s="38" t="s">
        <v>2645</v>
      </c>
      <c r="H206" s="38" t="s">
        <v>54</v>
      </c>
      <c r="I206" s="38" t="s">
        <v>55</v>
      </c>
      <c r="J206" s="38" t="s">
        <v>56</v>
      </c>
      <c r="K206" s="37">
        <v>6.06065E8</v>
      </c>
      <c r="L206" s="38" t="s">
        <v>52</v>
      </c>
      <c r="M206" s="38" t="s">
        <v>1771</v>
      </c>
      <c r="N206" s="38" t="s">
        <v>170</v>
      </c>
      <c r="O206" s="38" t="s">
        <v>4251</v>
      </c>
      <c r="P206" s="37">
        <v>0.125</v>
      </c>
      <c r="Q206" s="38" t="s">
        <v>4252</v>
      </c>
      <c r="R206" s="38" t="s">
        <v>226</v>
      </c>
      <c r="S206" s="38" t="s">
        <v>175</v>
      </c>
      <c r="T206" s="38" t="s">
        <v>115</v>
      </c>
      <c r="U206" s="38" t="s">
        <v>53</v>
      </c>
      <c r="V206" s="38" t="s">
        <v>2646</v>
      </c>
      <c r="W206" s="37">
        <v>0.145</v>
      </c>
    </row>
    <row r="207">
      <c r="A207" s="38" t="s">
        <v>166</v>
      </c>
      <c r="B207" s="38" t="s">
        <v>169</v>
      </c>
      <c r="C207" s="38" t="s">
        <v>57</v>
      </c>
      <c r="D207" s="38" t="s">
        <v>171</v>
      </c>
      <c r="E207" s="38" t="s">
        <v>2647</v>
      </c>
      <c r="F207" s="38" t="s">
        <v>2648</v>
      </c>
      <c r="G207" s="38" t="s">
        <v>2649</v>
      </c>
      <c r="H207" s="38" t="s">
        <v>54</v>
      </c>
      <c r="I207" s="38" t="s">
        <v>55</v>
      </c>
      <c r="J207" s="38" t="s">
        <v>56</v>
      </c>
      <c r="K207" s="37">
        <v>7.878845E8</v>
      </c>
      <c r="L207" s="38" t="s">
        <v>52</v>
      </c>
      <c r="M207" s="38" t="s">
        <v>1771</v>
      </c>
      <c r="N207" s="38" t="s">
        <v>170</v>
      </c>
      <c r="O207" s="38" t="s">
        <v>4251</v>
      </c>
      <c r="P207" s="37">
        <v>0.625</v>
      </c>
      <c r="Q207" s="38" t="s">
        <v>4253</v>
      </c>
      <c r="R207" s="38" t="s">
        <v>226</v>
      </c>
      <c r="S207" s="38" t="s">
        <v>175</v>
      </c>
      <c r="T207" s="38" t="s">
        <v>115</v>
      </c>
      <c r="U207" s="38" t="s">
        <v>53</v>
      </c>
      <c r="V207" s="38" t="s">
        <v>2650</v>
      </c>
      <c r="W207" s="37">
        <v>0.581</v>
      </c>
    </row>
    <row r="208">
      <c r="A208" s="38" t="s">
        <v>477</v>
      </c>
      <c r="B208" s="38" t="s">
        <v>480</v>
      </c>
      <c r="C208" s="38" t="s">
        <v>57</v>
      </c>
      <c r="D208" s="38" t="s">
        <v>45</v>
      </c>
      <c r="E208" s="38" t="s">
        <v>1981</v>
      </c>
      <c r="F208" s="38" t="s">
        <v>1982</v>
      </c>
      <c r="G208" s="38" t="s">
        <v>1983</v>
      </c>
      <c r="H208" s="38" t="s">
        <v>54</v>
      </c>
      <c r="I208" s="38" t="s">
        <v>55</v>
      </c>
      <c r="J208" s="38" t="s">
        <v>56</v>
      </c>
      <c r="K208" s="37">
        <v>3.63204E7</v>
      </c>
      <c r="L208" s="38" t="s">
        <v>483</v>
      </c>
      <c r="M208" s="38" t="s">
        <v>1771</v>
      </c>
      <c r="N208" s="38" t="s">
        <v>45</v>
      </c>
      <c r="O208" s="38" t="s">
        <v>295</v>
      </c>
      <c r="P208" s="37">
        <v>0.11</v>
      </c>
      <c r="Q208" s="38" t="s">
        <v>4254</v>
      </c>
      <c r="R208" s="38" t="s">
        <v>226</v>
      </c>
      <c r="S208" s="38" t="s">
        <v>484</v>
      </c>
      <c r="T208" s="38" t="s">
        <v>49</v>
      </c>
      <c r="U208" s="38" t="s">
        <v>53</v>
      </c>
      <c r="V208" s="38" t="s">
        <v>1984</v>
      </c>
      <c r="W208" s="38" t="s">
        <v>54</v>
      </c>
    </row>
    <row r="209">
      <c r="A209" s="38" t="s">
        <v>477</v>
      </c>
      <c r="B209" s="38" t="s">
        <v>480</v>
      </c>
      <c r="C209" s="38" t="s">
        <v>57</v>
      </c>
      <c r="D209" s="38" t="s">
        <v>45</v>
      </c>
      <c r="E209" s="38" t="s">
        <v>1985</v>
      </c>
      <c r="F209" s="38" t="s">
        <v>1986</v>
      </c>
      <c r="G209" s="38" t="s">
        <v>1987</v>
      </c>
      <c r="H209" s="38" t="s">
        <v>54</v>
      </c>
      <c r="I209" s="38" t="s">
        <v>55</v>
      </c>
      <c r="J209" s="38" t="s">
        <v>56</v>
      </c>
      <c r="K209" s="37">
        <v>3.64461E7</v>
      </c>
      <c r="L209" s="38" t="s">
        <v>483</v>
      </c>
      <c r="M209" s="38" t="s">
        <v>1771</v>
      </c>
      <c r="N209" s="38" t="s">
        <v>45</v>
      </c>
      <c r="O209" s="38" t="s">
        <v>4255</v>
      </c>
      <c r="P209" s="37">
        <v>0.02</v>
      </c>
      <c r="Q209" s="38" t="s">
        <v>4256</v>
      </c>
      <c r="R209" s="38" t="s">
        <v>226</v>
      </c>
      <c r="S209" s="38" t="s">
        <v>484</v>
      </c>
      <c r="T209" s="38" t="s">
        <v>49</v>
      </c>
      <c r="U209" s="38" t="s">
        <v>53</v>
      </c>
      <c r="V209" s="38" t="s">
        <v>1988</v>
      </c>
      <c r="W209" s="38" t="s">
        <v>54</v>
      </c>
    </row>
    <row r="210">
      <c r="A210" s="38" t="s">
        <v>477</v>
      </c>
      <c r="B210" s="38" t="s">
        <v>480</v>
      </c>
      <c r="C210" s="38" t="s">
        <v>57</v>
      </c>
      <c r="D210" s="38" t="s">
        <v>45</v>
      </c>
      <c r="E210" s="38" t="s">
        <v>1989</v>
      </c>
      <c r="F210" s="38" t="s">
        <v>1990</v>
      </c>
      <c r="G210" s="38" t="s">
        <v>1991</v>
      </c>
      <c r="H210" s="38" t="s">
        <v>54</v>
      </c>
      <c r="I210" s="38" t="s">
        <v>55</v>
      </c>
      <c r="J210" s="38" t="s">
        <v>56</v>
      </c>
      <c r="K210" s="37">
        <v>6.05895E8</v>
      </c>
      <c r="L210" s="38" t="s">
        <v>459</v>
      </c>
      <c r="M210" s="38" t="s">
        <v>1771</v>
      </c>
      <c r="N210" s="38" t="s">
        <v>45</v>
      </c>
      <c r="O210" s="38" t="s">
        <v>4257</v>
      </c>
      <c r="P210" s="37">
        <v>0.01</v>
      </c>
      <c r="Q210" s="38" t="s">
        <v>4258</v>
      </c>
      <c r="R210" s="38" t="s">
        <v>226</v>
      </c>
      <c r="S210" s="38" t="s">
        <v>190</v>
      </c>
      <c r="T210" s="38" t="s">
        <v>49</v>
      </c>
      <c r="U210" s="38" t="s">
        <v>53</v>
      </c>
      <c r="V210" s="38" t="s">
        <v>1992</v>
      </c>
      <c r="W210" s="37">
        <v>-0.225</v>
      </c>
    </row>
    <row r="211">
      <c r="A211" s="38" t="s">
        <v>1336</v>
      </c>
      <c r="B211" s="38" t="s">
        <v>1339</v>
      </c>
      <c r="C211" s="38" t="s">
        <v>57</v>
      </c>
      <c r="D211" s="38" t="s">
        <v>1340</v>
      </c>
      <c r="E211" s="38" t="s">
        <v>2336</v>
      </c>
      <c r="F211" s="38" t="s">
        <v>2337</v>
      </c>
      <c r="G211" s="38" t="s">
        <v>2338</v>
      </c>
      <c r="H211" s="38" t="s">
        <v>54</v>
      </c>
      <c r="I211" s="38" t="s">
        <v>55</v>
      </c>
      <c r="J211" s="38" t="s">
        <v>56</v>
      </c>
      <c r="K211" s="37">
        <v>1.0300215E9</v>
      </c>
      <c r="L211" s="38" t="s">
        <v>52</v>
      </c>
      <c r="M211" s="38" t="s">
        <v>1771</v>
      </c>
      <c r="N211" s="38" t="s">
        <v>170</v>
      </c>
      <c r="O211" s="38" t="s">
        <v>4257</v>
      </c>
      <c r="P211" s="37">
        <v>1.5</v>
      </c>
      <c r="Q211" s="38" t="s">
        <v>4258</v>
      </c>
      <c r="R211" s="38" t="s">
        <v>226</v>
      </c>
      <c r="S211" s="38" t="s">
        <v>175</v>
      </c>
      <c r="T211" s="38" t="s">
        <v>115</v>
      </c>
      <c r="U211" s="38" t="s">
        <v>53</v>
      </c>
      <c r="V211" s="38" t="s">
        <v>2339</v>
      </c>
      <c r="W211" s="37">
        <v>1.572</v>
      </c>
    </row>
    <row r="212">
      <c r="A212" s="38" t="s">
        <v>477</v>
      </c>
      <c r="B212" s="38" t="s">
        <v>480</v>
      </c>
      <c r="C212" s="38" t="s">
        <v>57</v>
      </c>
      <c r="D212" s="38" t="s">
        <v>45</v>
      </c>
      <c r="E212" s="38" t="s">
        <v>1993</v>
      </c>
      <c r="F212" s="38" t="s">
        <v>1994</v>
      </c>
      <c r="G212" s="38" t="s">
        <v>1995</v>
      </c>
      <c r="H212" s="38" t="s">
        <v>54</v>
      </c>
      <c r="I212" s="38" t="s">
        <v>55</v>
      </c>
      <c r="J212" s="38" t="s">
        <v>56</v>
      </c>
      <c r="K212" s="37">
        <v>7.881315E7</v>
      </c>
      <c r="L212" s="38" t="s">
        <v>483</v>
      </c>
      <c r="M212" s="38" t="s">
        <v>1771</v>
      </c>
      <c r="N212" s="38" t="s">
        <v>45</v>
      </c>
      <c r="O212" s="38" t="s">
        <v>4259</v>
      </c>
      <c r="P212" s="37">
        <v>0.01</v>
      </c>
      <c r="Q212" s="38" t="s">
        <v>4260</v>
      </c>
      <c r="R212" s="38" t="s">
        <v>226</v>
      </c>
      <c r="S212" s="38" t="s">
        <v>484</v>
      </c>
      <c r="T212" s="38" t="s">
        <v>49</v>
      </c>
      <c r="U212" s="38" t="s">
        <v>53</v>
      </c>
      <c r="V212" s="38" t="s">
        <v>1996</v>
      </c>
      <c r="W212" s="37">
        <v>-0.535</v>
      </c>
    </row>
    <row r="213">
      <c r="A213" s="38" t="s">
        <v>477</v>
      </c>
      <c r="B213" s="38" t="s">
        <v>480</v>
      </c>
      <c r="C213" s="38" t="s">
        <v>57</v>
      </c>
      <c r="D213" s="38" t="s">
        <v>45</v>
      </c>
      <c r="E213" s="38" t="s">
        <v>1997</v>
      </c>
      <c r="F213" s="38" t="s">
        <v>1998</v>
      </c>
      <c r="G213" s="38" t="s">
        <v>1999</v>
      </c>
      <c r="H213" s="38" t="s">
        <v>54</v>
      </c>
      <c r="I213" s="38" t="s">
        <v>55</v>
      </c>
      <c r="J213" s="38" t="s">
        <v>56</v>
      </c>
      <c r="K213" s="37">
        <v>6.06915E7</v>
      </c>
      <c r="L213" s="38" t="s">
        <v>483</v>
      </c>
      <c r="M213" s="38" t="s">
        <v>174</v>
      </c>
      <c r="N213" s="38" t="s">
        <v>45</v>
      </c>
      <c r="O213" s="38" t="s">
        <v>4261</v>
      </c>
      <c r="P213" s="37">
        <v>0.01</v>
      </c>
      <c r="Q213" s="38" t="s">
        <v>4161</v>
      </c>
      <c r="R213" s="38" t="s">
        <v>226</v>
      </c>
      <c r="S213" s="38" t="s">
        <v>484</v>
      </c>
      <c r="T213" s="38" t="s">
        <v>49</v>
      </c>
      <c r="U213" s="38" t="s">
        <v>53</v>
      </c>
      <c r="V213" s="38" t="s">
        <v>2000</v>
      </c>
      <c r="W213" s="38" t="s">
        <v>54</v>
      </c>
    </row>
    <row r="214">
      <c r="A214" s="38" t="s">
        <v>1360</v>
      </c>
      <c r="B214" s="38" t="s">
        <v>1363</v>
      </c>
      <c r="C214" s="38" t="s">
        <v>57</v>
      </c>
      <c r="D214" s="38" t="s">
        <v>200</v>
      </c>
      <c r="E214" s="38" t="s">
        <v>3238</v>
      </c>
      <c r="F214" s="38" t="s">
        <v>3239</v>
      </c>
      <c r="G214" s="38" t="s">
        <v>3240</v>
      </c>
      <c r="H214" s="38" t="s">
        <v>54</v>
      </c>
      <c r="I214" s="38" t="s">
        <v>117</v>
      </c>
      <c r="J214" s="38" t="s">
        <v>56</v>
      </c>
      <c r="K214" s="37">
        <v>6.06545E8</v>
      </c>
      <c r="L214" s="38" t="s">
        <v>52</v>
      </c>
      <c r="M214" s="38" t="s">
        <v>1840</v>
      </c>
      <c r="N214" s="38" t="s">
        <v>200</v>
      </c>
      <c r="O214" s="38" t="s">
        <v>4262</v>
      </c>
      <c r="P214" s="37">
        <v>0.0</v>
      </c>
      <c r="Q214" s="38" t="s">
        <v>4263</v>
      </c>
      <c r="R214" s="38" t="s">
        <v>226</v>
      </c>
      <c r="S214" s="38" t="s">
        <v>175</v>
      </c>
      <c r="T214" s="38" t="s">
        <v>115</v>
      </c>
      <c r="U214" s="38" t="s">
        <v>53</v>
      </c>
      <c r="V214" s="38" t="s">
        <v>3241</v>
      </c>
      <c r="W214" s="37">
        <v>-0.053</v>
      </c>
    </row>
    <row r="215">
      <c r="A215" s="38" t="s">
        <v>1336</v>
      </c>
      <c r="B215" s="38" t="s">
        <v>1339</v>
      </c>
      <c r="C215" s="38" t="s">
        <v>71</v>
      </c>
      <c r="D215" s="38" t="s">
        <v>1340</v>
      </c>
      <c r="E215" s="38" t="s">
        <v>2340</v>
      </c>
      <c r="F215" s="38" t="s">
        <v>2341</v>
      </c>
      <c r="G215" s="38" t="s">
        <v>2342</v>
      </c>
      <c r="H215" s="37">
        <v>0.71</v>
      </c>
      <c r="I215" s="38" t="s">
        <v>55</v>
      </c>
      <c r="J215" s="38" t="s">
        <v>56</v>
      </c>
      <c r="K215" s="37">
        <v>2.821578E7</v>
      </c>
      <c r="L215" s="38" t="s">
        <v>52</v>
      </c>
      <c r="M215" s="38" t="s">
        <v>1771</v>
      </c>
      <c r="N215" s="38" t="s">
        <v>170</v>
      </c>
      <c r="O215" s="38" t="s">
        <v>360</v>
      </c>
      <c r="P215" s="37">
        <v>0.71</v>
      </c>
      <c r="Q215" s="38" t="s">
        <v>361</v>
      </c>
      <c r="R215" s="38" t="s">
        <v>226</v>
      </c>
      <c r="S215" s="38" t="s">
        <v>54</v>
      </c>
      <c r="T215" s="38" t="s">
        <v>49</v>
      </c>
      <c r="U215" s="38" t="s">
        <v>976</v>
      </c>
      <c r="V215" s="38" t="s">
        <v>2343</v>
      </c>
      <c r="W215" s="37">
        <v>0.525</v>
      </c>
    </row>
    <row r="216">
      <c r="A216" s="38" t="s">
        <v>477</v>
      </c>
      <c r="B216" s="38" t="s">
        <v>480</v>
      </c>
      <c r="C216" s="38" t="s">
        <v>57</v>
      </c>
      <c r="D216" s="38" t="s">
        <v>45</v>
      </c>
      <c r="E216" s="38" t="s">
        <v>2001</v>
      </c>
      <c r="F216" s="38" t="s">
        <v>2002</v>
      </c>
      <c r="G216" s="38" t="s">
        <v>2003</v>
      </c>
      <c r="H216" s="38" t="s">
        <v>54</v>
      </c>
      <c r="I216" s="38" t="s">
        <v>55</v>
      </c>
      <c r="J216" s="38" t="s">
        <v>56</v>
      </c>
      <c r="K216" s="37">
        <v>3.053125E8</v>
      </c>
      <c r="L216" s="38" t="s">
        <v>459</v>
      </c>
      <c r="M216" s="38" t="s">
        <v>1771</v>
      </c>
      <c r="N216" s="38" t="s">
        <v>45</v>
      </c>
      <c r="O216" s="38" t="s">
        <v>360</v>
      </c>
      <c r="P216" s="37">
        <v>0.01</v>
      </c>
      <c r="Q216" s="38" t="s">
        <v>4264</v>
      </c>
      <c r="R216" s="38" t="s">
        <v>226</v>
      </c>
      <c r="S216" s="38" t="s">
        <v>190</v>
      </c>
      <c r="T216" s="38" t="s">
        <v>49</v>
      </c>
      <c r="U216" s="38" t="s">
        <v>53</v>
      </c>
      <c r="V216" s="38" t="s">
        <v>2004</v>
      </c>
      <c r="W216" s="38" t="s">
        <v>54</v>
      </c>
    </row>
    <row r="217">
      <c r="A217" s="38" t="s">
        <v>477</v>
      </c>
      <c r="B217" s="38" t="s">
        <v>480</v>
      </c>
      <c r="C217" s="38" t="s">
        <v>57</v>
      </c>
      <c r="D217" s="38" t="s">
        <v>45</v>
      </c>
      <c r="E217" s="38" t="s">
        <v>2005</v>
      </c>
      <c r="F217" s="38" t="s">
        <v>2006</v>
      </c>
      <c r="G217" s="38" t="s">
        <v>2007</v>
      </c>
      <c r="H217" s="37">
        <v>-0.35</v>
      </c>
      <c r="I217" s="38" t="s">
        <v>55</v>
      </c>
      <c r="J217" s="38" t="s">
        <v>56</v>
      </c>
      <c r="K217" s="37">
        <v>1.20703E7</v>
      </c>
      <c r="L217" s="38" t="s">
        <v>483</v>
      </c>
      <c r="M217" s="38" t="s">
        <v>174</v>
      </c>
      <c r="N217" s="38" t="s">
        <v>45</v>
      </c>
      <c r="O217" s="38" t="s">
        <v>277</v>
      </c>
      <c r="P217" s="37">
        <v>0.01</v>
      </c>
      <c r="Q217" s="38" t="s">
        <v>4265</v>
      </c>
      <c r="R217" s="38" t="s">
        <v>226</v>
      </c>
      <c r="S217" s="38" t="s">
        <v>484</v>
      </c>
      <c r="T217" s="38" t="s">
        <v>49</v>
      </c>
      <c r="U217" s="38" t="s">
        <v>53</v>
      </c>
      <c r="V217" s="38" t="s">
        <v>2008</v>
      </c>
      <c r="W217" s="38" t="s">
        <v>54</v>
      </c>
    </row>
    <row r="218">
      <c r="A218" s="38" t="s">
        <v>477</v>
      </c>
      <c r="B218" s="38" t="s">
        <v>480</v>
      </c>
      <c r="C218" s="38" t="s">
        <v>57</v>
      </c>
      <c r="D218" s="38" t="s">
        <v>45</v>
      </c>
      <c r="E218" s="38" t="s">
        <v>2009</v>
      </c>
      <c r="F218" s="38" t="s">
        <v>2010</v>
      </c>
      <c r="G218" s="38" t="s">
        <v>2011</v>
      </c>
      <c r="H218" s="37">
        <v>0.158</v>
      </c>
      <c r="I218" s="38" t="s">
        <v>55</v>
      </c>
      <c r="J218" s="38" t="s">
        <v>56</v>
      </c>
      <c r="K218" s="37">
        <v>8.9955E7</v>
      </c>
      <c r="L218" s="38" t="s">
        <v>2012</v>
      </c>
      <c r="M218" s="38" t="s">
        <v>2013</v>
      </c>
      <c r="N218" s="38" t="s">
        <v>45</v>
      </c>
      <c r="O218" s="38" t="s">
        <v>307</v>
      </c>
      <c r="P218" s="37">
        <v>0.5</v>
      </c>
      <c r="Q218" s="38" t="s">
        <v>4266</v>
      </c>
      <c r="R218" s="38" t="s">
        <v>226</v>
      </c>
      <c r="S218" s="38" t="s">
        <v>484</v>
      </c>
      <c r="T218" s="38" t="s">
        <v>49</v>
      </c>
      <c r="U218" s="38" t="s">
        <v>53</v>
      </c>
      <c r="V218" s="38" t="s">
        <v>2014</v>
      </c>
      <c r="W218" s="37">
        <v>0.024</v>
      </c>
    </row>
    <row r="219">
      <c r="A219" s="38" t="s">
        <v>477</v>
      </c>
      <c r="B219" s="38" t="s">
        <v>480</v>
      </c>
      <c r="C219" s="38" t="s">
        <v>57</v>
      </c>
      <c r="D219" s="38" t="s">
        <v>45</v>
      </c>
      <c r="E219" s="38" t="s">
        <v>2015</v>
      </c>
      <c r="F219" s="38" t="s">
        <v>2016</v>
      </c>
      <c r="G219" s="38" t="s">
        <v>2017</v>
      </c>
      <c r="H219" s="38" t="s">
        <v>54</v>
      </c>
      <c r="I219" s="38" t="s">
        <v>55</v>
      </c>
      <c r="J219" s="38" t="s">
        <v>56</v>
      </c>
      <c r="K219" s="37">
        <v>1.1948E7</v>
      </c>
      <c r="L219" s="38" t="s">
        <v>483</v>
      </c>
      <c r="M219" s="38" t="s">
        <v>1771</v>
      </c>
      <c r="N219" s="38" t="s">
        <v>45</v>
      </c>
      <c r="O219" s="38" t="s">
        <v>4267</v>
      </c>
      <c r="P219" s="37">
        <v>0.01</v>
      </c>
      <c r="Q219" s="38" t="s">
        <v>4268</v>
      </c>
      <c r="R219" s="38" t="s">
        <v>226</v>
      </c>
      <c r="S219" s="38" t="s">
        <v>484</v>
      </c>
      <c r="T219" s="38" t="s">
        <v>49</v>
      </c>
      <c r="U219" s="38" t="s">
        <v>53</v>
      </c>
      <c r="V219" s="38" t="s">
        <v>2018</v>
      </c>
      <c r="W219" s="38" t="s">
        <v>54</v>
      </c>
    </row>
    <row r="220">
      <c r="A220" s="38" t="s">
        <v>477</v>
      </c>
      <c r="B220" s="38" t="s">
        <v>480</v>
      </c>
      <c r="C220" s="38" t="s">
        <v>57</v>
      </c>
      <c r="D220" s="38" t="s">
        <v>45</v>
      </c>
      <c r="E220" s="38" t="s">
        <v>2019</v>
      </c>
      <c r="F220" s="38" t="s">
        <v>2020</v>
      </c>
      <c r="G220" s="38" t="s">
        <v>2021</v>
      </c>
      <c r="H220" s="38" t="s">
        <v>54</v>
      </c>
      <c r="I220" s="38" t="s">
        <v>55</v>
      </c>
      <c r="J220" s="38" t="s">
        <v>56</v>
      </c>
      <c r="K220" s="37">
        <v>1.19293E7</v>
      </c>
      <c r="L220" s="38" t="s">
        <v>483</v>
      </c>
      <c r="M220" s="38" t="s">
        <v>1771</v>
      </c>
      <c r="N220" s="38" t="s">
        <v>45</v>
      </c>
      <c r="O220" s="38" t="s">
        <v>409</v>
      </c>
      <c r="P220" s="37">
        <v>0.118</v>
      </c>
      <c r="Q220" s="38" t="s">
        <v>420</v>
      </c>
      <c r="R220" s="38" t="s">
        <v>226</v>
      </c>
      <c r="S220" s="38" t="s">
        <v>484</v>
      </c>
      <c r="T220" s="38" t="s">
        <v>49</v>
      </c>
      <c r="U220" s="38" t="s">
        <v>53</v>
      </c>
      <c r="V220" s="38" t="s">
        <v>2022</v>
      </c>
      <c r="W220" s="38" t="s">
        <v>54</v>
      </c>
    </row>
    <row r="221">
      <c r="A221" s="38" t="s">
        <v>1432</v>
      </c>
      <c r="B221" s="38" t="s">
        <v>1435</v>
      </c>
      <c r="C221" s="38" t="s">
        <v>392</v>
      </c>
      <c r="D221" s="38" t="s">
        <v>368</v>
      </c>
      <c r="E221" s="38" t="s">
        <v>1874</v>
      </c>
      <c r="F221" s="38" t="s">
        <v>1875</v>
      </c>
      <c r="G221" s="38" t="s">
        <v>1876</v>
      </c>
      <c r="H221" s="38" t="s">
        <v>54</v>
      </c>
      <c r="I221" s="38" t="s">
        <v>55</v>
      </c>
      <c r="J221" s="38" t="s">
        <v>70</v>
      </c>
      <c r="K221" s="37">
        <v>2.30074E7</v>
      </c>
      <c r="L221" s="38" t="s">
        <v>52</v>
      </c>
      <c r="M221" s="38" t="s">
        <v>1771</v>
      </c>
      <c r="N221" s="38" t="s">
        <v>368</v>
      </c>
      <c r="O221" s="38" t="s">
        <v>4269</v>
      </c>
      <c r="P221" s="37">
        <v>0.646</v>
      </c>
      <c r="Q221" s="38" t="s">
        <v>4270</v>
      </c>
      <c r="R221" s="38" t="s">
        <v>686</v>
      </c>
      <c r="S221" s="38" t="s">
        <v>54</v>
      </c>
      <c r="T221" s="38" t="s">
        <v>49</v>
      </c>
      <c r="U221" s="38" t="s">
        <v>687</v>
      </c>
      <c r="V221" s="38" t="s">
        <v>1877</v>
      </c>
      <c r="W221" s="38" t="s">
        <v>54</v>
      </c>
    </row>
    <row r="222">
      <c r="A222" s="38" t="s">
        <v>690</v>
      </c>
      <c r="B222" s="38" t="s">
        <v>693</v>
      </c>
      <c r="C222" s="38" t="s">
        <v>57</v>
      </c>
      <c r="D222" s="38" t="s">
        <v>258</v>
      </c>
      <c r="E222" s="38" t="s">
        <v>2292</v>
      </c>
      <c r="F222" s="38" t="s">
        <v>174</v>
      </c>
      <c r="G222" s="38" t="s">
        <v>2293</v>
      </c>
      <c r="H222" s="38" t="s">
        <v>54</v>
      </c>
      <c r="I222" s="38" t="s">
        <v>55</v>
      </c>
      <c r="J222" s="38" t="s">
        <v>56</v>
      </c>
      <c r="K222" s="37">
        <v>1.7625E8</v>
      </c>
      <c r="L222" s="38" t="s">
        <v>52</v>
      </c>
      <c r="M222" s="38" t="s">
        <v>174</v>
      </c>
      <c r="N222" s="38" t="s">
        <v>258</v>
      </c>
      <c r="O222" s="38" t="s">
        <v>376</v>
      </c>
      <c r="P222" s="37">
        <v>0.0</v>
      </c>
      <c r="Q222" s="38" t="s">
        <v>4271</v>
      </c>
      <c r="R222" s="38" t="s">
        <v>2294</v>
      </c>
      <c r="S222" s="38" t="s">
        <v>54</v>
      </c>
      <c r="T222" s="38" t="s">
        <v>49</v>
      </c>
      <c r="U222" s="38" t="s">
        <v>53</v>
      </c>
      <c r="V222" s="38" t="s">
        <v>2295</v>
      </c>
      <c r="W222" s="38" t="s">
        <v>54</v>
      </c>
    </row>
    <row r="223">
      <c r="A223" s="38" t="s">
        <v>166</v>
      </c>
      <c r="B223" s="38" t="s">
        <v>169</v>
      </c>
      <c r="C223" s="38" t="s">
        <v>57</v>
      </c>
      <c r="D223" s="38" t="s">
        <v>171</v>
      </c>
      <c r="E223" s="38" t="s">
        <v>2651</v>
      </c>
      <c r="F223" s="38" t="s">
        <v>2652</v>
      </c>
      <c r="G223" s="38" t="s">
        <v>2653</v>
      </c>
      <c r="H223" s="38" t="s">
        <v>54</v>
      </c>
      <c r="I223" s="38" t="s">
        <v>55</v>
      </c>
      <c r="J223" s="38" t="s">
        <v>56</v>
      </c>
      <c r="K223" s="37">
        <v>5.92785E8</v>
      </c>
      <c r="L223" s="38" t="s">
        <v>52</v>
      </c>
      <c r="M223" s="38" t="s">
        <v>1771</v>
      </c>
      <c r="N223" s="38" t="s">
        <v>170</v>
      </c>
      <c r="O223" s="38" t="s">
        <v>438</v>
      </c>
      <c r="P223" s="37">
        <v>0.625</v>
      </c>
      <c r="Q223" s="38" t="s">
        <v>47</v>
      </c>
      <c r="R223" s="38" t="s">
        <v>226</v>
      </c>
      <c r="S223" s="38" t="s">
        <v>175</v>
      </c>
      <c r="T223" s="38" t="s">
        <v>115</v>
      </c>
      <c r="U223" s="38" t="s">
        <v>53</v>
      </c>
      <c r="V223" s="38" t="s">
        <v>2654</v>
      </c>
      <c r="W223" s="37">
        <v>0.613</v>
      </c>
    </row>
    <row r="224">
      <c r="A224" s="38" t="s">
        <v>477</v>
      </c>
      <c r="B224" s="38" t="s">
        <v>480</v>
      </c>
      <c r="C224" s="38" t="s">
        <v>392</v>
      </c>
      <c r="D224" s="38" t="s">
        <v>45</v>
      </c>
      <c r="E224" s="38" t="s">
        <v>2023</v>
      </c>
      <c r="F224" s="38" t="s">
        <v>2024</v>
      </c>
      <c r="G224" s="38" t="s">
        <v>2025</v>
      </c>
      <c r="H224" s="38" t="s">
        <v>54</v>
      </c>
      <c r="I224" s="38" t="s">
        <v>55</v>
      </c>
      <c r="J224" s="38" t="s">
        <v>70</v>
      </c>
      <c r="K224" s="37">
        <v>6.861717E8</v>
      </c>
      <c r="L224" s="38" t="s">
        <v>459</v>
      </c>
      <c r="M224" s="38" t="s">
        <v>1771</v>
      </c>
      <c r="N224" s="38" t="s">
        <v>45</v>
      </c>
      <c r="O224" s="38" t="s">
        <v>4272</v>
      </c>
      <c r="P224" s="37">
        <v>0.0</v>
      </c>
      <c r="Q224" s="38" t="s">
        <v>4273</v>
      </c>
      <c r="R224" s="38" t="s">
        <v>226</v>
      </c>
      <c r="S224" s="38" t="s">
        <v>190</v>
      </c>
      <c r="T224" s="38" t="s">
        <v>49</v>
      </c>
      <c r="U224" s="38" t="s">
        <v>53</v>
      </c>
      <c r="V224" s="38" t="s">
        <v>2026</v>
      </c>
      <c r="W224" s="37">
        <v>-0.054</v>
      </c>
    </row>
    <row r="225">
      <c r="A225" s="38" t="s">
        <v>477</v>
      </c>
      <c r="B225" s="38" t="s">
        <v>480</v>
      </c>
      <c r="C225" s="38" t="s">
        <v>57</v>
      </c>
      <c r="D225" s="38" t="s">
        <v>45</v>
      </c>
      <c r="E225" s="38" t="s">
        <v>2027</v>
      </c>
      <c r="F225" s="38" t="s">
        <v>2028</v>
      </c>
      <c r="G225" s="38" t="s">
        <v>2029</v>
      </c>
      <c r="H225" s="38" t="s">
        <v>54</v>
      </c>
      <c r="I225" s="38" t="s">
        <v>55</v>
      </c>
      <c r="J225" s="38" t="s">
        <v>56</v>
      </c>
      <c r="K225" s="37">
        <v>9.1581E8</v>
      </c>
      <c r="L225" s="38" t="s">
        <v>459</v>
      </c>
      <c r="M225" s="38" t="s">
        <v>1771</v>
      </c>
      <c r="N225" s="38" t="s">
        <v>45</v>
      </c>
      <c r="O225" s="38" t="s">
        <v>4274</v>
      </c>
      <c r="P225" s="37">
        <v>0.25</v>
      </c>
      <c r="Q225" s="38" t="s">
        <v>4275</v>
      </c>
      <c r="R225" s="38" t="s">
        <v>226</v>
      </c>
      <c r="S225" s="38" t="s">
        <v>190</v>
      </c>
      <c r="T225" s="38" t="s">
        <v>49</v>
      </c>
      <c r="U225" s="38" t="s">
        <v>53</v>
      </c>
      <c r="V225" s="38" t="s">
        <v>2030</v>
      </c>
      <c r="W225" s="37">
        <v>0.275</v>
      </c>
    </row>
    <row r="226">
      <c r="A226" s="38" t="s">
        <v>917</v>
      </c>
      <c r="B226" s="38" t="s">
        <v>920</v>
      </c>
      <c r="C226" s="38" t="s">
        <v>57</v>
      </c>
      <c r="D226" s="38" t="s">
        <v>185</v>
      </c>
      <c r="E226" s="38" t="s">
        <v>2917</v>
      </c>
      <c r="F226" s="38" t="s">
        <v>2918</v>
      </c>
      <c r="G226" s="38" t="s">
        <v>2919</v>
      </c>
      <c r="H226" s="38" t="s">
        <v>54</v>
      </c>
      <c r="I226" s="38" t="s">
        <v>421</v>
      </c>
      <c r="J226" s="38" t="s">
        <v>56</v>
      </c>
      <c r="K226" s="37">
        <v>3.282093E7</v>
      </c>
      <c r="L226" s="38" t="s">
        <v>118</v>
      </c>
      <c r="M226" s="38" t="s">
        <v>174</v>
      </c>
      <c r="N226" s="38" t="s">
        <v>185</v>
      </c>
      <c r="O226" s="38" t="s">
        <v>4276</v>
      </c>
      <c r="P226" s="37">
        <v>0.0</v>
      </c>
      <c r="Q226" s="38" t="s">
        <v>4277</v>
      </c>
      <c r="R226" s="38" t="s">
        <v>226</v>
      </c>
      <c r="S226" s="38" t="s">
        <v>54</v>
      </c>
      <c r="T226" s="38" t="s">
        <v>49</v>
      </c>
      <c r="U226" s="38" t="s">
        <v>53</v>
      </c>
      <c r="V226" s="38" t="s">
        <v>2920</v>
      </c>
      <c r="W226" s="38" t="s">
        <v>54</v>
      </c>
    </row>
    <row r="227">
      <c r="A227" s="38" t="s">
        <v>1560</v>
      </c>
      <c r="B227" s="38" t="s">
        <v>1563</v>
      </c>
      <c r="C227" s="38" t="s">
        <v>71</v>
      </c>
      <c r="D227" s="38" t="s">
        <v>258</v>
      </c>
      <c r="E227" s="38" t="s">
        <v>2756</v>
      </c>
      <c r="F227" s="38" t="s">
        <v>2757</v>
      </c>
      <c r="G227" s="38" t="s">
        <v>2758</v>
      </c>
      <c r="H227" s="37">
        <v>3.781</v>
      </c>
      <c r="I227" s="38" t="s">
        <v>55</v>
      </c>
      <c r="J227" s="38" t="s">
        <v>56</v>
      </c>
      <c r="K227" s="37">
        <v>5.0E8</v>
      </c>
      <c r="L227" s="38" t="s">
        <v>52</v>
      </c>
      <c r="M227" s="38" t="s">
        <v>1776</v>
      </c>
      <c r="N227" s="38" t="s">
        <v>367</v>
      </c>
      <c r="O227" s="38" t="s">
        <v>4278</v>
      </c>
      <c r="P227" s="37">
        <v>3.75</v>
      </c>
      <c r="Q227" s="38" t="s">
        <v>4279</v>
      </c>
      <c r="R227" s="38" t="s">
        <v>262</v>
      </c>
      <c r="S227" s="38" t="s">
        <v>175</v>
      </c>
      <c r="T227" s="38" t="s">
        <v>115</v>
      </c>
      <c r="U227" s="38" t="s">
        <v>263</v>
      </c>
      <c r="V227" s="38" t="s">
        <v>2759</v>
      </c>
      <c r="W227" s="38" t="s">
        <v>54</v>
      </c>
    </row>
    <row r="228">
      <c r="A228" s="38" t="s">
        <v>1560</v>
      </c>
      <c r="B228" s="38" t="s">
        <v>1563</v>
      </c>
      <c r="C228" s="38" t="s">
        <v>71</v>
      </c>
      <c r="D228" s="38" t="s">
        <v>258</v>
      </c>
      <c r="E228" s="38" t="s">
        <v>2760</v>
      </c>
      <c r="F228" s="38" t="s">
        <v>2761</v>
      </c>
      <c r="G228" s="38" t="s">
        <v>2762</v>
      </c>
      <c r="H228" s="37">
        <v>3.781</v>
      </c>
      <c r="I228" s="38" t="s">
        <v>55</v>
      </c>
      <c r="J228" s="38" t="s">
        <v>56</v>
      </c>
      <c r="K228" s="37">
        <v>5.0E8</v>
      </c>
      <c r="L228" s="38" t="s">
        <v>52</v>
      </c>
      <c r="M228" s="38" t="s">
        <v>1776</v>
      </c>
      <c r="N228" s="38" t="s">
        <v>367</v>
      </c>
      <c r="O228" s="38" t="s">
        <v>4278</v>
      </c>
      <c r="P228" s="37">
        <v>3.75</v>
      </c>
      <c r="Q228" s="38" t="s">
        <v>4279</v>
      </c>
      <c r="R228" s="38" t="s">
        <v>271</v>
      </c>
      <c r="S228" s="38" t="s">
        <v>175</v>
      </c>
      <c r="T228" s="38" t="s">
        <v>115</v>
      </c>
      <c r="U228" s="38" t="s">
        <v>263</v>
      </c>
      <c r="V228" s="38" t="s">
        <v>2763</v>
      </c>
      <c r="W228" s="38" t="s">
        <v>54</v>
      </c>
    </row>
    <row r="229">
      <c r="A229" s="38" t="s">
        <v>477</v>
      </c>
      <c r="B229" s="38" t="s">
        <v>480</v>
      </c>
      <c r="C229" s="38" t="s">
        <v>57</v>
      </c>
      <c r="D229" s="38" t="s">
        <v>45</v>
      </c>
      <c r="E229" s="38" t="s">
        <v>2031</v>
      </c>
      <c r="F229" s="38" t="s">
        <v>2032</v>
      </c>
      <c r="G229" s="38" t="s">
        <v>2033</v>
      </c>
      <c r="H229" s="38" t="s">
        <v>54</v>
      </c>
      <c r="I229" s="38" t="s">
        <v>55</v>
      </c>
      <c r="J229" s="38" t="s">
        <v>56</v>
      </c>
      <c r="K229" s="37">
        <v>1.18962E8</v>
      </c>
      <c r="L229" s="38" t="s">
        <v>2012</v>
      </c>
      <c r="M229" s="38" t="s">
        <v>2013</v>
      </c>
      <c r="N229" s="38" t="s">
        <v>45</v>
      </c>
      <c r="O229" s="38" t="s">
        <v>4280</v>
      </c>
      <c r="P229" s="37">
        <v>0.625</v>
      </c>
      <c r="Q229" s="38" t="s">
        <v>4281</v>
      </c>
      <c r="R229" s="38" t="s">
        <v>226</v>
      </c>
      <c r="S229" s="38" t="s">
        <v>117</v>
      </c>
      <c r="T229" s="38" t="s">
        <v>49</v>
      </c>
      <c r="U229" s="38" t="s">
        <v>53</v>
      </c>
      <c r="V229" s="38" t="s">
        <v>2034</v>
      </c>
      <c r="W229" s="37">
        <v>0.607</v>
      </c>
    </row>
    <row r="230">
      <c r="A230" s="38" t="s">
        <v>1360</v>
      </c>
      <c r="B230" s="38" t="s">
        <v>1363</v>
      </c>
      <c r="C230" s="38" t="s">
        <v>57</v>
      </c>
      <c r="D230" s="38" t="s">
        <v>200</v>
      </c>
      <c r="E230" s="38" t="s">
        <v>3242</v>
      </c>
      <c r="F230" s="38" t="s">
        <v>3243</v>
      </c>
      <c r="G230" s="38" t="s">
        <v>3244</v>
      </c>
      <c r="H230" s="38" t="s">
        <v>54</v>
      </c>
      <c r="I230" s="38" t="s">
        <v>117</v>
      </c>
      <c r="J230" s="38" t="s">
        <v>56</v>
      </c>
      <c r="K230" s="37">
        <v>5.92425E8</v>
      </c>
      <c r="L230" s="38" t="s">
        <v>52</v>
      </c>
      <c r="M230" s="38" t="s">
        <v>1840</v>
      </c>
      <c r="N230" s="38" t="s">
        <v>200</v>
      </c>
      <c r="O230" s="38" t="s">
        <v>4282</v>
      </c>
      <c r="P230" s="37">
        <v>0.625</v>
      </c>
      <c r="Q230" s="38" t="s">
        <v>4281</v>
      </c>
      <c r="R230" s="38" t="s">
        <v>226</v>
      </c>
      <c r="S230" s="38" t="s">
        <v>175</v>
      </c>
      <c r="T230" s="38" t="s">
        <v>115</v>
      </c>
      <c r="U230" s="38" t="s">
        <v>53</v>
      </c>
      <c r="V230" s="38" t="s">
        <v>3245</v>
      </c>
      <c r="W230" s="37">
        <v>0.699</v>
      </c>
    </row>
    <row r="231">
      <c r="A231" s="38" t="s">
        <v>1626</v>
      </c>
      <c r="B231" s="38" t="s">
        <v>1629</v>
      </c>
      <c r="C231" s="38" t="s">
        <v>57</v>
      </c>
      <c r="D231" s="38" t="s">
        <v>45</v>
      </c>
      <c r="E231" s="38" t="s">
        <v>2705</v>
      </c>
      <c r="F231" s="38" t="s">
        <v>174</v>
      </c>
      <c r="G231" s="38" t="s">
        <v>2706</v>
      </c>
      <c r="H231" s="38" t="s">
        <v>54</v>
      </c>
      <c r="I231" s="38" t="s">
        <v>55</v>
      </c>
      <c r="J231" s="38" t="s">
        <v>56</v>
      </c>
      <c r="K231" s="37">
        <v>2.3437E7</v>
      </c>
      <c r="L231" s="38" t="s">
        <v>52</v>
      </c>
      <c r="M231" s="38" t="s">
        <v>174</v>
      </c>
      <c r="N231" s="38" t="s">
        <v>45</v>
      </c>
      <c r="O231" s="38" t="s">
        <v>4283</v>
      </c>
      <c r="P231" s="37">
        <v>0.0</v>
      </c>
      <c r="Q231" s="38" t="s">
        <v>4284</v>
      </c>
      <c r="R231" s="38" t="s">
        <v>69</v>
      </c>
      <c r="S231" s="38" t="s">
        <v>54</v>
      </c>
      <c r="T231" s="38" t="s">
        <v>49</v>
      </c>
      <c r="U231" s="38" t="s">
        <v>53</v>
      </c>
      <c r="V231" s="38" t="s">
        <v>2707</v>
      </c>
      <c r="W231" s="38" t="s">
        <v>54</v>
      </c>
    </row>
    <row r="232">
      <c r="A232" s="38" t="s">
        <v>1560</v>
      </c>
      <c r="B232" s="38" t="s">
        <v>1563</v>
      </c>
      <c r="C232" s="38" t="s">
        <v>57</v>
      </c>
      <c r="D232" s="38" t="s">
        <v>258</v>
      </c>
      <c r="E232" s="38" t="s">
        <v>2764</v>
      </c>
      <c r="F232" s="38" t="s">
        <v>2765</v>
      </c>
      <c r="G232" s="38" t="s">
        <v>2766</v>
      </c>
      <c r="H232" s="37">
        <v>1.032</v>
      </c>
      <c r="I232" s="38" t="s">
        <v>55</v>
      </c>
      <c r="J232" s="38" t="s">
        <v>56</v>
      </c>
      <c r="K232" s="37">
        <v>5.91625E8</v>
      </c>
      <c r="L232" s="38" t="s">
        <v>52</v>
      </c>
      <c r="M232" s="38" t="s">
        <v>1776</v>
      </c>
      <c r="N232" s="38" t="s">
        <v>367</v>
      </c>
      <c r="O232" s="38" t="s">
        <v>4285</v>
      </c>
      <c r="P232" s="37">
        <v>1.0</v>
      </c>
      <c r="Q232" s="38" t="s">
        <v>4286</v>
      </c>
      <c r="R232" s="38" t="s">
        <v>174</v>
      </c>
      <c r="S232" s="38" t="s">
        <v>175</v>
      </c>
      <c r="T232" s="38" t="s">
        <v>49</v>
      </c>
      <c r="U232" s="38" t="s">
        <v>53</v>
      </c>
      <c r="V232" s="38" t="s">
        <v>2767</v>
      </c>
      <c r="W232" s="37">
        <v>0.964</v>
      </c>
    </row>
    <row r="233">
      <c r="A233" s="38" t="s">
        <v>477</v>
      </c>
      <c r="B233" s="38" t="s">
        <v>480</v>
      </c>
      <c r="C233" s="38" t="s">
        <v>57</v>
      </c>
      <c r="D233" s="38" t="s">
        <v>45</v>
      </c>
      <c r="E233" s="38" t="s">
        <v>2035</v>
      </c>
      <c r="F233" s="38" t="s">
        <v>2036</v>
      </c>
      <c r="G233" s="38" t="s">
        <v>2037</v>
      </c>
      <c r="H233" s="38" t="s">
        <v>54</v>
      </c>
      <c r="I233" s="38" t="s">
        <v>55</v>
      </c>
      <c r="J233" s="38" t="s">
        <v>56</v>
      </c>
      <c r="K233" s="37">
        <v>1.17628E7</v>
      </c>
      <c r="L233" s="38" t="s">
        <v>483</v>
      </c>
      <c r="M233" s="38" t="s">
        <v>174</v>
      </c>
      <c r="N233" s="38" t="s">
        <v>45</v>
      </c>
      <c r="O233" s="38" t="s">
        <v>4287</v>
      </c>
      <c r="P233" s="37">
        <v>0.03</v>
      </c>
      <c r="Q233" s="38" t="s">
        <v>4288</v>
      </c>
      <c r="R233" s="38" t="s">
        <v>226</v>
      </c>
      <c r="S233" s="38" t="s">
        <v>484</v>
      </c>
      <c r="T233" s="38" t="s">
        <v>49</v>
      </c>
      <c r="U233" s="38" t="s">
        <v>53</v>
      </c>
      <c r="V233" s="38" t="s">
        <v>2038</v>
      </c>
      <c r="W233" s="38" t="s">
        <v>54</v>
      </c>
    </row>
    <row r="234">
      <c r="A234" s="38" t="s">
        <v>477</v>
      </c>
      <c r="B234" s="38" t="s">
        <v>480</v>
      </c>
      <c r="C234" s="38" t="s">
        <v>57</v>
      </c>
      <c r="D234" s="38" t="s">
        <v>45</v>
      </c>
      <c r="E234" s="38" t="s">
        <v>2039</v>
      </c>
      <c r="F234" s="38" t="s">
        <v>2040</v>
      </c>
      <c r="G234" s="38" t="s">
        <v>2041</v>
      </c>
      <c r="H234" s="37">
        <v>-0.39999999999999997</v>
      </c>
      <c r="I234" s="38" t="s">
        <v>55</v>
      </c>
      <c r="J234" s="38" t="s">
        <v>56</v>
      </c>
      <c r="K234" s="37">
        <v>8.810625E8</v>
      </c>
      <c r="L234" s="38" t="s">
        <v>459</v>
      </c>
      <c r="M234" s="38" t="s">
        <v>1771</v>
      </c>
      <c r="N234" s="38" t="s">
        <v>45</v>
      </c>
      <c r="O234" s="38" t="s">
        <v>4289</v>
      </c>
      <c r="P234" s="37">
        <v>0.01</v>
      </c>
      <c r="Q234" s="38" t="s">
        <v>4290</v>
      </c>
      <c r="R234" s="38" t="s">
        <v>226</v>
      </c>
      <c r="S234" s="38" t="s">
        <v>190</v>
      </c>
      <c r="T234" s="38" t="s">
        <v>49</v>
      </c>
      <c r="U234" s="38" t="s">
        <v>53</v>
      </c>
      <c r="V234" s="38" t="s">
        <v>2042</v>
      </c>
      <c r="W234" s="37">
        <v>-0.423</v>
      </c>
    </row>
    <row r="235">
      <c r="A235" s="38" t="s">
        <v>166</v>
      </c>
      <c r="B235" s="38" t="s">
        <v>169</v>
      </c>
      <c r="C235" s="38" t="s">
        <v>57</v>
      </c>
      <c r="D235" s="38" t="s">
        <v>171</v>
      </c>
      <c r="E235" s="38" t="s">
        <v>2655</v>
      </c>
      <c r="F235" s="38" t="s">
        <v>2656</v>
      </c>
      <c r="G235" s="38" t="s">
        <v>2657</v>
      </c>
      <c r="H235" s="37">
        <v>0.604</v>
      </c>
      <c r="I235" s="38" t="s">
        <v>55</v>
      </c>
      <c r="J235" s="38" t="s">
        <v>56</v>
      </c>
      <c r="K235" s="37">
        <v>1.18896E9</v>
      </c>
      <c r="L235" s="38" t="s">
        <v>52</v>
      </c>
      <c r="M235" s="38" t="s">
        <v>1771</v>
      </c>
      <c r="N235" s="38" t="s">
        <v>170</v>
      </c>
      <c r="O235" s="38" t="s">
        <v>4291</v>
      </c>
      <c r="P235" s="37">
        <v>0.5</v>
      </c>
      <c r="Q235" s="38" t="s">
        <v>4292</v>
      </c>
      <c r="R235" s="38" t="s">
        <v>226</v>
      </c>
      <c r="S235" s="38" t="s">
        <v>175</v>
      </c>
      <c r="T235" s="38" t="s">
        <v>115</v>
      </c>
      <c r="U235" s="38" t="s">
        <v>53</v>
      </c>
      <c r="V235" s="38" t="s">
        <v>2658</v>
      </c>
      <c r="W235" s="37">
        <v>0.601</v>
      </c>
    </row>
    <row r="236">
      <c r="A236" s="38" t="s">
        <v>1217</v>
      </c>
      <c r="B236" s="38" t="s">
        <v>1220</v>
      </c>
      <c r="C236" s="38" t="s">
        <v>57</v>
      </c>
      <c r="D236" s="38" t="s">
        <v>45</v>
      </c>
      <c r="E236" s="38" t="s">
        <v>2884</v>
      </c>
      <c r="F236" s="38" t="s">
        <v>2885</v>
      </c>
      <c r="G236" s="38" t="s">
        <v>2886</v>
      </c>
      <c r="H236" s="38" t="s">
        <v>54</v>
      </c>
      <c r="I236" s="38" t="s">
        <v>421</v>
      </c>
      <c r="J236" s="38" t="s">
        <v>56</v>
      </c>
      <c r="K236" s="37">
        <v>5.9094E8</v>
      </c>
      <c r="L236" s="38" t="s">
        <v>52</v>
      </c>
      <c r="M236" s="38" t="s">
        <v>1771</v>
      </c>
      <c r="N236" s="38" t="s">
        <v>45</v>
      </c>
      <c r="O236" s="38" t="s">
        <v>4293</v>
      </c>
      <c r="P236" s="37">
        <v>0.0</v>
      </c>
      <c r="Q236" s="38" t="s">
        <v>4294</v>
      </c>
      <c r="R236" s="38" t="s">
        <v>226</v>
      </c>
      <c r="S236" s="38" t="s">
        <v>175</v>
      </c>
      <c r="T236" s="38" t="s">
        <v>115</v>
      </c>
      <c r="U236" s="38" t="s">
        <v>53</v>
      </c>
      <c r="V236" s="38" t="s">
        <v>2887</v>
      </c>
      <c r="W236" s="37">
        <v>0.128</v>
      </c>
    </row>
    <row r="237">
      <c r="A237" s="38" t="s">
        <v>477</v>
      </c>
      <c r="B237" s="38" t="s">
        <v>480</v>
      </c>
      <c r="C237" s="38" t="s">
        <v>57</v>
      </c>
      <c r="D237" s="38" t="s">
        <v>45</v>
      </c>
      <c r="E237" s="38" t="s">
        <v>2043</v>
      </c>
      <c r="F237" s="38" t="s">
        <v>2044</v>
      </c>
      <c r="G237" s="38" t="s">
        <v>2045</v>
      </c>
      <c r="H237" s="38" t="s">
        <v>54</v>
      </c>
      <c r="I237" s="38" t="s">
        <v>55</v>
      </c>
      <c r="J237" s="38" t="s">
        <v>56</v>
      </c>
      <c r="K237" s="37">
        <v>1.16014E7</v>
      </c>
      <c r="L237" s="38" t="s">
        <v>52</v>
      </c>
      <c r="M237" s="38" t="s">
        <v>1771</v>
      </c>
      <c r="N237" s="38" t="s">
        <v>45</v>
      </c>
      <c r="O237" s="38" t="s">
        <v>898</v>
      </c>
      <c r="P237" s="37">
        <v>0.375</v>
      </c>
      <c r="Q237" s="38" t="s">
        <v>4295</v>
      </c>
      <c r="R237" s="38" t="s">
        <v>226</v>
      </c>
      <c r="S237" s="38" t="s">
        <v>484</v>
      </c>
      <c r="T237" s="38" t="s">
        <v>115</v>
      </c>
      <c r="U237" s="38" t="s">
        <v>53</v>
      </c>
      <c r="V237" s="38" t="s">
        <v>2046</v>
      </c>
      <c r="W237" s="38" t="s">
        <v>54</v>
      </c>
    </row>
    <row r="238">
      <c r="A238" s="38" t="s">
        <v>1526</v>
      </c>
      <c r="B238" s="38" t="s">
        <v>1529</v>
      </c>
      <c r="C238" s="38" t="s">
        <v>57</v>
      </c>
      <c r="D238" s="38" t="s">
        <v>185</v>
      </c>
      <c r="E238" s="38" t="s">
        <v>3005</v>
      </c>
      <c r="F238" s="38" t="s">
        <v>3006</v>
      </c>
      <c r="G238" s="38" t="s">
        <v>3007</v>
      </c>
      <c r="H238" s="38" t="s">
        <v>54</v>
      </c>
      <c r="I238" s="38" t="s">
        <v>421</v>
      </c>
      <c r="J238" s="38" t="s">
        <v>56</v>
      </c>
      <c r="K238" s="37">
        <v>5.8095E8</v>
      </c>
      <c r="L238" s="38" t="s">
        <v>52</v>
      </c>
      <c r="M238" s="38" t="s">
        <v>1776</v>
      </c>
      <c r="N238" s="38" t="s">
        <v>185</v>
      </c>
      <c r="O238" s="38" t="s">
        <v>1188</v>
      </c>
      <c r="P238" s="37">
        <v>0.125</v>
      </c>
      <c r="Q238" s="38" t="s">
        <v>1189</v>
      </c>
      <c r="R238" s="38" t="s">
        <v>3008</v>
      </c>
      <c r="S238" s="38" t="s">
        <v>620</v>
      </c>
      <c r="T238" s="38" t="s">
        <v>115</v>
      </c>
      <c r="U238" s="38" t="s">
        <v>53</v>
      </c>
      <c r="V238" s="38" t="s">
        <v>3009</v>
      </c>
      <c r="W238" s="37">
        <v>0.295</v>
      </c>
    </row>
    <row r="239">
      <c r="A239" s="38" t="s">
        <v>1336</v>
      </c>
      <c r="B239" s="38" t="s">
        <v>1339</v>
      </c>
      <c r="C239" s="38" t="s">
        <v>71</v>
      </c>
      <c r="D239" s="38" t="s">
        <v>1340</v>
      </c>
      <c r="E239" s="38" t="s">
        <v>2344</v>
      </c>
      <c r="F239" s="38" t="s">
        <v>2345</v>
      </c>
      <c r="G239" s="38" t="s">
        <v>2346</v>
      </c>
      <c r="H239" s="38" t="s">
        <v>54</v>
      </c>
      <c r="I239" s="38" t="s">
        <v>55</v>
      </c>
      <c r="J239" s="38" t="s">
        <v>56</v>
      </c>
      <c r="K239" s="37">
        <v>2.3292282E7</v>
      </c>
      <c r="L239" s="38" t="s">
        <v>52</v>
      </c>
      <c r="M239" s="38" t="s">
        <v>1771</v>
      </c>
      <c r="N239" s="38" t="s">
        <v>170</v>
      </c>
      <c r="O239" s="38" t="s">
        <v>4296</v>
      </c>
      <c r="P239" s="37">
        <v>0.35</v>
      </c>
      <c r="Q239" s="38" t="s">
        <v>4204</v>
      </c>
      <c r="R239" s="38" t="s">
        <v>226</v>
      </c>
      <c r="S239" s="38" t="s">
        <v>54</v>
      </c>
      <c r="T239" s="38" t="s">
        <v>49</v>
      </c>
      <c r="U239" s="38" t="s">
        <v>976</v>
      </c>
      <c r="V239" s="38" t="s">
        <v>2347</v>
      </c>
      <c r="W239" s="37">
        <v>0.362</v>
      </c>
    </row>
    <row r="240">
      <c r="A240" s="38" t="s">
        <v>477</v>
      </c>
      <c r="B240" s="38" t="s">
        <v>480</v>
      </c>
      <c r="C240" s="38" t="s">
        <v>57</v>
      </c>
      <c r="D240" s="38" t="s">
        <v>45</v>
      </c>
      <c r="E240" s="38" t="s">
        <v>2047</v>
      </c>
      <c r="F240" s="38" t="s">
        <v>2048</v>
      </c>
      <c r="G240" s="38" t="s">
        <v>2049</v>
      </c>
      <c r="H240" s="38" t="s">
        <v>54</v>
      </c>
      <c r="I240" s="38" t="s">
        <v>55</v>
      </c>
      <c r="J240" s="38" t="s">
        <v>56</v>
      </c>
      <c r="K240" s="37">
        <v>9244480.0</v>
      </c>
      <c r="L240" s="38" t="s">
        <v>483</v>
      </c>
      <c r="M240" s="38" t="s">
        <v>174</v>
      </c>
      <c r="N240" s="38" t="s">
        <v>45</v>
      </c>
      <c r="O240" s="38" t="s">
        <v>4296</v>
      </c>
      <c r="P240" s="37">
        <v>0.4</v>
      </c>
      <c r="Q240" s="38" t="s">
        <v>4297</v>
      </c>
      <c r="R240" s="38" t="s">
        <v>226</v>
      </c>
      <c r="S240" s="38" t="s">
        <v>484</v>
      </c>
      <c r="T240" s="38" t="s">
        <v>115</v>
      </c>
      <c r="U240" s="38" t="s">
        <v>53</v>
      </c>
      <c r="V240" s="38" t="s">
        <v>2050</v>
      </c>
      <c r="W240" s="38" t="s">
        <v>54</v>
      </c>
    </row>
    <row r="241">
      <c r="A241" s="38" t="s">
        <v>477</v>
      </c>
      <c r="B241" s="38" t="s">
        <v>480</v>
      </c>
      <c r="C241" s="38" t="s">
        <v>57</v>
      </c>
      <c r="D241" s="38" t="s">
        <v>45</v>
      </c>
      <c r="E241" s="38" t="s">
        <v>2051</v>
      </c>
      <c r="F241" s="38" t="s">
        <v>2052</v>
      </c>
      <c r="G241" s="38" t="s">
        <v>2053</v>
      </c>
      <c r="H241" s="38" t="s">
        <v>54</v>
      </c>
      <c r="I241" s="38" t="s">
        <v>55</v>
      </c>
      <c r="J241" s="38" t="s">
        <v>56</v>
      </c>
      <c r="K241" s="37">
        <v>2.31112E7</v>
      </c>
      <c r="L241" s="38" t="s">
        <v>483</v>
      </c>
      <c r="M241" s="38" t="s">
        <v>174</v>
      </c>
      <c r="N241" s="38" t="s">
        <v>45</v>
      </c>
      <c r="O241" s="38" t="s">
        <v>4296</v>
      </c>
      <c r="P241" s="37">
        <v>0.46</v>
      </c>
      <c r="Q241" s="38" t="s">
        <v>4297</v>
      </c>
      <c r="R241" s="38" t="s">
        <v>226</v>
      </c>
      <c r="S241" s="38" t="s">
        <v>484</v>
      </c>
      <c r="T241" s="38" t="s">
        <v>115</v>
      </c>
      <c r="U241" s="38" t="s">
        <v>53</v>
      </c>
      <c r="V241" s="38" t="s">
        <v>2054</v>
      </c>
      <c r="W241" s="38" t="s">
        <v>54</v>
      </c>
    </row>
    <row r="242">
      <c r="A242" s="38" t="s">
        <v>166</v>
      </c>
      <c r="B242" s="38" t="s">
        <v>169</v>
      </c>
      <c r="C242" s="38" t="s">
        <v>57</v>
      </c>
      <c r="D242" s="38" t="s">
        <v>171</v>
      </c>
      <c r="E242" s="38" t="s">
        <v>2659</v>
      </c>
      <c r="F242" s="38" t="s">
        <v>2660</v>
      </c>
      <c r="G242" s="38" t="s">
        <v>2661</v>
      </c>
      <c r="H242" s="38" t="s">
        <v>54</v>
      </c>
      <c r="I242" s="38" t="s">
        <v>55</v>
      </c>
      <c r="J242" s="38" t="s">
        <v>56</v>
      </c>
      <c r="K242" s="37">
        <v>3.47044643E8</v>
      </c>
      <c r="L242" s="38" t="s">
        <v>52</v>
      </c>
      <c r="M242" s="38" t="s">
        <v>1771</v>
      </c>
      <c r="N242" s="38" t="s">
        <v>170</v>
      </c>
      <c r="O242" s="38" t="s">
        <v>4298</v>
      </c>
      <c r="P242" s="37">
        <v>1.375</v>
      </c>
      <c r="Q242" s="38" t="s">
        <v>4299</v>
      </c>
      <c r="R242" s="38" t="s">
        <v>226</v>
      </c>
      <c r="S242" s="38" t="s">
        <v>175</v>
      </c>
      <c r="T242" s="38" t="s">
        <v>49</v>
      </c>
      <c r="U242" s="38" t="s">
        <v>53</v>
      </c>
      <c r="V242" s="38" t="s">
        <v>2662</v>
      </c>
      <c r="W242" s="37">
        <v>1.186</v>
      </c>
    </row>
    <row r="243">
      <c r="A243" s="38" t="s">
        <v>477</v>
      </c>
      <c r="B243" s="38" t="s">
        <v>480</v>
      </c>
      <c r="C243" s="38" t="s">
        <v>57</v>
      </c>
      <c r="D243" s="38" t="s">
        <v>45</v>
      </c>
      <c r="E243" s="38" t="s">
        <v>2055</v>
      </c>
      <c r="F243" s="38" t="s">
        <v>2056</v>
      </c>
      <c r="G243" s="38" t="s">
        <v>2057</v>
      </c>
      <c r="H243" s="38" t="s">
        <v>54</v>
      </c>
      <c r="I243" s="38" t="s">
        <v>55</v>
      </c>
      <c r="J243" s="38" t="s">
        <v>56</v>
      </c>
      <c r="K243" s="37">
        <v>1.16217E9</v>
      </c>
      <c r="L243" s="38" t="s">
        <v>459</v>
      </c>
      <c r="M243" s="38" t="s">
        <v>1771</v>
      </c>
      <c r="N243" s="38" t="s">
        <v>45</v>
      </c>
      <c r="O243" s="38" t="s">
        <v>4300</v>
      </c>
      <c r="P243" s="37">
        <v>0.125</v>
      </c>
      <c r="Q243" s="38" t="s">
        <v>4301</v>
      </c>
      <c r="R243" s="38" t="s">
        <v>226</v>
      </c>
      <c r="S243" s="38" t="s">
        <v>190</v>
      </c>
      <c r="T243" s="38" t="s">
        <v>49</v>
      </c>
      <c r="U243" s="38" t="s">
        <v>53</v>
      </c>
      <c r="V243" s="38" t="s">
        <v>2058</v>
      </c>
      <c r="W243" s="37">
        <v>0.114</v>
      </c>
    </row>
    <row r="244">
      <c r="A244" s="38" t="s">
        <v>477</v>
      </c>
      <c r="B244" s="38" t="s">
        <v>480</v>
      </c>
      <c r="C244" s="38" t="s">
        <v>57</v>
      </c>
      <c r="D244" s="38" t="s">
        <v>45</v>
      </c>
      <c r="E244" s="38" t="s">
        <v>2059</v>
      </c>
      <c r="F244" s="38" t="s">
        <v>2060</v>
      </c>
      <c r="G244" s="38" t="s">
        <v>2061</v>
      </c>
      <c r="H244" s="38" t="s">
        <v>54</v>
      </c>
      <c r="I244" s="38" t="s">
        <v>55</v>
      </c>
      <c r="J244" s="38" t="s">
        <v>56</v>
      </c>
      <c r="K244" s="37">
        <v>1.745415E7</v>
      </c>
      <c r="L244" s="38" t="s">
        <v>483</v>
      </c>
      <c r="M244" s="38" t="s">
        <v>174</v>
      </c>
      <c r="N244" s="38" t="s">
        <v>45</v>
      </c>
      <c r="O244" s="38" t="s">
        <v>4302</v>
      </c>
      <c r="P244" s="37">
        <v>0.01</v>
      </c>
      <c r="Q244" s="38" t="s">
        <v>4303</v>
      </c>
      <c r="R244" s="38" t="s">
        <v>226</v>
      </c>
      <c r="S244" s="38" t="s">
        <v>484</v>
      </c>
      <c r="T244" s="38" t="s">
        <v>49</v>
      </c>
      <c r="U244" s="38" t="s">
        <v>53</v>
      </c>
      <c r="V244" s="38" t="s">
        <v>2062</v>
      </c>
      <c r="W244" s="38" t="s">
        <v>54</v>
      </c>
    </row>
    <row r="245">
      <c r="A245" s="38" t="s">
        <v>477</v>
      </c>
      <c r="B245" s="38" t="s">
        <v>480</v>
      </c>
      <c r="C245" s="38" t="s">
        <v>57</v>
      </c>
      <c r="D245" s="38" t="s">
        <v>45</v>
      </c>
      <c r="E245" s="38" t="s">
        <v>2063</v>
      </c>
      <c r="F245" s="38" t="s">
        <v>2064</v>
      </c>
      <c r="G245" s="38" t="s">
        <v>2065</v>
      </c>
      <c r="H245" s="38" t="s">
        <v>54</v>
      </c>
      <c r="I245" s="38" t="s">
        <v>55</v>
      </c>
      <c r="J245" s="38" t="s">
        <v>56</v>
      </c>
      <c r="K245" s="37">
        <v>2.30246E7</v>
      </c>
      <c r="L245" s="38" t="s">
        <v>483</v>
      </c>
      <c r="M245" s="38" t="s">
        <v>1840</v>
      </c>
      <c r="N245" s="38" t="s">
        <v>45</v>
      </c>
      <c r="O245" s="38" t="s">
        <v>937</v>
      </c>
      <c r="P245" s="37">
        <v>0.05</v>
      </c>
      <c r="Q245" s="38" t="s">
        <v>946</v>
      </c>
      <c r="R245" s="38" t="s">
        <v>226</v>
      </c>
      <c r="S245" s="38" t="s">
        <v>484</v>
      </c>
      <c r="T245" s="38" t="s">
        <v>49</v>
      </c>
      <c r="U245" s="38" t="s">
        <v>53</v>
      </c>
      <c r="V245" s="38" t="s">
        <v>2066</v>
      </c>
      <c r="W245" s="38" t="s">
        <v>54</v>
      </c>
    </row>
    <row r="246">
      <c r="A246" s="38" t="s">
        <v>477</v>
      </c>
      <c r="B246" s="38" t="s">
        <v>480</v>
      </c>
      <c r="C246" s="38" t="s">
        <v>57</v>
      </c>
      <c r="D246" s="38" t="s">
        <v>45</v>
      </c>
      <c r="E246" s="38" t="s">
        <v>2067</v>
      </c>
      <c r="F246" s="38" t="s">
        <v>2068</v>
      </c>
      <c r="G246" s="38" t="s">
        <v>2069</v>
      </c>
      <c r="H246" s="38" t="s">
        <v>54</v>
      </c>
      <c r="I246" s="38" t="s">
        <v>55</v>
      </c>
      <c r="J246" s="38" t="s">
        <v>56</v>
      </c>
      <c r="K246" s="37">
        <v>1.13698E7</v>
      </c>
      <c r="L246" s="38" t="s">
        <v>483</v>
      </c>
      <c r="M246" s="38" t="s">
        <v>174</v>
      </c>
      <c r="N246" s="38" t="s">
        <v>45</v>
      </c>
      <c r="O246" s="38" t="s">
        <v>1103</v>
      </c>
      <c r="P246" s="37">
        <v>0.015</v>
      </c>
      <c r="Q246" s="38" t="s">
        <v>4304</v>
      </c>
      <c r="R246" s="38" t="s">
        <v>226</v>
      </c>
      <c r="S246" s="38" t="s">
        <v>484</v>
      </c>
      <c r="T246" s="38" t="s">
        <v>49</v>
      </c>
      <c r="U246" s="38" t="s">
        <v>53</v>
      </c>
      <c r="V246" s="38" t="s">
        <v>2070</v>
      </c>
      <c r="W246" s="38" t="s">
        <v>54</v>
      </c>
    </row>
    <row r="247">
      <c r="A247" s="38" t="s">
        <v>658</v>
      </c>
      <c r="B247" s="38" t="s">
        <v>661</v>
      </c>
      <c r="C247" s="38" t="s">
        <v>71</v>
      </c>
      <c r="D247" s="38" t="s">
        <v>186</v>
      </c>
      <c r="E247" s="38" t="s">
        <v>2792</v>
      </c>
      <c r="F247" s="38" t="s">
        <v>2793</v>
      </c>
      <c r="G247" s="38" t="s">
        <v>2794</v>
      </c>
      <c r="H247" s="37">
        <v>2.7199999999999998</v>
      </c>
      <c r="I247" s="38" t="s">
        <v>55</v>
      </c>
      <c r="J247" s="38" t="s">
        <v>56</v>
      </c>
      <c r="K247" s="37">
        <v>1.0E9</v>
      </c>
      <c r="L247" s="38" t="s">
        <v>52</v>
      </c>
      <c r="M247" s="38" t="s">
        <v>1776</v>
      </c>
      <c r="N247" s="38" t="s">
        <v>170</v>
      </c>
      <c r="O247" s="38" t="s">
        <v>1150</v>
      </c>
      <c r="P247" s="37">
        <v>2.5</v>
      </c>
      <c r="Q247" s="38" t="s">
        <v>3969</v>
      </c>
      <c r="R247" s="38" t="s">
        <v>262</v>
      </c>
      <c r="S247" s="38" t="s">
        <v>264</v>
      </c>
      <c r="T247" s="38" t="s">
        <v>115</v>
      </c>
      <c r="U247" s="38" t="s">
        <v>263</v>
      </c>
      <c r="V247" s="38" t="s">
        <v>2795</v>
      </c>
      <c r="W247" s="37">
        <v>2.675</v>
      </c>
    </row>
    <row r="248">
      <c r="A248" s="38" t="s">
        <v>658</v>
      </c>
      <c r="B248" s="38" t="s">
        <v>661</v>
      </c>
      <c r="C248" s="38" t="s">
        <v>71</v>
      </c>
      <c r="D248" s="38" t="s">
        <v>186</v>
      </c>
      <c r="E248" s="38" t="s">
        <v>2796</v>
      </c>
      <c r="F248" s="38" t="s">
        <v>2797</v>
      </c>
      <c r="G248" s="38" t="s">
        <v>2798</v>
      </c>
      <c r="H248" s="37">
        <v>2.72</v>
      </c>
      <c r="I248" s="38" t="s">
        <v>55</v>
      </c>
      <c r="J248" s="38" t="s">
        <v>56</v>
      </c>
      <c r="K248" s="37">
        <v>1.0E9</v>
      </c>
      <c r="L248" s="38" t="s">
        <v>52</v>
      </c>
      <c r="M248" s="38" t="s">
        <v>1776</v>
      </c>
      <c r="N248" s="38" t="s">
        <v>170</v>
      </c>
      <c r="O248" s="38" t="s">
        <v>1150</v>
      </c>
      <c r="P248" s="37">
        <v>2.5</v>
      </c>
      <c r="Q248" s="38" t="s">
        <v>3969</v>
      </c>
      <c r="R248" s="38" t="s">
        <v>271</v>
      </c>
      <c r="S248" s="38" t="s">
        <v>264</v>
      </c>
      <c r="T248" s="38" t="s">
        <v>115</v>
      </c>
      <c r="U248" s="38" t="s">
        <v>263</v>
      </c>
      <c r="V248" s="38" t="s">
        <v>2799</v>
      </c>
      <c r="W248" s="37">
        <v>2.707</v>
      </c>
    </row>
    <row r="249">
      <c r="A249" s="38" t="s">
        <v>477</v>
      </c>
      <c r="B249" s="38" t="s">
        <v>480</v>
      </c>
      <c r="C249" s="38" t="s">
        <v>57</v>
      </c>
      <c r="D249" s="38" t="s">
        <v>45</v>
      </c>
      <c r="E249" s="38" t="s">
        <v>2071</v>
      </c>
      <c r="F249" s="38" t="s">
        <v>2072</v>
      </c>
      <c r="G249" s="38" t="s">
        <v>2073</v>
      </c>
      <c r="H249" s="38" t="s">
        <v>54</v>
      </c>
      <c r="I249" s="38" t="s">
        <v>55</v>
      </c>
      <c r="J249" s="38" t="s">
        <v>56</v>
      </c>
      <c r="K249" s="37">
        <v>2.0939965E7</v>
      </c>
      <c r="L249" s="38" t="s">
        <v>483</v>
      </c>
      <c r="M249" s="38" t="s">
        <v>1771</v>
      </c>
      <c r="N249" s="38" t="s">
        <v>45</v>
      </c>
      <c r="O249" s="38" t="s">
        <v>4305</v>
      </c>
      <c r="P249" s="37">
        <v>0.349</v>
      </c>
      <c r="Q249" s="38" t="s">
        <v>4306</v>
      </c>
      <c r="R249" s="38" t="s">
        <v>226</v>
      </c>
      <c r="S249" s="38" t="s">
        <v>484</v>
      </c>
      <c r="T249" s="38" t="s">
        <v>49</v>
      </c>
      <c r="U249" s="38" t="s">
        <v>53</v>
      </c>
      <c r="V249" s="38" t="s">
        <v>2074</v>
      </c>
      <c r="W249" s="38" t="s">
        <v>54</v>
      </c>
    </row>
    <row r="250">
      <c r="A250" s="38" t="s">
        <v>336</v>
      </c>
      <c r="B250" s="38" t="s">
        <v>339</v>
      </c>
      <c r="C250" s="38" t="s">
        <v>57</v>
      </c>
      <c r="D250" s="38" t="s">
        <v>45</v>
      </c>
      <c r="E250" s="38" t="s">
        <v>3459</v>
      </c>
      <c r="F250" s="38" t="s">
        <v>174</v>
      </c>
      <c r="G250" s="38" t="s">
        <v>3460</v>
      </c>
      <c r="H250" s="38" t="s">
        <v>54</v>
      </c>
      <c r="I250" s="38" t="s">
        <v>55</v>
      </c>
      <c r="J250" s="38" t="s">
        <v>56</v>
      </c>
      <c r="K250" s="37">
        <v>2.82765E7</v>
      </c>
      <c r="L250" s="38" t="s">
        <v>52</v>
      </c>
      <c r="M250" s="38" t="s">
        <v>174</v>
      </c>
      <c r="N250" s="38" t="s">
        <v>45</v>
      </c>
      <c r="O250" s="38" t="s">
        <v>4307</v>
      </c>
      <c r="P250" s="37">
        <v>0.8</v>
      </c>
      <c r="Q250" s="38" t="s">
        <v>4308</v>
      </c>
      <c r="R250" s="38" t="s">
        <v>69</v>
      </c>
      <c r="S250" s="38" t="s">
        <v>54</v>
      </c>
      <c r="T250" s="38" t="s">
        <v>49</v>
      </c>
      <c r="U250" s="38" t="s">
        <v>53</v>
      </c>
      <c r="V250" s="38" t="s">
        <v>3461</v>
      </c>
      <c r="W250" s="38" t="s">
        <v>54</v>
      </c>
    </row>
    <row r="251">
      <c r="A251" s="38" t="s">
        <v>477</v>
      </c>
      <c r="B251" s="38" t="s">
        <v>480</v>
      </c>
      <c r="C251" s="38" t="s">
        <v>57</v>
      </c>
      <c r="D251" s="38" t="s">
        <v>45</v>
      </c>
      <c r="E251" s="38" t="s">
        <v>2075</v>
      </c>
      <c r="F251" s="38" t="s">
        <v>2076</v>
      </c>
      <c r="G251" s="38" t="s">
        <v>2077</v>
      </c>
      <c r="H251" s="37">
        <v>0.292</v>
      </c>
      <c r="I251" s="38" t="s">
        <v>55</v>
      </c>
      <c r="J251" s="38" t="s">
        <v>56</v>
      </c>
      <c r="K251" s="37">
        <v>1.14613E7</v>
      </c>
      <c r="L251" s="38" t="s">
        <v>483</v>
      </c>
      <c r="M251" s="38" t="s">
        <v>1771</v>
      </c>
      <c r="N251" s="38" t="s">
        <v>45</v>
      </c>
      <c r="O251" s="38" t="s">
        <v>4309</v>
      </c>
      <c r="P251" s="37">
        <v>0.292</v>
      </c>
      <c r="Q251" s="38" t="s">
        <v>4310</v>
      </c>
      <c r="R251" s="38" t="s">
        <v>226</v>
      </c>
      <c r="S251" s="38" t="s">
        <v>484</v>
      </c>
      <c r="T251" s="38" t="s">
        <v>49</v>
      </c>
      <c r="U251" s="38" t="s">
        <v>53</v>
      </c>
      <c r="V251" s="38" t="s">
        <v>2078</v>
      </c>
      <c r="W251" s="38" t="s">
        <v>54</v>
      </c>
    </row>
    <row r="252">
      <c r="A252" s="38" t="s">
        <v>477</v>
      </c>
      <c r="B252" s="38" t="s">
        <v>480</v>
      </c>
      <c r="C252" s="38" t="s">
        <v>57</v>
      </c>
      <c r="D252" s="38" t="s">
        <v>45</v>
      </c>
      <c r="E252" s="38" t="s">
        <v>2079</v>
      </c>
      <c r="F252" s="38" t="s">
        <v>2080</v>
      </c>
      <c r="G252" s="38" t="s">
        <v>2081</v>
      </c>
      <c r="H252" s="38" t="s">
        <v>54</v>
      </c>
      <c r="I252" s="38" t="s">
        <v>55</v>
      </c>
      <c r="J252" s="38" t="s">
        <v>56</v>
      </c>
      <c r="K252" s="37">
        <v>1.701615E7</v>
      </c>
      <c r="L252" s="38" t="s">
        <v>483</v>
      </c>
      <c r="M252" s="38" t="s">
        <v>174</v>
      </c>
      <c r="N252" s="38" t="s">
        <v>45</v>
      </c>
      <c r="O252" s="38" t="s">
        <v>4311</v>
      </c>
      <c r="P252" s="37">
        <v>0.16</v>
      </c>
      <c r="Q252" s="38" t="s">
        <v>4312</v>
      </c>
      <c r="R252" s="38" t="s">
        <v>226</v>
      </c>
      <c r="S252" s="38" t="s">
        <v>484</v>
      </c>
      <c r="T252" s="38" t="s">
        <v>49</v>
      </c>
      <c r="U252" s="38" t="s">
        <v>53</v>
      </c>
      <c r="V252" s="38" t="s">
        <v>2082</v>
      </c>
      <c r="W252" s="38" t="s">
        <v>54</v>
      </c>
    </row>
    <row r="253">
      <c r="A253" s="38" t="s">
        <v>477</v>
      </c>
      <c r="B253" s="38" t="s">
        <v>480</v>
      </c>
      <c r="C253" s="38" t="s">
        <v>57</v>
      </c>
      <c r="D253" s="38" t="s">
        <v>45</v>
      </c>
      <c r="E253" s="38" t="s">
        <v>2083</v>
      </c>
      <c r="F253" s="38" t="s">
        <v>2084</v>
      </c>
      <c r="G253" s="38" t="s">
        <v>2085</v>
      </c>
      <c r="H253" s="38" t="s">
        <v>54</v>
      </c>
      <c r="I253" s="38" t="s">
        <v>55</v>
      </c>
      <c r="J253" s="38" t="s">
        <v>56</v>
      </c>
      <c r="K253" s="37">
        <v>2.26454E7</v>
      </c>
      <c r="L253" s="38" t="s">
        <v>483</v>
      </c>
      <c r="M253" s="38" t="s">
        <v>174</v>
      </c>
      <c r="N253" s="38" t="s">
        <v>45</v>
      </c>
      <c r="O253" s="38" t="s">
        <v>4313</v>
      </c>
      <c r="P253" s="37">
        <v>0.448</v>
      </c>
      <c r="Q253" s="38" t="s">
        <v>4301</v>
      </c>
      <c r="R253" s="38" t="s">
        <v>226</v>
      </c>
      <c r="S253" s="38" t="s">
        <v>484</v>
      </c>
      <c r="T253" s="38" t="s">
        <v>49</v>
      </c>
      <c r="U253" s="38" t="s">
        <v>53</v>
      </c>
      <c r="V253" s="38" t="s">
        <v>2086</v>
      </c>
      <c r="W253" s="38" t="s">
        <v>54</v>
      </c>
    </row>
    <row r="254">
      <c r="A254" s="38" t="s">
        <v>917</v>
      </c>
      <c r="B254" s="38" t="s">
        <v>920</v>
      </c>
      <c r="C254" s="38" t="s">
        <v>392</v>
      </c>
      <c r="D254" s="38" t="s">
        <v>185</v>
      </c>
      <c r="E254" s="38" t="s">
        <v>2921</v>
      </c>
      <c r="F254" s="38" t="s">
        <v>2922</v>
      </c>
      <c r="G254" s="38" t="s">
        <v>2923</v>
      </c>
      <c r="H254" s="38" t="s">
        <v>54</v>
      </c>
      <c r="I254" s="38" t="s">
        <v>421</v>
      </c>
      <c r="J254" s="38" t="s">
        <v>56</v>
      </c>
      <c r="K254" s="37">
        <v>5.6771E7</v>
      </c>
      <c r="L254" s="38" t="s">
        <v>459</v>
      </c>
      <c r="M254" s="38" t="s">
        <v>174</v>
      </c>
      <c r="N254" s="38" t="s">
        <v>185</v>
      </c>
      <c r="O254" s="38" t="s">
        <v>4314</v>
      </c>
      <c r="P254" s="37">
        <v>-0.16</v>
      </c>
      <c r="Q254" s="38" t="s">
        <v>4315</v>
      </c>
      <c r="R254" s="38" t="s">
        <v>2924</v>
      </c>
      <c r="S254" s="38" t="s">
        <v>54</v>
      </c>
      <c r="T254" s="38" t="s">
        <v>49</v>
      </c>
      <c r="U254" s="38" t="s">
        <v>53</v>
      </c>
      <c r="V254" s="38" t="s">
        <v>2925</v>
      </c>
      <c r="W254" s="38" t="s">
        <v>54</v>
      </c>
    </row>
    <row r="255">
      <c r="A255" s="38" t="s">
        <v>477</v>
      </c>
      <c r="B255" s="38" t="s">
        <v>480</v>
      </c>
      <c r="C255" s="38" t="s">
        <v>57</v>
      </c>
      <c r="D255" s="38" t="s">
        <v>45</v>
      </c>
      <c r="E255" s="38" t="s">
        <v>2087</v>
      </c>
      <c r="F255" s="38" t="s">
        <v>2088</v>
      </c>
      <c r="G255" s="38" t="s">
        <v>2089</v>
      </c>
      <c r="H255" s="38" t="s">
        <v>54</v>
      </c>
      <c r="I255" s="38" t="s">
        <v>55</v>
      </c>
      <c r="J255" s="38" t="s">
        <v>56</v>
      </c>
      <c r="K255" s="37">
        <v>2.26882E7</v>
      </c>
      <c r="L255" s="38" t="s">
        <v>459</v>
      </c>
      <c r="M255" s="38" t="s">
        <v>174</v>
      </c>
      <c r="N255" s="38" t="s">
        <v>45</v>
      </c>
      <c r="O255" s="38" t="s">
        <v>4311</v>
      </c>
      <c r="P255" s="37">
        <v>0.335</v>
      </c>
      <c r="Q255" s="38" t="s">
        <v>4316</v>
      </c>
      <c r="R255" s="38" t="s">
        <v>226</v>
      </c>
      <c r="S255" s="38" t="s">
        <v>190</v>
      </c>
      <c r="T255" s="38" t="s">
        <v>49</v>
      </c>
      <c r="U255" s="38" t="s">
        <v>53</v>
      </c>
      <c r="V255" s="38" t="s">
        <v>2090</v>
      </c>
      <c r="W255" s="38" t="s">
        <v>54</v>
      </c>
    </row>
    <row r="256">
      <c r="A256" s="38" t="s">
        <v>477</v>
      </c>
      <c r="B256" s="38" t="s">
        <v>480</v>
      </c>
      <c r="C256" s="38" t="s">
        <v>57</v>
      </c>
      <c r="D256" s="38" t="s">
        <v>45</v>
      </c>
      <c r="E256" s="38" t="s">
        <v>2091</v>
      </c>
      <c r="F256" s="38" t="s">
        <v>2092</v>
      </c>
      <c r="G256" s="38" t="s">
        <v>2093</v>
      </c>
      <c r="H256" s="38" t="s">
        <v>54</v>
      </c>
      <c r="I256" s="38" t="s">
        <v>55</v>
      </c>
      <c r="J256" s="38" t="s">
        <v>56</v>
      </c>
      <c r="K256" s="37">
        <v>2.839825E7</v>
      </c>
      <c r="L256" s="38" t="s">
        <v>459</v>
      </c>
      <c r="M256" s="38" t="s">
        <v>174</v>
      </c>
      <c r="N256" s="38" t="s">
        <v>45</v>
      </c>
      <c r="O256" s="38" t="s">
        <v>4317</v>
      </c>
      <c r="P256" s="37">
        <v>0.29</v>
      </c>
      <c r="Q256" s="38" t="s">
        <v>4318</v>
      </c>
      <c r="R256" s="38" t="s">
        <v>226</v>
      </c>
      <c r="S256" s="38" t="s">
        <v>190</v>
      </c>
      <c r="T256" s="38" t="s">
        <v>49</v>
      </c>
      <c r="U256" s="38" t="s">
        <v>53</v>
      </c>
      <c r="V256" s="38" t="s">
        <v>2094</v>
      </c>
      <c r="W256" s="38" t="s">
        <v>54</v>
      </c>
    </row>
    <row r="257">
      <c r="A257" s="38" t="s">
        <v>477</v>
      </c>
      <c r="B257" s="38" t="s">
        <v>480</v>
      </c>
      <c r="C257" s="38" t="s">
        <v>57</v>
      </c>
      <c r="D257" s="38" t="s">
        <v>45</v>
      </c>
      <c r="E257" s="38" t="s">
        <v>2095</v>
      </c>
      <c r="F257" s="38" t="s">
        <v>2096</v>
      </c>
      <c r="G257" s="38" t="s">
        <v>2097</v>
      </c>
      <c r="H257" s="37">
        <v>0.674</v>
      </c>
      <c r="I257" s="38" t="s">
        <v>55</v>
      </c>
      <c r="J257" s="38" t="s">
        <v>56</v>
      </c>
      <c r="K257" s="37">
        <v>5.5833E8</v>
      </c>
      <c r="L257" s="38" t="s">
        <v>459</v>
      </c>
      <c r="M257" s="38" t="s">
        <v>174</v>
      </c>
      <c r="N257" s="38" t="s">
        <v>45</v>
      </c>
      <c r="O257" s="38" t="s">
        <v>1377</v>
      </c>
      <c r="P257" s="37">
        <v>0.625</v>
      </c>
      <c r="Q257" s="38" t="s">
        <v>4319</v>
      </c>
      <c r="R257" s="38" t="s">
        <v>226</v>
      </c>
      <c r="S257" s="38" t="s">
        <v>190</v>
      </c>
      <c r="T257" s="38" t="s">
        <v>49</v>
      </c>
      <c r="U257" s="38" t="s">
        <v>53</v>
      </c>
      <c r="V257" s="38" t="s">
        <v>2098</v>
      </c>
      <c r="W257" s="37">
        <v>0.653</v>
      </c>
    </row>
    <row r="258">
      <c r="A258" s="38" t="s">
        <v>477</v>
      </c>
      <c r="B258" s="38" t="s">
        <v>480</v>
      </c>
      <c r="C258" s="38" t="s">
        <v>57</v>
      </c>
      <c r="D258" s="38" t="s">
        <v>45</v>
      </c>
      <c r="E258" s="38" t="s">
        <v>2099</v>
      </c>
      <c r="F258" s="38" t="s">
        <v>2100</v>
      </c>
      <c r="G258" s="38" t="s">
        <v>2101</v>
      </c>
      <c r="H258" s="38" t="s">
        <v>54</v>
      </c>
      <c r="I258" s="38" t="s">
        <v>55</v>
      </c>
      <c r="J258" s="38" t="s">
        <v>56</v>
      </c>
      <c r="K258" s="37">
        <v>1.10512E7</v>
      </c>
      <c r="L258" s="38" t="s">
        <v>483</v>
      </c>
      <c r="M258" s="38" t="s">
        <v>174</v>
      </c>
      <c r="N258" s="38" t="s">
        <v>45</v>
      </c>
      <c r="O258" s="38" t="s">
        <v>4320</v>
      </c>
      <c r="P258" s="37">
        <v>0.42</v>
      </c>
      <c r="Q258" s="38" t="s">
        <v>4321</v>
      </c>
      <c r="R258" s="38" t="s">
        <v>226</v>
      </c>
      <c r="S258" s="38" t="s">
        <v>484</v>
      </c>
      <c r="T258" s="38" t="s">
        <v>49</v>
      </c>
      <c r="U258" s="38" t="s">
        <v>53</v>
      </c>
      <c r="V258" s="38" t="s">
        <v>2102</v>
      </c>
      <c r="W258" s="38" t="s">
        <v>54</v>
      </c>
    </row>
    <row r="259">
      <c r="A259" s="38" t="s">
        <v>477</v>
      </c>
      <c r="B259" s="38" t="s">
        <v>480</v>
      </c>
      <c r="C259" s="38" t="s">
        <v>57</v>
      </c>
      <c r="D259" s="38" t="s">
        <v>45</v>
      </c>
      <c r="E259" s="38" t="s">
        <v>2103</v>
      </c>
      <c r="F259" s="38" t="s">
        <v>2104</v>
      </c>
      <c r="G259" s="38" t="s">
        <v>2105</v>
      </c>
      <c r="H259" s="38" t="s">
        <v>54</v>
      </c>
      <c r="I259" s="38" t="s">
        <v>55</v>
      </c>
      <c r="J259" s="38" t="s">
        <v>56</v>
      </c>
      <c r="K259" s="37">
        <v>5.5256E7</v>
      </c>
      <c r="L259" s="38" t="s">
        <v>483</v>
      </c>
      <c r="M259" s="38" t="s">
        <v>1771</v>
      </c>
      <c r="N259" s="38" t="s">
        <v>45</v>
      </c>
      <c r="O259" s="38" t="s">
        <v>4320</v>
      </c>
      <c r="P259" s="37">
        <v>0.45</v>
      </c>
      <c r="Q259" s="38" t="s">
        <v>4321</v>
      </c>
      <c r="R259" s="38" t="s">
        <v>226</v>
      </c>
      <c r="S259" s="38" t="s">
        <v>484</v>
      </c>
      <c r="T259" s="38" t="s">
        <v>49</v>
      </c>
      <c r="U259" s="38" t="s">
        <v>53</v>
      </c>
      <c r="V259" s="38" t="s">
        <v>2106</v>
      </c>
      <c r="W259" s="38" t="s">
        <v>54</v>
      </c>
    </row>
    <row r="260">
      <c r="A260" s="38" t="s">
        <v>1336</v>
      </c>
      <c r="B260" s="38" t="s">
        <v>1339</v>
      </c>
      <c r="C260" s="38" t="s">
        <v>71</v>
      </c>
      <c r="D260" s="38" t="s">
        <v>1340</v>
      </c>
      <c r="E260" s="38" t="s">
        <v>2348</v>
      </c>
      <c r="F260" s="38" t="s">
        <v>174</v>
      </c>
      <c r="G260" s="38" t="s">
        <v>2349</v>
      </c>
      <c r="H260" s="38" t="s">
        <v>54</v>
      </c>
      <c r="I260" s="38" t="s">
        <v>55</v>
      </c>
      <c r="J260" s="38" t="s">
        <v>70</v>
      </c>
      <c r="K260" s="37">
        <v>1.4473193E8</v>
      </c>
      <c r="L260" s="38" t="s">
        <v>52</v>
      </c>
      <c r="M260" s="38" t="s">
        <v>1771</v>
      </c>
      <c r="N260" s="38" t="s">
        <v>170</v>
      </c>
      <c r="O260" s="38" t="s">
        <v>1556</v>
      </c>
      <c r="P260" s="37">
        <v>0.0</v>
      </c>
      <c r="Q260" s="38" t="s">
        <v>4322</v>
      </c>
      <c r="R260" s="38" t="s">
        <v>158</v>
      </c>
      <c r="S260" s="38" t="s">
        <v>54</v>
      </c>
      <c r="T260" s="38" t="s">
        <v>49</v>
      </c>
      <c r="U260" s="38" t="s">
        <v>53</v>
      </c>
      <c r="V260" s="38" t="s">
        <v>2350</v>
      </c>
      <c r="W260" s="38" t="s">
        <v>54</v>
      </c>
    </row>
    <row r="261">
      <c r="A261" s="38" t="s">
        <v>1336</v>
      </c>
      <c r="B261" s="38" t="s">
        <v>1339</v>
      </c>
      <c r="C261" s="38" t="s">
        <v>71</v>
      </c>
      <c r="D261" s="38" t="s">
        <v>1340</v>
      </c>
      <c r="E261" s="38" t="s">
        <v>2351</v>
      </c>
      <c r="F261" s="38" t="s">
        <v>174</v>
      </c>
      <c r="G261" s="38" t="s">
        <v>2352</v>
      </c>
      <c r="H261" s="38" t="s">
        <v>54</v>
      </c>
      <c r="I261" s="38" t="s">
        <v>55</v>
      </c>
      <c r="J261" s="38" t="s">
        <v>70</v>
      </c>
      <c r="K261" s="37">
        <v>1.4473193E8</v>
      </c>
      <c r="L261" s="38" t="s">
        <v>52</v>
      </c>
      <c r="M261" s="38" t="s">
        <v>1771</v>
      </c>
      <c r="N261" s="38" t="s">
        <v>170</v>
      </c>
      <c r="O261" s="38" t="s">
        <v>1556</v>
      </c>
      <c r="P261" s="37">
        <v>0.0</v>
      </c>
      <c r="Q261" s="38" t="s">
        <v>4323</v>
      </c>
      <c r="R261" s="38" t="s">
        <v>162</v>
      </c>
      <c r="S261" s="38" t="s">
        <v>54</v>
      </c>
      <c r="T261" s="38" t="s">
        <v>49</v>
      </c>
      <c r="U261" s="38" t="s">
        <v>53</v>
      </c>
      <c r="V261" s="38" t="s">
        <v>2353</v>
      </c>
      <c r="W261" s="38" t="s">
        <v>54</v>
      </c>
    </row>
    <row r="262">
      <c r="A262" s="38" t="s">
        <v>477</v>
      </c>
      <c r="B262" s="38" t="s">
        <v>480</v>
      </c>
      <c r="C262" s="38" t="s">
        <v>57</v>
      </c>
      <c r="D262" s="38" t="s">
        <v>45</v>
      </c>
      <c r="E262" s="38" t="s">
        <v>2107</v>
      </c>
      <c r="F262" s="38" t="s">
        <v>2108</v>
      </c>
      <c r="G262" s="38" t="s">
        <v>2109</v>
      </c>
      <c r="H262" s="38" t="s">
        <v>54</v>
      </c>
      <c r="I262" s="38" t="s">
        <v>55</v>
      </c>
      <c r="J262" s="38" t="s">
        <v>56</v>
      </c>
      <c r="K262" s="37">
        <v>1.09384E7</v>
      </c>
      <c r="L262" s="38" t="s">
        <v>483</v>
      </c>
      <c r="M262" s="38" t="s">
        <v>174</v>
      </c>
      <c r="N262" s="38" t="s">
        <v>45</v>
      </c>
      <c r="O262" s="38" t="s">
        <v>1444</v>
      </c>
      <c r="P262" s="37">
        <v>1.125</v>
      </c>
      <c r="Q262" s="38" t="s">
        <v>4324</v>
      </c>
      <c r="R262" s="38" t="s">
        <v>226</v>
      </c>
      <c r="S262" s="38" t="s">
        <v>484</v>
      </c>
      <c r="T262" s="38" t="s">
        <v>49</v>
      </c>
      <c r="U262" s="38" t="s">
        <v>53</v>
      </c>
      <c r="V262" s="38" t="s">
        <v>2110</v>
      </c>
      <c r="W262" s="38" t="s">
        <v>54</v>
      </c>
    </row>
    <row r="263">
      <c r="A263" s="38" t="s">
        <v>477</v>
      </c>
      <c r="B263" s="38" t="s">
        <v>480</v>
      </c>
      <c r="C263" s="38" t="s">
        <v>57</v>
      </c>
      <c r="D263" s="38" t="s">
        <v>45</v>
      </c>
      <c r="E263" s="38" t="s">
        <v>2111</v>
      </c>
      <c r="F263" s="38" t="s">
        <v>2112</v>
      </c>
      <c r="G263" s="38" t="s">
        <v>2113</v>
      </c>
      <c r="H263" s="38" t="s">
        <v>54</v>
      </c>
      <c r="I263" s="38" t="s">
        <v>55</v>
      </c>
      <c r="J263" s="38" t="s">
        <v>56</v>
      </c>
      <c r="K263" s="37">
        <v>2.764675E7</v>
      </c>
      <c r="L263" s="38" t="s">
        <v>483</v>
      </c>
      <c r="M263" s="38" t="s">
        <v>1771</v>
      </c>
      <c r="N263" s="38" t="s">
        <v>45</v>
      </c>
      <c r="O263" s="38" t="s">
        <v>4325</v>
      </c>
      <c r="P263" s="37">
        <v>0.55</v>
      </c>
      <c r="Q263" s="38" t="s">
        <v>4326</v>
      </c>
      <c r="R263" s="38" t="s">
        <v>226</v>
      </c>
      <c r="S263" s="38" t="s">
        <v>484</v>
      </c>
      <c r="T263" s="38" t="s">
        <v>49</v>
      </c>
      <c r="U263" s="38" t="s">
        <v>53</v>
      </c>
      <c r="V263" s="38" t="s">
        <v>2114</v>
      </c>
      <c r="W263" s="38" t="s">
        <v>54</v>
      </c>
    </row>
    <row r="264">
      <c r="A264" s="38" t="s">
        <v>1474</v>
      </c>
      <c r="B264" s="38" t="s">
        <v>1477</v>
      </c>
      <c r="C264" s="38" t="s">
        <v>57</v>
      </c>
      <c r="D264" s="38" t="s">
        <v>185</v>
      </c>
      <c r="E264" s="38" t="s">
        <v>2871</v>
      </c>
      <c r="F264" s="38" t="s">
        <v>2872</v>
      </c>
      <c r="G264" s="38" t="s">
        <v>2873</v>
      </c>
      <c r="H264" s="37">
        <v>0.454</v>
      </c>
      <c r="I264" s="38" t="s">
        <v>133</v>
      </c>
      <c r="J264" s="38" t="s">
        <v>56</v>
      </c>
      <c r="K264" s="37">
        <v>1.10803E9</v>
      </c>
      <c r="L264" s="38" t="s">
        <v>52</v>
      </c>
      <c r="M264" s="38" t="s">
        <v>2874</v>
      </c>
      <c r="N264" s="38" t="s">
        <v>185</v>
      </c>
      <c r="O264" s="38" t="s">
        <v>1478</v>
      </c>
      <c r="P264" s="37">
        <v>0.375</v>
      </c>
      <c r="Q264" s="38" t="s">
        <v>4327</v>
      </c>
      <c r="R264" s="38" t="s">
        <v>174</v>
      </c>
      <c r="S264" s="38" t="s">
        <v>421</v>
      </c>
      <c r="T264" s="38" t="s">
        <v>115</v>
      </c>
      <c r="U264" s="38" t="s">
        <v>53</v>
      </c>
      <c r="V264" s="38" t="s">
        <v>2875</v>
      </c>
      <c r="W264" s="37">
        <v>0.355</v>
      </c>
    </row>
    <row r="265">
      <c r="A265" s="38" t="s">
        <v>1474</v>
      </c>
      <c r="B265" s="38" t="s">
        <v>1477</v>
      </c>
      <c r="C265" s="38" t="s">
        <v>392</v>
      </c>
      <c r="D265" s="38" t="s">
        <v>185</v>
      </c>
      <c r="E265" s="38" t="s">
        <v>2876</v>
      </c>
      <c r="F265" s="38" t="s">
        <v>2877</v>
      </c>
      <c r="G265" s="38" t="s">
        <v>2878</v>
      </c>
      <c r="H265" s="38" t="s">
        <v>54</v>
      </c>
      <c r="I265" s="38" t="s">
        <v>133</v>
      </c>
      <c r="J265" s="38" t="s">
        <v>70</v>
      </c>
      <c r="K265" s="37">
        <v>8.310225E8</v>
      </c>
      <c r="L265" s="38" t="s">
        <v>52</v>
      </c>
      <c r="M265" s="38" t="s">
        <v>1771</v>
      </c>
      <c r="N265" s="38" t="s">
        <v>185</v>
      </c>
      <c r="O265" s="38" t="s">
        <v>1478</v>
      </c>
      <c r="P265" s="37">
        <v>0.223</v>
      </c>
      <c r="Q265" s="38" t="s">
        <v>4327</v>
      </c>
      <c r="R265" s="38" t="s">
        <v>174</v>
      </c>
      <c r="S265" s="38" t="s">
        <v>421</v>
      </c>
      <c r="T265" s="38" t="s">
        <v>115</v>
      </c>
      <c r="U265" s="38" t="s">
        <v>53</v>
      </c>
      <c r="V265" s="38" t="s">
        <v>2879</v>
      </c>
      <c r="W265" s="37">
        <v>-0.489</v>
      </c>
    </row>
    <row r="266">
      <c r="A266" s="38" t="s">
        <v>477</v>
      </c>
      <c r="B266" s="38" t="s">
        <v>480</v>
      </c>
      <c r="C266" s="38" t="s">
        <v>57</v>
      </c>
      <c r="D266" s="38" t="s">
        <v>45</v>
      </c>
      <c r="E266" s="38" t="s">
        <v>2115</v>
      </c>
      <c r="F266" s="38" t="s">
        <v>2116</v>
      </c>
      <c r="G266" s="38" t="s">
        <v>2117</v>
      </c>
      <c r="H266" s="38" t="s">
        <v>54</v>
      </c>
      <c r="I266" s="38" t="s">
        <v>55</v>
      </c>
      <c r="J266" s="38" t="s">
        <v>56</v>
      </c>
      <c r="K266" s="37">
        <v>2.19496E7</v>
      </c>
      <c r="L266" s="38" t="s">
        <v>459</v>
      </c>
      <c r="M266" s="38" t="s">
        <v>174</v>
      </c>
      <c r="N266" s="38" t="s">
        <v>45</v>
      </c>
      <c r="O266" s="38" t="s">
        <v>4328</v>
      </c>
      <c r="P266" s="37">
        <v>0.75</v>
      </c>
      <c r="Q266" s="38" t="s">
        <v>4065</v>
      </c>
      <c r="R266" s="38" t="s">
        <v>226</v>
      </c>
      <c r="S266" s="38" t="s">
        <v>190</v>
      </c>
      <c r="T266" s="38" t="s">
        <v>49</v>
      </c>
      <c r="U266" s="38" t="s">
        <v>53</v>
      </c>
      <c r="V266" s="38" t="s">
        <v>2118</v>
      </c>
      <c r="W266" s="38" t="s">
        <v>54</v>
      </c>
    </row>
    <row r="267">
      <c r="A267" s="38" t="s">
        <v>1519</v>
      </c>
      <c r="B267" s="38" t="s">
        <v>1522</v>
      </c>
      <c r="C267" s="38" t="s">
        <v>57</v>
      </c>
      <c r="D267" s="38" t="s">
        <v>185</v>
      </c>
      <c r="E267" s="38" t="s">
        <v>3120</v>
      </c>
      <c r="F267" s="38" t="s">
        <v>3121</v>
      </c>
      <c r="G267" s="38" t="s">
        <v>3122</v>
      </c>
      <c r="H267" s="37">
        <v>0.903</v>
      </c>
      <c r="I267" s="38" t="s">
        <v>117</v>
      </c>
      <c r="J267" s="38" t="s">
        <v>56</v>
      </c>
      <c r="K267" s="37">
        <v>9.27197E8</v>
      </c>
      <c r="L267" s="38" t="s">
        <v>52</v>
      </c>
      <c r="M267" s="38" t="s">
        <v>1771</v>
      </c>
      <c r="N267" s="38" t="s">
        <v>185</v>
      </c>
      <c r="O267" s="38" t="s">
        <v>1509</v>
      </c>
      <c r="P267" s="37">
        <v>0.875</v>
      </c>
      <c r="Q267" s="38" t="s">
        <v>75</v>
      </c>
      <c r="R267" s="38" t="s">
        <v>174</v>
      </c>
      <c r="S267" s="38" t="s">
        <v>484</v>
      </c>
      <c r="T267" s="38" t="s">
        <v>115</v>
      </c>
      <c r="U267" s="38" t="s">
        <v>53</v>
      </c>
      <c r="V267" s="38" t="s">
        <v>3123</v>
      </c>
      <c r="W267" s="37">
        <v>0.818</v>
      </c>
    </row>
    <row r="268">
      <c r="A268" s="38" t="s">
        <v>1626</v>
      </c>
      <c r="B268" s="38" t="s">
        <v>1629</v>
      </c>
      <c r="C268" s="38" t="s">
        <v>71</v>
      </c>
      <c r="D268" s="38" t="s">
        <v>45</v>
      </c>
      <c r="E268" s="38" t="s">
        <v>2708</v>
      </c>
      <c r="F268" s="38" t="s">
        <v>174</v>
      </c>
      <c r="G268" s="38" t="s">
        <v>2709</v>
      </c>
      <c r="H268" s="38" t="s">
        <v>54</v>
      </c>
      <c r="I268" s="38" t="s">
        <v>55</v>
      </c>
      <c r="J268" s="38" t="s">
        <v>70</v>
      </c>
      <c r="K268" s="37">
        <v>6.40864E7</v>
      </c>
      <c r="L268" s="38" t="s">
        <v>52</v>
      </c>
      <c r="M268" s="38" t="s">
        <v>174</v>
      </c>
      <c r="N268" s="38" t="s">
        <v>45</v>
      </c>
      <c r="O268" s="38" t="s">
        <v>4329</v>
      </c>
      <c r="P268" s="37">
        <v>0.0</v>
      </c>
      <c r="Q268" s="38" t="s">
        <v>4330</v>
      </c>
      <c r="R268" s="38" t="s">
        <v>51</v>
      </c>
      <c r="S268" s="38" t="s">
        <v>54</v>
      </c>
      <c r="T268" s="38" t="s">
        <v>49</v>
      </c>
      <c r="U268" s="38" t="s">
        <v>53</v>
      </c>
      <c r="V268" s="38" t="s">
        <v>2710</v>
      </c>
      <c r="W268" s="38" t="s">
        <v>54</v>
      </c>
    </row>
    <row r="269">
      <c r="A269" s="38" t="s">
        <v>1626</v>
      </c>
      <c r="B269" s="38" t="s">
        <v>1629</v>
      </c>
      <c r="C269" s="38" t="s">
        <v>71</v>
      </c>
      <c r="D269" s="38" t="s">
        <v>45</v>
      </c>
      <c r="E269" s="38" t="s">
        <v>2711</v>
      </c>
      <c r="F269" s="38" t="s">
        <v>174</v>
      </c>
      <c r="G269" s="38" t="s">
        <v>2712</v>
      </c>
      <c r="H269" s="38" t="s">
        <v>54</v>
      </c>
      <c r="I269" s="38" t="s">
        <v>55</v>
      </c>
      <c r="J269" s="38" t="s">
        <v>70</v>
      </c>
      <c r="K269" s="37">
        <v>6.40864E7</v>
      </c>
      <c r="L269" s="38" t="s">
        <v>52</v>
      </c>
      <c r="M269" s="38" t="s">
        <v>174</v>
      </c>
      <c r="N269" s="38" t="s">
        <v>45</v>
      </c>
      <c r="O269" s="38" t="s">
        <v>4329</v>
      </c>
      <c r="P269" s="37">
        <v>0.0</v>
      </c>
      <c r="Q269" s="38" t="s">
        <v>4331</v>
      </c>
      <c r="R269" s="38" t="s">
        <v>69</v>
      </c>
      <c r="S269" s="38" t="s">
        <v>54</v>
      </c>
      <c r="T269" s="38" t="s">
        <v>49</v>
      </c>
      <c r="U269" s="38" t="s">
        <v>53</v>
      </c>
      <c r="V269" s="38" t="s">
        <v>2713</v>
      </c>
      <c r="W269" s="38" t="s">
        <v>54</v>
      </c>
    </row>
    <row r="270">
      <c r="A270" s="38" t="s">
        <v>1626</v>
      </c>
      <c r="B270" s="38" t="s">
        <v>1629</v>
      </c>
      <c r="C270" s="38" t="s">
        <v>71</v>
      </c>
      <c r="D270" s="38" t="s">
        <v>45</v>
      </c>
      <c r="E270" s="38" t="s">
        <v>2714</v>
      </c>
      <c r="F270" s="38" t="s">
        <v>174</v>
      </c>
      <c r="G270" s="38" t="s">
        <v>2715</v>
      </c>
      <c r="H270" s="38" t="s">
        <v>54</v>
      </c>
      <c r="I270" s="38" t="s">
        <v>55</v>
      </c>
      <c r="J270" s="38" t="s">
        <v>70</v>
      </c>
      <c r="K270" s="37">
        <v>6.40864E7</v>
      </c>
      <c r="L270" s="38" t="s">
        <v>52</v>
      </c>
      <c r="M270" s="38" t="s">
        <v>174</v>
      </c>
      <c r="N270" s="38" t="s">
        <v>45</v>
      </c>
      <c r="O270" s="38" t="s">
        <v>4329</v>
      </c>
      <c r="P270" s="37">
        <v>0.0</v>
      </c>
      <c r="Q270" s="38" t="s">
        <v>1091</v>
      </c>
      <c r="R270" s="38" t="s">
        <v>76</v>
      </c>
      <c r="S270" s="38" t="s">
        <v>54</v>
      </c>
      <c r="T270" s="38" t="s">
        <v>49</v>
      </c>
      <c r="U270" s="38" t="s">
        <v>53</v>
      </c>
      <c r="V270" s="38" t="s">
        <v>2716</v>
      </c>
      <c r="W270" s="38" t="s">
        <v>54</v>
      </c>
    </row>
    <row r="271">
      <c r="A271" s="38" t="s">
        <v>166</v>
      </c>
      <c r="B271" s="38" t="s">
        <v>169</v>
      </c>
      <c r="C271" s="38" t="s">
        <v>57</v>
      </c>
      <c r="D271" s="38" t="s">
        <v>171</v>
      </c>
      <c r="E271" s="38" t="s">
        <v>2663</v>
      </c>
      <c r="F271" s="38" t="s">
        <v>2664</v>
      </c>
      <c r="G271" s="38" t="s">
        <v>2665</v>
      </c>
      <c r="H271" s="38" t="s">
        <v>54</v>
      </c>
      <c r="I271" s="38" t="s">
        <v>55</v>
      </c>
      <c r="J271" s="38" t="s">
        <v>56</v>
      </c>
      <c r="K271" s="37">
        <v>5.4541E8</v>
      </c>
      <c r="L271" s="38" t="s">
        <v>52</v>
      </c>
      <c r="M271" s="38" t="s">
        <v>1771</v>
      </c>
      <c r="N271" s="38" t="s">
        <v>170</v>
      </c>
      <c r="O271" s="38" t="s">
        <v>1509</v>
      </c>
      <c r="P271" s="37">
        <v>1.5</v>
      </c>
      <c r="Q271" s="38" t="s">
        <v>75</v>
      </c>
      <c r="R271" s="38" t="s">
        <v>174</v>
      </c>
      <c r="S271" s="38" t="s">
        <v>175</v>
      </c>
      <c r="T271" s="38" t="s">
        <v>49</v>
      </c>
      <c r="U271" s="38" t="s">
        <v>53</v>
      </c>
      <c r="V271" s="38" t="s">
        <v>2666</v>
      </c>
      <c r="W271" s="38" t="s">
        <v>54</v>
      </c>
    </row>
    <row r="272">
      <c r="A272" s="38" t="s">
        <v>477</v>
      </c>
      <c r="B272" s="38" t="s">
        <v>480</v>
      </c>
      <c r="C272" s="38" t="s">
        <v>57</v>
      </c>
      <c r="D272" s="38" t="s">
        <v>45</v>
      </c>
      <c r="E272" s="38" t="s">
        <v>2119</v>
      </c>
      <c r="F272" s="38" t="s">
        <v>2120</v>
      </c>
      <c r="G272" s="38" t="s">
        <v>2121</v>
      </c>
      <c r="H272" s="38" t="s">
        <v>54</v>
      </c>
      <c r="I272" s="38" t="s">
        <v>55</v>
      </c>
      <c r="J272" s="38" t="s">
        <v>56</v>
      </c>
      <c r="K272" s="37">
        <v>8653040.0</v>
      </c>
      <c r="L272" s="38" t="s">
        <v>483</v>
      </c>
      <c r="M272" s="38" t="s">
        <v>174</v>
      </c>
      <c r="N272" s="38" t="s">
        <v>45</v>
      </c>
      <c r="O272" s="38" t="s">
        <v>4332</v>
      </c>
      <c r="P272" s="37">
        <v>1.0</v>
      </c>
      <c r="Q272" s="38" t="s">
        <v>4333</v>
      </c>
      <c r="R272" s="38" t="s">
        <v>226</v>
      </c>
      <c r="S272" s="38" t="s">
        <v>484</v>
      </c>
      <c r="T272" s="38" t="s">
        <v>49</v>
      </c>
      <c r="U272" s="38" t="s">
        <v>53</v>
      </c>
      <c r="V272" s="38" t="s">
        <v>2122</v>
      </c>
      <c r="W272" s="38" t="s">
        <v>54</v>
      </c>
    </row>
    <row r="273">
      <c r="A273" s="38" t="s">
        <v>477</v>
      </c>
      <c r="B273" s="38" t="s">
        <v>480</v>
      </c>
      <c r="C273" s="38" t="s">
        <v>57</v>
      </c>
      <c r="D273" s="38" t="s">
        <v>45</v>
      </c>
      <c r="E273" s="38" t="s">
        <v>2123</v>
      </c>
      <c r="F273" s="38" t="s">
        <v>2124</v>
      </c>
      <c r="G273" s="38" t="s">
        <v>2125</v>
      </c>
      <c r="H273" s="38" t="s">
        <v>54</v>
      </c>
      <c r="I273" s="38" t="s">
        <v>55</v>
      </c>
      <c r="J273" s="38" t="s">
        <v>56</v>
      </c>
      <c r="K273" s="37">
        <v>2.15588E7</v>
      </c>
      <c r="L273" s="38" t="s">
        <v>483</v>
      </c>
      <c r="M273" s="38" t="s">
        <v>174</v>
      </c>
      <c r="N273" s="38" t="s">
        <v>45</v>
      </c>
      <c r="O273" s="38" t="s">
        <v>4334</v>
      </c>
      <c r="P273" s="37">
        <v>1.1</v>
      </c>
      <c r="Q273" s="38" t="s">
        <v>4335</v>
      </c>
      <c r="R273" s="38" t="s">
        <v>226</v>
      </c>
      <c r="S273" s="38" t="s">
        <v>484</v>
      </c>
      <c r="T273" s="38" t="s">
        <v>49</v>
      </c>
      <c r="U273" s="38" t="s">
        <v>53</v>
      </c>
      <c r="V273" s="38" t="s">
        <v>2126</v>
      </c>
      <c r="W273" s="38" t="s">
        <v>54</v>
      </c>
    </row>
    <row r="274">
      <c r="A274" s="38" t="s">
        <v>980</v>
      </c>
      <c r="B274" s="38" t="s">
        <v>983</v>
      </c>
      <c r="C274" s="38" t="s">
        <v>57</v>
      </c>
      <c r="D274" s="38" t="s">
        <v>200</v>
      </c>
      <c r="E274" s="38" t="s">
        <v>2623</v>
      </c>
      <c r="F274" s="38" t="s">
        <v>2624</v>
      </c>
      <c r="G274" s="38" t="s">
        <v>2625</v>
      </c>
      <c r="H274" s="38" t="s">
        <v>54</v>
      </c>
      <c r="I274" s="38" t="s">
        <v>55</v>
      </c>
      <c r="J274" s="38" t="s">
        <v>56</v>
      </c>
      <c r="K274" s="37">
        <v>8.749492E7</v>
      </c>
      <c r="L274" s="38" t="s">
        <v>52</v>
      </c>
      <c r="M274" s="38" t="s">
        <v>1776</v>
      </c>
      <c r="N274" s="38" t="s">
        <v>200</v>
      </c>
      <c r="O274" s="38" t="s">
        <v>4336</v>
      </c>
      <c r="P274" s="37">
        <v>3.375</v>
      </c>
      <c r="Q274" s="38" t="s">
        <v>4337</v>
      </c>
      <c r="R274" s="38" t="s">
        <v>226</v>
      </c>
      <c r="S274" s="38" t="s">
        <v>175</v>
      </c>
      <c r="T274" s="38" t="s">
        <v>49</v>
      </c>
      <c r="U274" s="38" t="s">
        <v>53</v>
      </c>
      <c r="V274" s="38" t="s">
        <v>2626</v>
      </c>
      <c r="W274" s="37">
        <v>3.119</v>
      </c>
    </row>
    <row r="275">
      <c r="A275" s="38" t="s">
        <v>833</v>
      </c>
      <c r="B275" s="38" t="s">
        <v>169</v>
      </c>
      <c r="C275" s="38" t="s">
        <v>57</v>
      </c>
      <c r="D275" s="38" t="s">
        <v>171</v>
      </c>
      <c r="E275" s="38" t="s">
        <v>2683</v>
      </c>
      <c r="F275" s="38" t="s">
        <v>2684</v>
      </c>
      <c r="G275" s="38" t="s">
        <v>2685</v>
      </c>
      <c r="H275" s="38" t="s">
        <v>54</v>
      </c>
      <c r="I275" s="38" t="s">
        <v>55</v>
      </c>
      <c r="J275" s="38" t="s">
        <v>56</v>
      </c>
      <c r="K275" s="37">
        <v>5.0E7</v>
      </c>
      <c r="L275" s="38" t="s">
        <v>52</v>
      </c>
      <c r="M275" s="38" t="s">
        <v>1771</v>
      </c>
      <c r="N275" s="38" t="s">
        <v>170</v>
      </c>
      <c r="O275" s="38" t="s">
        <v>4338</v>
      </c>
      <c r="P275" s="37">
        <v>4.2</v>
      </c>
      <c r="Q275" s="38" t="s">
        <v>4339</v>
      </c>
      <c r="R275" s="38" t="s">
        <v>226</v>
      </c>
      <c r="S275" s="38" t="s">
        <v>175</v>
      </c>
      <c r="T275" s="38" t="s">
        <v>49</v>
      </c>
      <c r="U275" s="38" t="s">
        <v>263</v>
      </c>
      <c r="V275" s="38" t="s">
        <v>2686</v>
      </c>
      <c r="W275" s="37">
        <v>5.921</v>
      </c>
    </row>
    <row r="276">
      <c r="A276" s="38" t="s">
        <v>980</v>
      </c>
      <c r="B276" s="38" t="s">
        <v>983</v>
      </c>
      <c r="C276" s="38" t="s">
        <v>57</v>
      </c>
      <c r="D276" s="38" t="s">
        <v>200</v>
      </c>
      <c r="E276" s="38" t="s">
        <v>2627</v>
      </c>
      <c r="F276" s="38" t="s">
        <v>2628</v>
      </c>
      <c r="G276" s="38" t="s">
        <v>2629</v>
      </c>
      <c r="H276" s="38" t="s">
        <v>54</v>
      </c>
      <c r="I276" s="38" t="s">
        <v>55</v>
      </c>
      <c r="J276" s="38" t="s">
        <v>56</v>
      </c>
      <c r="K276" s="37">
        <v>4.117408E7</v>
      </c>
      <c r="L276" s="38" t="s">
        <v>52</v>
      </c>
      <c r="M276" s="38" t="s">
        <v>1776</v>
      </c>
      <c r="N276" s="38" t="s">
        <v>200</v>
      </c>
      <c r="O276" s="38" t="s">
        <v>4336</v>
      </c>
      <c r="P276" s="37">
        <v>3.5</v>
      </c>
      <c r="Q276" s="38" t="s">
        <v>4340</v>
      </c>
      <c r="R276" s="38" t="s">
        <v>226</v>
      </c>
      <c r="S276" s="38" t="s">
        <v>175</v>
      </c>
      <c r="T276" s="38" t="s">
        <v>49</v>
      </c>
      <c r="U276" s="38" t="s">
        <v>53</v>
      </c>
      <c r="V276" s="38" t="s">
        <v>2630</v>
      </c>
      <c r="W276" s="38" t="s">
        <v>54</v>
      </c>
    </row>
    <row r="277">
      <c r="A277" s="38" t="s">
        <v>614</v>
      </c>
      <c r="B277" s="38" t="s">
        <v>617</v>
      </c>
      <c r="C277" s="38" t="s">
        <v>57</v>
      </c>
      <c r="D277" s="38" t="s">
        <v>200</v>
      </c>
      <c r="E277" s="38" t="s">
        <v>2501</v>
      </c>
      <c r="F277" s="38" t="s">
        <v>2502</v>
      </c>
      <c r="G277" s="38" t="s">
        <v>2503</v>
      </c>
      <c r="H277" s="38" t="s">
        <v>54</v>
      </c>
      <c r="I277" s="38" t="s">
        <v>117</v>
      </c>
      <c r="J277" s="38" t="s">
        <v>56</v>
      </c>
      <c r="K277" s="37">
        <v>1.27917E9</v>
      </c>
      <c r="L277" s="38" t="s">
        <v>52</v>
      </c>
      <c r="M277" s="38" t="s">
        <v>1771</v>
      </c>
      <c r="N277" s="38" t="s">
        <v>200</v>
      </c>
      <c r="O277" s="38" t="s">
        <v>4341</v>
      </c>
      <c r="P277" s="37">
        <v>3.25</v>
      </c>
      <c r="Q277" s="38" t="s">
        <v>4342</v>
      </c>
      <c r="R277" s="38" t="s">
        <v>226</v>
      </c>
      <c r="S277" s="38" t="s">
        <v>620</v>
      </c>
      <c r="T277" s="38" t="s">
        <v>49</v>
      </c>
      <c r="U277" s="38" t="s">
        <v>53</v>
      </c>
      <c r="V277" s="38" t="s">
        <v>2504</v>
      </c>
      <c r="W277" s="37">
        <v>3.117</v>
      </c>
    </row>
    <row r="278">
      <c r="A278" s="38" t="s">
        <v>477</v>
      </c>
      <c r="B278" s="38" t="s">
        <v>480</v>
      </c>
      <c r="C278" s="38" t="s">
        <v>57</v>
      </c>
      <c r="D278" s="38" t="s">
        <v>45</v>
      </c>
      <c r="E278" s="38" t="s">
        <v>2127</v>
      </c>
      <c r="F278" s="38" t="s">
        <v>2128</v>
      </c>
      <c r="G278" s="38" t="s">
        <v>2129</v>
      </c>
      <c r="H278" s="38" t="s">
        <v>54</v>
      </c>
      <c r="I278" s="38" t="s">
        <v>55</v>
      </c>
      <c r="J278" s="38" t="s">
        <v>56</v>
      </c>
      <c r="K278" s="37">
        <v>2.66212E7</v>
      </c>
      <c r="L278" s="38" t="s">
        <v>2012</v>
      </c>
      <c r="M278" s="38" t="s">
        <v>2130</v>
      </c>
      <c r="N278" s="38" t="s">
        <v>45</v>
      </c>
      <c r="O278" s="38" t="s">
        <v>4343</v>
      </c>
      <c r="P278" s="37">
        <v>2.45</v>
      </c>
      <c r="Q278" s="38" t="s">
        <v>4010</v>
      </c>
      <c r="R278" s="38" t="s">
        <v>4344</v>
      </c>
      <c r="S278" s="38" t="s">
        <v>190</v>
      </c>
      <c r="T278" s="38" t="s">
        <v>49</v>
      </c>
      <c r="U278" s="38" t="s">
        <v>53</v>
      </c>
      <c r="V278" s="38" t="s">
        <v>2131</v>
      </c>
      <c r="W278" s="38" t="s">
        <v>54</v>
      </c>
    </row>
    <row r="279">
      <c r="A279" s="38" t="s">
        <v>614</v>
      </c>
      <c r="B279" s="38" t="s">
        <v>617</v>
      </c>
      <c r="C279" s="38" t="s">
        <v>57</v>
      </c>
      <c r="D279" s="38" t="s">
        <v>200</v>
      </c>
      <c r="E279" s="38" t="s">
        <v>2505</v>
      </c>
      <c r="F279" s="38" t="s">
        <v>2506</v>
      </c>
      <c r="G279" s="38" t="s">
        <v>2507</v>
      </c>
      <c r="H279" s="38" t="s">
        <v>54</v>
      </c>
      <c r="I279" s="38" t="s">
        <v>117</v>
      </c>
      <c r="J279" s="38" t="s">
        <v>56</v>
      </c>
      <c r="K279" s="37">
        <v>1.597272E9</v>
      </c>
      <c r="L279" s="38" t="s">
        <v>52</v>
      </c>
      <c r="M279" s="38" t="s">
        <v>1771</v>
      </c>
      <c r="N279" s="38" t="s">
        <v>200</v>
      </c>
      <c r="O279" s="38" t="s">
        <v>4343</v>
      </c>
      <c r="P279" s="37">
        <v>3.75</v>
      </c>
      <c r="Q279" s="38" t="s">
        <v>4345</v>
      </c>
      <c r="R279" s="38" t="s">
        <v>226</v>
      </c>
      <c r="S279" s="38" t="s">
        <v>620</v>
      </c>
      <c r="T279" s="38" t="s">
        <v>49</v>
      </c>
      <c r="U279" s="38" t="s">
        <v>53</v>
      </c>
      <c r="V279" s="38" t="s">
        <v>2508</v>
      </c>
      <c r="W279" s="37">
        <v>3.772</v>
      </c>
    </row>
    <row r="280">
      <c r="A280" s="38" t="s">
        <v>1519</v>
      </c>
      <c r="B280" s="38" t="s">
        <v>1522</v>
      </c>
      <c r="C280" s="38" t="s">
        <v>57</v>
      </c>
      <c r="D280" s="38" t="s">
        <v>185</v>
      </c>
      <c r="E280" s="38" t="s">
        <v>3124</v>
      </c>
      <c r="F280" s="38" t="s">
        <v>3125</v>
      </c>
      <c r="G280" s="38" t="s">
        <v>3126</v>
      </c>
      <c r="H280" s="38" t="s">
        <v>54</v>
      </c>
      <c r="I280" s="38" t="s">
        <v>117</v>
      </c>
      <c r="J280" s="38" t="s">
        <v>56</v>
      </c>
      <c r="K280" s="37">
        <v>1.34718E9</v>
      </c>
      <c r="L280" s="38" t="s">
        <v>52</v>
      </c>
      <c r="M280" s="38" t="s">
        <v>1771</v>
      </c>
      <c r="N280" s="38" t="s">
        <v>185</v>
      </c>
      <c r="O280" s="38" t="s">
        <v>4346</v>
      </c>
      <c r="P280" s="37">
        <v>2.5</v>
      </c>
      <c r="Q280" s="38" t="s">
        <v>4347</v>
      </c>
      <c r="R280" s="38" t="s">
        <v>226</v>
      </c>
      <c r="S280" s="38" t="s">
        <v>484</v>
      </c>
      <c r="T280" s="38" t="s">
        <v>115</v>
      </c>
      <c r="U280" s="38" t="s">
        <v>53</v>
      </c>
      <c r="V280" s="38" t="s">
        <v>3127</v>
      </c>
      <c r="W280" s="37">
        <v>2.493</v>
      </c>
    </row>
    <row r="281">
      <c r="A281" s="38" t="s">
        <v>775</v>
      </c>
      <c r="B281" s="38" t="s">
        <v>778</v>
      </c>
      <c r="C281" s="38" t="s">
        <v>57</v>
      </c>
      <c r="D281" s="38" t="s">
        <v>200</v>
      </c>
      <c r="E281" s="38" t="s">
        <v>1782</v>
      </c>
      <c r="F281" s="38" t="s">
        <v>1783</v>
      </c>
      <c r="G281" s="38" t="s">
        <v>1784</v>
      </c>
      <c r="H281" s="38" t="s">
        <v>54</v>
      </c>
      <c r="I281" s="38" t="s">
        <v>55</v>
      </c>
      <c r="J281" s="38" t="s">
        <v>56</v>
      </c>
      <c r="K281" s="37">
        <v>4.07832E8</v>
      </c>
      <c r="L281" s="38" t="s">
        <v>52</v>
      </c>
      <c r="M281" s="38" t="s">
        <v>1771</v>
      </c>
      <c r="N281" s="38" t="s">
        <v>200</v>
      </c>
      <c r="O281" s="38" t="s">
        <v>4348</v>
      </c>
      <c r="P281" s="37">
        <v>4.0</v>
      </c>
      <c r="Q281" s="38" t="s">
        <v>4349</v>
      </c>
      <c r="R281" s="38" t="s">
        <v>226</v>
      </c>
      <c r="S281" s="38" t="s">
        <v>190</v>
      </c>
      <c r="T281" s="38" t="s">
        <v>49</v>
      </c>
      <c r="U281" s="38" t="s">
        <v>53</v>
      </c>
      <c r="V281" s="38" t="s">
        <v>1785</v>
      </c>
      <c r="W281" s="38" t="s">
        <v>54</v>
      </c>
    </row>
    <row r="282">
      <c r="A282" s="38" t="s">
        <v>814</v>
      </c>
      <c r="B282" s="38" t="s">
        <v>817</v>
      </c>
      <c r="C282" s="38" t="s">
        <v>57</v>
      </c>
      <c r="D282" s="38" t="s">
        <v>185</v>
      </c>
      <c r="E282" s="38" t="s">
        <v>3445</v>
      </c>
      <c r="F282" s="38" t="s">
        <v>3446</v>
      </c>
      <c r="G282" s="38" t="s">
        <v>3447</v>
      </c>
      <c r="H282" s="38" t="s">
        <v>54</v>
      </c>
      <c r="I282" s="38" t="s">
        <v>133</v>
      </c>
      <c r="J282" s="38" t="s">
        <v>56</v>
      </c>
      <c r="K282" s="37">
        <v>9.4857E8</v>
      </c>
      <c r="L282" s="38" t="s">
        <v>52</v>
      </c>
      <c r="M282" s="38" t="s">
        <v>1771</v>
      </c>
      <c r="N282" s="38" t="s">
        <v>185</v>
      </c>
      <c r="O282" s="38" t="s">
        <v>4350</v>
      </c>
      <c r="P282" s="37">
        <v>3.25</v>
      </c>
      <c r="Q282" s="38" t="s">
        <v>4351</v>
      </c>
      <c r="R282" s="38" t="s">
        <v>226</v>
      </c>
      <c r="S282" s="38" t="s">
        <v>264</v>
      </c>
      <c r="T282" s="38" t="s">
        <v>49</v>
      </c>
      <c r="U282" s="38" t="s">
        <v>53</v>
      </c>
      <c r="V282" s="38" t="s">
        <v>3448</v>
      </c>
      <c r="W282" s="37">
        <v>3.036</v>
      </c>
    </row>
    <row r="283">
      <c r="A283" s="38" t="s">
        <v>1360</v>
      </c>
      <c r="B283" s="38" t="s">
        <v>1363</v>
      </c>
      <c r="C283" s="38" t="s">
        <v>57</v>
      </c>
      <c r="D283" s="38" t="s">
        <v>200</v>
      </c>
      <c r="E283" s="38" t="s">
        <v>3246</v>
      </c>
      <c r="F283" s="38" t="s">
        <v>3247</v>
      </c>
      <c r="G283" s="38" t="s">
        <v>3248</v>
      </c>
      <c r="H283" s="37">
        <v>3.367</v>
      </c>
      <c r="I283" s="38" t="s">
        <v>117</v>
      </c>
      <c r="J283" s="38" t="s">
        <v>56</v>
      </c>
      <c r="K283" s="37">
        <v>8.1306E8</v>
      </c>
      <c r="L283" s="38" t="s">
        <v>52</v>
      </c>
      <c r="M283" s="38" t="s">
        <v>1771</v>
      </c>
      <c r="N283" s="38" t="s">
        <v>200</v>
      </c>
      <c r="O283" s="38" t="s">
        <v>4350</v>
      </c>
      <c r="P283" s="37">
        <v>3.25</v>
      </c>
      <c r="Q283" s="38" t="s">
        <v>4351</v>
      </c>
      <c r="R283" s="38" t="s">
        <v>226</v>
      </c>
      <c r="S283" s="38" t="s">
        <v>175</v>
      </c>
      <c r="T283" s="38" t="s">
        <v>49</v>
      </c>
      <c r="U283" s="38" t="s">
        <v>53</v>
      </c>
      <c r="V283" s="38" t="s">
        <v>3249</v>
      </c>
      <c r="W283" s="37">
        <v>3.122</v>
      </c>
    </row>
    <row r="284">
      <c r="A284" s="38" t="s">
        <v>166</v>
      </c>
      <c r="B284" s="38" t="s">
        <v>169</v>
      </c>
      <c r="C284" s="38" t="s">
        <v>57</v>
      </c>
      <c r="D284" s="38" t="s">
        <v>171</v>
      </c>
      <c r="E284" s="38" t="s">
        <v>2667</v>
      </c>
      <c r="F284" s="38" t="s">
        <v>2668</v>
      </c>
      <c r="G284" s="38" t="s">
        <v>2669</v>
      </c>
      <c r="H284" s="37">
        <v>3.068</v>
      </c>
      <c r="I284" s="38" t="s">
        <v>55</v>
      </c>
      <c r="J284" s="38" t="s">
        <v>56</v>
      </c>
      <c r="K284" s="37">
        <v>6.7755E8</v>
      </c>
      <c r="L284" s="38" t="s">
        <v>52</v>
      </c>
      <c r="M284" s="38" t="s">
        <v>1771</v>
      </c>
      <c r="N284" s="38" t="s">
        <v>170</v>
      </c>
      <c r="O284" s="38" t="s">
        <v>4350</v>
      </c>
      <c r="P284" s="37">
        <v>3.0</v>
      </c>
      <c r="Q284" s="38" t="s">
        <v>4351</v>
      </c>
      <c r="R284" s="38" t="s">
        <v>2135</v>
      </c>
      <c r="S284" s="38" t="s">
        <v>175</v>
      </c>
      <c r="T284" s="38" t="s">
        <v>49</v>
      </c>
      <c r="U284" s="38" t="s">
        <v>53</v>
      </c>
      <c r="V284" s="38" t="s">
        <v>2670</v>
      </c>
      <c r="W284" s="37">
        <v>2.912</v>
      </c>
    </row>
    <row r="285">
      <c r="A285" s="38" t="s">
        <v>614</v>
      </c>
      <c r="B285" s="38" t="s">
        <v>617</v>
      </c>
      <c r="C285" s="38" t="s">
        <v>57</v>
      </c>
      <c r="D285" s="38" t="s">
        <v>200</v>
      </c>
      <c r="E285" s="38" t="s">
        <v>2509</v>
      </c>
      <c r="F285" s="38" t="s">
        <v>2510</v>
      </c>
      <c r="G285" s="38" t="s">
        <v>2511</v>
      </c>
      <c r="H285" s="37">
        <v>3.6799999999999997</v>
      </c>
      <c r="I285" s="38" t="s">
        <v>117</v>
      </c>
      <c r="J285" s="38" t="s">
        <v>56</v>
      </c>
      <c r="K285" s="37">
        <v>1.36632E9</v>
      </c>
      <c r="L285" s="38" t="s">
        <v>52</v>
      </c>
      <c r="M285" s="38" t="s">
        <v>1771</v>
      </c>
      <c r="N285" s="38" t="s">
        <v>200</v>
      </c>
      <c r="O285" s="38" t="s">
        <v>4352</v>
      </c>
      <c r="P285" s="37">
        <v>3.625</v>
      </c>
      <c r="Q285" s="38" t="s">
        <v>4353</v>
      </c>
      <c r="R285" s="38" t="s">
        <v>226</v>
      </c>
      <c r="S285" s="38" t="s">
        <v>620</v>
      </c>
      <c r="T285" s="38" t="s">
        <v>49</v>
      </c>
      <c r="U285" s="38" t="s">
        <v>53</v>
      </c>
      <c r="V285" s="38" t="s">
        <v>2512</v>
      </c>
      <c r="W285" s="37">
        <v>3.623</v>
      </c>
    </row>
    <row r="286">
      <c r="A286" s="38" t="s">
        <v>1167</v>
      </c>
      <c r="B286" s="38" t="s">
        <v>1170</v>
      </c>
      <c r="C286" s="38" t="s">
        <v>57</v>
      </c>
      <c r="D286" s="38" t="s">
        <v>200</v>
      </c>
      <c r="E286" s="38" t="s">
        <v>1833</v>
      </c>
      <c r="F286" s="38" t="s">
        <v>1834</v>
      </c>
      <c r="G286" s="38" t="s">
        <v>1835</v>
      </c>
      <c r="H286" s="37">
        <v>3.439</v>
      </c>
      <c r="I286" s="38" t="s">
        <v>55</v>
      </c>
      <c r="J286" s="38" t="s">
        <v>56</v>
      </c>
      <c r="K286" s="37">
        <v>6.83485E8</v>
      </c>
      <c r="L286" s="38" t="s">
        <v>1830</v>
      </c>
      <c r="M286" s="38" t="s">
        <v>1831</v>
      </c>
      <c r="N286" s="38" t="s">
        <v>200</v>
      </c>
      <c r="O286" s="38" t="s">
        <v>4354</v>
      </c>
      <c r="P286" s="37">
        <v>3.375</v>
      </c>
      <c r="Q286" s="38" t="s">
        <v>4355</v>
      </c>
      <c r="R286" s="38" t="s">
        <v>226</v>
      </c>
      <c r="S286" s="38" t="s">
        <v>497</v>
      </c>
      <c r="T286" s="38" t="s">
        <v>49</v>
      </c>
      <c r="U286" s="38" t="s">
        <v>53</v>
      </c>
      <c r="V286" s="38" t="s">
        <v>1836</v>
      </c>
      <c r="W286" s="37">
        <v>3.354</v>
      </c>
    </row>
    <row r="287">
      <c r="A287" s="38" t="s">
        <v>477</v>
      </c>
      <c r="B287" s="38" t="s">
        <v>480</v>
      </c>
      <c r="C287" s="38" t="s">
        <v>57</v>
      </c>
      <c r="D287" s="38" t="s">
        <v>45</v>
      </c>
      <c r="E287" s="38" t="s">
        <v>2132</v>
      </c>
      <c r="F287" s="38" t="s">
        <v>2133</v>
      </c>
      <c r="G287" s="38" t="s">
        <v>2134</v>
      </c>
      <c r="H287" s="38" t="s">
        <v>54</v>
      </c>
      <c r="I287" s="38" t="s">
        <v>55</v>
      </c>
      <c r="J287" s="38" t="s">
        <v>56</v>
      </c>
      <c r="K287" s="37">
        <v>3.417425E7</v>
      </c>
      <c r="L287" s="38" t="s">
        <v>2012</v>
      </c>
      <c r="M287" s="38" t="s">
        <v>2130</v>
      </c>
      <c r="N287" s="38" t="s">
        <v>45</v>
      </c>
      <c r="O287" s="38" t="s">
        <v>4354</v>
      </c>
      <c r="P287" s="37">
        <v>2.5</v>
      </c>
      <c r="Q287" s="38" t="s">
        <v>4356</v>
      </c>
      <c r="R287" s="38" t="s">
        <v>2135</v>
      </c>
      <c r="S287" s="38" t="s">
        <v>190</v>
      </c>
      <c r="T287" s="38" t="s">
        <v>49</v>
      </c>
      <c r="U287" s="38" t="s">
        <v>53</v>
      </c>
      <c r="V287" s="38" t="s">
        <v>2136</v>
      </c>
      <c r="W287" s="38" t="s">
        <v>54</v>
      </c>
    </row>
    <row r="288">
      <c r="A288" s="38" t="s">
        <v>477</v>
      </c>
      <c r="B288" s="38" t="s">
        <v>480</v>
      </c>
      <c r="C288" s="38" t="s">
        <v>57</v>
      </c>
      <c r="D288" s="38" t="s">
        <v>45</v>
      </c>
      <c r="E288" s="38" t="s">
        <v>2137</v>
      </c>
      <c r="F288" s="38" t="s">
        <v>2138</v>
      </c>
      <c r="G288" s="38" t="s">
        <v>2139</v>
      </c>
      <c r="H288" s="38" t="s">
        <v>54</v>
      </c>
      <c r="I288" s="38" t="s">
        <v>55</v>
      </c>
      <c r="J288" s="38" t="s">
        <v>56</v>
      </c>
      <c r="K288" s="37">
        <v>6876950.0</v>
      </c>
      <c r="L288" s="38" t="s">
        <v>2012</v>
      </c>
      <c r="M288" s="38" t="s">
        <v>2130</v>
      </c>
      <c r="N288" s="38" t="s">
        <v>45</v>
      </c>
      <c r="O288" s="38" t="s">
        <v>4357</v>
      </c>
      <c r="P288" s="37">
        <v>2.125</v>
      </c>
      <c r="Q288" s="38" t="s">
        <v>4358</v>
      </c>
      <c r="R288" s="38" t="s">
        <v>226</v>
      </c>
      <c r="S288" s="38" t="s">
        <v>190</v>
      </c>
      <c r="T288" s="38" t="s">
        <v>49</v>
      </c>
      <c r="U288" s="38" t="s">
        <v>53</v>
      </c>
      <c r="V288" s="38" t="s">
        <v>2140</v>
      </c>
      <c r="W288" s="38" t="s">
        <v>54</v>
      </c>
    </row>
    <row r="289">
      <c r="A289" s="38" t="s">
        <v>680</v>
      </c>
      <c r="B289" s="38" t="s">
        <v>683</v>
      </c>
      <c r="C289" s="38" t="s">
        <v>392</v>
      </c>
      <c r="D289" s="38" t="s">
        <v>368</v>
      </c>
      <c r="E289" s="38" t="s">
        <v>3286</v>
      </c>
      <c r="F289" s="38" t="s">
        <v>3287</v>
      </c>
      <c r="G289" s="38" t="s">
        <v>3288</v>
      </c>
      <c r="H289" s="38" t="s">
        <v>54</v>
      </c>
      <c r="I289" s="38" t="s">
        <v>55</v>
      </c>
      <c r="J289" s="38" t="s">
        <v>343</v>
      </c>
      <c r="K289" s="37">
        <v>5.0E7</v>
      </c>
      <c r="L289" s="38" t="s">
        <v>459</v>
      </c>
      <c r="M289" s="38" t="s">
        <v>1771</v>
      </c>
      <c r="N289" s="38" t="s">
        <v>368</v>
      </c>
      <c r="O289" s="38" t="s">
        <v>4359</v>
      </c>
      <c r="P289" s="38" t="s">
        <v>54</v>
      </c>
      <c r="Q289" s="38" t="s">
        <v>4360</v>
      </c>
      <c r="R289" s="38" t="s">
        <v>174</v>
      </c>
      <c r="S289" s="38" t="s">
        <v>190</v>
      </c>
      <c r="T289" s="38" t="s">
        <v>49</v>
      </c>
      <c r="U289" s="38" t="s">
        <v>263</v>
      </c>
      <c r="V289" s="38" t="s">
        <v>3289</v>
      </c>
      <c r="W289" s="38" t="s">
        <v>54</v>
      </c>
    </row>
    <row r="290">
      <c r="A290" s="38" t="s">
        <v>469</v>
      </c>
      <c r="B290" s="38" t="s">
        <v>472</v>
      </c>
      <c r="C290" s="38" t="s">
        <v>57</v>
      </c>
      <c r="D290" s="38" t="s">
        <v>258</v>
      </c>
      <c r="E290" s="38" t="s">
        <v>2808</v>
      </c>
      <c r="F290" s="38" t="s">
        <v>2809</v>
      </c>
      <c r="G290" s="38" t="s">
        <v>2810</v>
      </c>
      <c r="H290" s="37">
        <v>3.01</v>
      </c>
      <c r="I290" s="38" t="s">
        <v>55</v>
      </c>
      <c r="J290" s="38" t="s">
        <v>56</v>
      </c>
      <c r="K290" s="37">
        <v>2.04573E8</v>
      </c>
      <c r="L290" s="38" t="s">
        <v>52</v>
      </c>
      <c r="M290" s="38" t="s">
        <v>174</v>
      </c>
      <c r="N290" s="38" t="s">
        <v>258</v>
      </c>
      <c r="O290" s="38" t="s">
        <v>4361</v>
      </c>
      <c r="P290" s="37">
        <v>3.0</v>
      </c>
      <c r="Q290" s="38" t="s">
        <v>4088</v>
      </c>
      <c r="R290" s="38" t="s">
        <v>226</v>
      </c>
      <c r="S290" s="38" t="s">
        <v>190</v>
      </c>
      <c r="T290" s="38" t="s">
        <v>49</v>
      </c>
      <c r="U290" s="38" t="s">
        <v>53</v>
      </c>
      <c r="V290" s="38" t="s">
        <v>2811</v>
      </c>
      <c r="W290" s="38" t="s">
        <v>54</v>
      </c>
    </row>
    <row r="291">
      <c r="A291" s="38" t="s">
        <v>1158</v>
      </c>
      <c r="B291" s="38" t="s">
        <v>1161</v>
      </c>
      <c r="C291" s="38" t="s">
        <v>57</v>
      </c>
      <c r="D291" s="38" t="s">
        <v>185</v>
      </c>
      <c r="E291" s="38" t="s">
        <v>1803</v>
      </c>
      <c r="F291" s="38" t="s">
        <v>1804</v>
      </c>
      <c r="G291" s="38" t="s">
        <v>1805</v>
      </c>
      <c r="H291" s="38" t="s">
        <v>54</v>
      </c>
      <c r="I291" s="38" t="s">
        <v>117</v>
      </c>
      <c r="J291" s="38" t="s">
        <v>1806</v>
      </c>
      <c r="K291" s="37">
        <v>1.683E8</v>
      </c>
      <c r="L291" s="38" t="s">
        <v>52</v>
      </c>
      <c r="M291" s="38" t="s">
        <v>174</v>
      </c>
      <c r="N291" s="38" t="s">
        <v>185</v>
      </c>
      <c r="O291" s="38" t="s">
        <v>4362</v>
      </c>
      <c r="P291" s="37">
        <v>3.0</v>
      </c>
      <c r="Q291" s="38" t="s">
        <v>4363</v>
      </c>
      <c r="R291" s="38" t="s">
        <v>226</v>
      </c>
      <c r="S291" s="38" t="s">
        <v>264</v>
      </c>
      <c r="T291" s="38" t="s">
        <v>49</v>
      </c>
      <c r="U291" s="38" t="s">
        <v>1807</v>
      </c>
      <c r="V291" s="38" t="s">
        <v>1808</v>
      </c>
      <c r="W291" s="37">
        <v>1.688</v>
      </c>
    </row>
    <row r="292">
      <c r="A292" s="38" t="s">
        <v>1487</v>
      </c>
      <c r="B292" s="38" t="s">
        <v>1490</v>
      </c>
      <c r="C292" s="38" t="s">
        <v>57</v>
      </c>
      <c r="D292" s="38" t="s">
        <v>185</v>
      </c>
      <c r="E292" s="38" t="s">
        <v>2272</v>
      </c>
      <c r="F292" s="38" t="s">
        <v>2273</v>
      </c>
      <c r="G292" s="38" t="s">
        <v>2274</v>
      </c>
      <c r="H292" s="37">
        <v>1.846</v>
      </c>
      <c r="I292" s="38" t="s">
        <v>117</v>
      </c>
      <c r="J292" s="38" t="s">
        <v>56</v>
      </c>
      <c r="K292" s="37">
        <v>1.35676E9</v>
      </c>
      <c r="L292" s="38" t="s">
        <v>52</v>
      </c>
      <c r="M292" s="38" t="s">
        <v>1771</v>
      </c>
      <c r="N292" s="38" t="s">
        <v>185</v>
      </c>
      <c r="O292" s="38" t="s">
        <v>4364</v>
      </c>
      <c r="P292" s="37">
        <v>1.75</v>
      </c>
      <c r="Q292" s="38" t="s">
        <v>4365</v>
      </c>
      <c r="R292" s="38" t="s">
        <v>226</v>
      </c>
      <c r="S292" s="38" t="s">
        <v>190</v>
      </c>
      <c r="T292" s="38" t="s">
        <v>115</v>
      </c>
      <c r="U292" s="38" t="s">
        <v>53</v>
      </c>
      <c r="V292" s="38" t="s">
        <v>2275</v>
      </c>
      <c r="W292" s="38" t="s">
        <v>54</v>
      </c>
    </row>
    <row r="293">
      <c r="A293" s="38" t="s">
        <v>477</v>
      </c>
      <c r="B293" s="38" t="s">
        <v>480</v>
      </c>
      <c r="C293" s="38" t="s">
        <v>57</v>
      </c>
      <c r="D293" s="38" t="s">
        <v>45</v>
      </c>
      <c r="E293" s="38" t="s">
        <v>2141</v>
      </c>
      <c r="F293" s="38" t="s">
        <v>2142</v>
      </c>
      <c r="G293" s="38" t="s">
        <v>2143</v>
      </c>
      <c r="H293" s="38" t="s">
        <v>54</v>
      </c>
      <c r="I293" s="38" t="s">
        <v>55</v>
      </c>
      <c r="J293" s="38" t="s">
        <v>56</v>
      </c>
      <c r="K293" s="37">
        <v>6.8058E7</v>
      </c>
      <c r="L293" s="38" t="s">
        <v>459</v>
      </c>
      <c r="M293" s="38" t="s">
        <v>1771</v>
      </c>
      <c r="N293" s="38" t="s">
        <v>45</v>
      </c>
      <c r="O293" s="38" t="s">
        <v>4366</v>
      </c>
      <c r="P293" s="37">
        <v>1.2</v>
      </c>
      <c r="Q293" s="38" t="s">
        <v>4367</v>
      </c>
      <c r="R293" s="38" t="s">
        <v>2135</v>
      </c>
      <c r="S293" s="38" t="s">
        <v>190</v>
      </c>
      <c r="T293" s="38" t="s">
        <v>49</v>
      </c>
      <c r="U293" s="38" t="s">
        <v>53</v>
      </c>
      <c r="V293" s="38" t="s">
        <v>2144</v>
      </c>
      <c r="W293" s="38" t="s">
        <v>54</v>
      </c>
    </row>
    <row r="294">
      <c r="A294" s="38" t="s">
        <v>477</v>
      </c>
      <c r="B294" s="38" t="s">
        <v>480</v>
      </c>
      <c r="C294" s="38" t="s">
        <v>57</v>
      </c>
      <c r="D294" s="38" t="s">
        <v>45</v>
      </c>
      <c r="E294" s="38" t="s">
        <v>2145</v>
      </c>
      <c r="F294" s="38" t="s">
        <v>2146</v>
      </c>
      <c r="G294" s="38" t="s">
        <v>2147</v>
      </c>
      <c r="H294" s="37">
        <v>1.5260000000000002</v>
      </c>
      <c r="I294" s="38" t="s">
        <v>55</v>
      </c>
      <c r="J294" s="38" t="s">
        <v>56</v>
      </c>
      <c r="K294" s="37">
        <v>1.837566E8</v>
      </c>
      <c r="L294" s="38" t="s">
        <v>459</v>
      </c>
      <c r="M294" s="38" t="s">
        <v>1771</v>
      </c>
      <c r="N294" s="38" t="s">
        <v>45</v>
      </c>
      <c r="O294" s="38" t="s">
        <v>4366</v>
      </c>
      <c r="P294" s="37">
        <v>1.52</v>
      </c>
      <c r="Q294" s="38" t="s">
        <v>4368</v>
      </c>
      <c r="R294" s="38" t="s">
        <v>2135</v>
      </c>
      <c r="S294" s="38" t="s">
        <v>190</v>
      </c>
      <c r="T294" s="38" t="s">
        <v>49</v>
      </c>
      <c r="U294" s="38" t="s">
        <v>53</v>
      </c>
      <c r="V294" s="38" t="s">
        <v>2148</v>
      </c>
      <c r="W294" s="37">
        <v>1.532</v>
      </c>
    </row>
    <row r="295">
      <c r="A295" s="38" t="s">
        <v>254</v>
      </c>
      <c r="B295" s="38" t="s">
        <v>257</v>
      </c>
      <c r="C295" s="38" t="s">
        <v>71</v>
      </c>
      <c r="D295" s="38" t="s">
        <v>259</v>
      </c>
      <c r="E295" s="38" t="s">
        <v>2839</v>
      </c>
      <c r="F295" s="38" t="s">
        <v>2840</v>
      </c>
      <c r="G295" s="38" t="s">
        <v>2841</v>
      </c>
      <c r="H295" s="37">
        <v>5.25</v>
      </c>
      <c r="I295" s="38" t="s">
        <v>55</v>
      </c>
      <c r="J295" s="38" t="s">
        <v>56</v>
      </c>
      <c r="K295" s="37">
        <v>5.0E8</v>
      </c>
      <c r="L295" s="38" t="s">
        <v>52</v>
      </c>
      <c r="M295" s="38" t="s">
        <v>1771</v>
      </c>
      <c r="N295" s="38" t="s">
        <v>258</v>
      </c>
      <c r="O295" s="38" t="s">
        <v>4369</v>
      </c>
      <c r="P295" s="37">
        <v>5.25</v>
      </c>
      <c r="Q295" s="38" t="s">
        <v>4370</v>
      </c>
      <c r="R295" s="38" t="s">
        <v>262</v>
      </c>
      <c r="S295" s="38" t="s">
        <v>264</v>
      </c>
      <c r="T295" s="38" t="s">
        <v>49</v>
      </c>
      <c r="U295" s="38" t="s">
        <v>263</v>
      </c>
      <c r="V295" s="38" t="s">
        <v>2842</v>
      </c>
      <c r="W295" s="38" t="s">
        <v>54</v>
      </c>
    </row>
    <row r="296">
      <c r="A296" s="38" t="s">
        <v>254</v>
      </c>
      <c r="B296" s="38" t="s">
        <v>257</v>
      </c>
      <c r="C296" s="38" t="s">
        <v>71</v>
      </c>
      <c r="D296" s="38" t="s">
        <v>259</v>
      </c>
      <c r="E296" s="38" t="s">
        <v>2843</v>
      </c>
      <c r="F296" s="38" t="s">
        <v>2844</v>
      </c>
      <c r="G296" s="38" t="s">
        <v>2845</v>
      </c>
      <c r="H296" s="37">
        <v>5.25</v>
      </c>
      <c r="I296" s="38" t="s">
        <v>55</v>
      </c>
      <c r="J296" s="38" t="s">
        <v>56</v>
      </c>
      <c r="K296" s="37">
        <v>5.0E8</v>
      </c>
      <c r="L296" s="38" t="s">
        <v>52</v>
      </c>
      <c r="M296" s="38" t="s">
        <v>1771</v>
      </c>
      <c r="N296" s="38" t="s">
        <v>258</v>
      </c>
      <c r="O296" s="38" t="s">
        <v>4369</v>
      </c>
      <c r="P296" s="37">
        <v>5.25</v>
      </c>
      <c r="Q296" s="38" t="s">
        <v>4370</v>
      </c>
      <c r="R296" s="38" t="s">
        <v>271</v>
      </c>
      <c r="S296" s="38" t="s">
        <v>264</v>
      </c>
      <c r="T296" s="38" t="s">
        <v>49</v>
      </c>
      <c r="U296" s="38" t="s">
        <v>263</v>
      </c>
      <c r="V296" s="38" t="s">
        <v>2846</v>
      </c>
      <c r="W296" s="38" t="s">
        <v>54</v>
      </c>
    </row>
    <row r="297">
      <c r="A297" s="38" t="s">
        <v>477</v>
      </c>
      <c r="B297" s="38" t="s">
        <v>480</v>
      </c>
      <c r="C297" s="38" t="s">
        <v>57</v>
      </c>
      <c r="D297" s="38" t="s">
        <v>45</v>
      </c>
      <c r="E297" s="38" t="s">
        <v>2149</v>
      </c>
      <c r="F297" s="38" t="s">
        <v>2150</v>
      </c>
      <c r="G297" s="38" t="s">
        <v>2151</v>
      </c>
      <c r="H297" s="38" t="s">
        <v>54</v>
      </c>
      <c r="I297" s="38" t="s">
        <v>55</v>
      </c>
      <c r="J297" s="38" t="s">
        <v>56</v>
      </c>
      <c r="K297" s="37">
        <v>1.33689E7</v>
      </c>
      <c r="L297" s="38" t="s">
        <v>2012</v>
      </c>
      <c r="M297" s="38" t="s">
        <v>2130</v>
      </c>
      <c r="N297" s="38" t="s">
        <v>45</v>
      </c>
      <c r="O297" s="38" t="s">
        <v>4371</v>
      </c>
      <c r="P297" s="37">
        <v>1.625</v>
      </c>
      <c r="Q297" s="38" t="s">
        <v>4372</v>
      </c>
      <c r="R297" s="38" t="s">
        <v>2135</v>
      </c>
      <c r="S297" s="38" t="s">
        <v>190</v>
      </c>
      <c r="T297" s="38" t="s">
        <v>49</v>
      </c>
      <c r="U297" s="38" t="s">
        <v>53</v>
      </c>
      <c r="V297" s="38" t="s">
        <v>2152</v>
      </c>
      <c r="W297" s="38" t="s">
        <v>54</v>
      </c>
    </row>
    <row r="298">
      <c r="A298" s="38" t="s">
        <v>1519</v>
      </c>
      <c r="B298" s="38" t="s">
        <v>1522</v>
      </c>
      <c r="C298" s="38" t="s">
        <v>57</v>
      </c>
      <c r="D298" s="38" t="s">
        <v>185</v>
      </c>
      <c r="E298" s="38" t="s">
        <v>3128</v>
      </c>
      <c r="F298" s="38" t="s">
        <v>3129</v>
      </c>
      <c r="G298" s="38" t="s">
        <v>3130</v>
      </c>
      <c r="H298" s="37">
        <v>1.872</v>
      </c>
      <c r="I298" s="38" t="s">
        <v>117</v>
      </c>
      <c r="J298" s="38" t="s">
        <v>56</v>
      </c>
      <c r="K298" s="37">
        <v>1.9481869E9</v>
      </c>
      <c r="L298" s="38" t="s">
        <v>52</v>
      </c>
      <c r="M298" s="38" t="s">
        <v>1771</v>
      </c>
      <c r="N298" s="38" t="s">
        <v>185</v>
      </c>
      <c r="O298" s="38" t="s">
        <v>4373</v>
      </c>
      <c r="P298" s="37">
        <v>1.75</v>
      </c>
      <c r="Q298" s="38" t="s">
        <v>4374</v>
      </c>
      <c r="R298" s="38" t="s">
        <v>226</v>
      </c>
      <c r="S298" s="38" t="s">
        <v>484</v>
      </c>
      <c r="T298" s="38" t="s">
        <v>115</v>
      </c>
      <c r="U298" s="38" t="s">
        <v>53</v>
      </c>
      <c r="V298" s="38" t="s">
        <v>3131</v>
      </c>
      <c r="W298" s="37">
        <v>1.834</v>
      </c>
    </row>
    <row r="299">
      <c r="A299" s="38" t="s">
        <v>1526</v>
      </c>
      <c r="B299" s="38" t="s">
        <v>1529</v>
      </c>
      <c r="C299" s="38" t="s">
        <v>57</v>
      </c>
      <c r="D299" s="38" t="s">
        <v>185</v>
      </c>
      <c r="E299" s="38" t="s">
        <v>3010</v>
      </c>
      <c r="F299" s="38" t="s">
        <v>3011</v>
      </c>
      <c r="G299" s="38" t="s">
        <v>3012</v>
      </c>
      <c r="H299" s="38" t="s">
        <v>54</v>
      </c>
      <c r="I299" s="38" t="s">
        <v>421</v>
      </c>
      <c r="J299" s="38" t="s">
        <v>56</v>
      </c>
      <c r="K299" s="37">
        <v>8.25331E8</v>
      </c>
      <c r="L299" s="38" t="s">
        <v>52</v>
      </c>
      <c r="M299" s="38" t="s">
        <v>1771</v>
      </c>
      <c r="N299" s="38" t="s">
        <v>185</v>
      </c>
      <c r="O299" s="38" t="s">
        <v>4375</v>
      </c>
      <c r="P299" s="37">
        <v>2.125</v>
      </c>
      <c r="Q299" s="38" t="s">
        <v>4376</v>
      </c>
      <c r="R299" s="38" t="s">
        <v>174</v>
      </c>
      <c r="S299" s="38" t="s">
        <v>620</v>
      </c>
      <c r="T299" s="38" t="s">
        <v>115</v>
      </c>
      <c r="U299" s="38" t="s">
        <v>53</v>
      </c>
      <c r="V299" s="38" t="s">
        <v>3013</v>
      </c>
      <c r="W299" s="37">
        <v>2.027</v>
      </c>
    </row>
    <row r="300">
      <c r="A300" s="38" t="s">
        <v>477</v>
      </c>
      <c r="B300" s="38" t="s">
        <v>480</v>
      </c>
      <c r="C300" s="38" t="s">
        <v>392</v>
      </c>
      <c r="D300" s="38" t="s">
        <v>45</v>
      </c>
      <c r="E300" s="38" t="s">
        <v>2153</v>
      </c>
      <c r="F300" s="38" t="s">
        <v>2154</v>
      </c>
      <c r="G300" s="38" t="s">
        <v>2155</v>
      </c>
      <c r="H300" s="38" t="s">
        <v>54</v>
      </c>
      <c r="I300" s="38" t="s">
        <v>55</v>
      </c>
      <c r="J300" s="38" t="s">
        <v>70</v>
      </c>
      <c r="K300" s="37">
        <v>6344650.0</v>
      </c>
      <c r="L300" s="38" t="s">
        <v>2012</v>
      </c>
      <c r="M300" s="38" t="s">
        <v>2130</v>
      </c>
      <c r="N300" s="38" t="s">
        <v>45</v>
      </c>
      <c r="O300" s="38" t="s">
        <v>4377</v>
      </c>
      <c r="P300" s="37">
        <v>0.78</v>
      </c>
      <c r="Q300" s="38" t="s">
        <v>4378</v>
      </c>
      <c r="R300" s="38" t="s">
        <v>226</v>
      </c>
      <c r="S300" s="38" t="s">
        <v>190</v>
      </c>
      <c r="T300" s="38" t="s">
        <v>49</v>
      </c>
      <c r="U300" s="38" t="s">
        <v>53</v>
      </c>
      <c r="V300" s="38" t="s">
        <v>2156</v>
      </c>
      <c r="W300" s="38" t="s">
        <v>54</v>
      </c>
    </row>
    <row r="301">
      <c r="A301" s="38" t="s">
        <v>1360</v>
      </c>
      <c r="B301" s="38" t="s">
        <v>1363</v>
      </c>
      <c r="C301" s="38" t="s">
        <v>57</v>
      </c>
      <c r="D301" s="38" t="s">
        <v>200</v>
      </c>
      <c r="E301" s="38" t="s">
        <v>3250</v>
      </c>
      <c r="F301" s="38" t="s">
        <v>3251</v>
      </c>
      <c r="G301" s="38" t="s">
        <v>3252</v>
      </c>
      <c r="H301" s="37">
        <v>1.591</v>
      </c>
      <c r="I301" s="38" t="s">
        <v>117</v>
      </c>
      <c r="J301" s="38" t="s">
        <v>56</v>
      </c>
      <c r="K301" s="37">
        <v>9.497925E8</v>
      </c>
      <c r="L301" s="38" t="s">
        <v>52</v>
      </c>
      <c r="M301" s="38" t="s">
        <v>1771</v>
      </c>
      <c r="N301" s="38" t="s">
        <v>200</v>
      </c>
      <c r="O301" s="38" t="s">
        <v>4379</v>
      </c>
      <c r="P301" s="37">
        <v>1.5</v>
      </c>
      <c r="Q301" s="38" t="s">
        <v>4380</v>
      </c>
      <c r="R301" s="38" t="s">
        <v>226</v>
      </c>
      <c r="S301" s="38" t="s">
        <v>175</v>
      </c>
      <c r="T301" s="38" t="s">
        <v>49</v>
      </c>
      <c r="U301" s="38" t="s">
        <v>53</v>
      </c>
      <c r="V301" s="38" t="s">
        <v>3253</v>
      </c>
      <c r="W301" s="37">
        <v>1.572</v>
      </c>
    </row>
    <row r="302">
      <c r="A302" s="38" t="s">
        <v>1640</v>
      </c>
      <c r="B302" s="38" t="s">
        <v>1643</v>
      </c>
      <c r="C302" s="38" t="s">
        <v>57</v>
      </c>
      <c r="D302" s="38" t="s">
        <v>171</v>
      </c>
      <c r="E302" s="38" t="s">
        <v>2985</v>
      </c>
      <c r="F302" s="38" t="s">
        <v>2986</v>
      </c>
      <c r="G302" s="38" t="s">
        <v>2987</v>
      </c>
      <c r="H302" s="37">
        <v>1.653</v>
      </c>
      <c r="I302" s="38" t="s">
        <v>55</v>
      </c>
      <c r="J302" s="38" t="s">
        <v>56</v>
      </c>
      <c r="K302" s="37">
        <v>7.45968E8</v>
      </c>
      <c r="L302" s="38" t="s">
        <v>52</v>
      </c>
      <c r="M302" s="38" t="s">
        <v>1771</v>
      </c>
      <c r="N302" s="38" t="s">
        <v>170</v>
      </c>
      <c r="O302" s="38" t="s">
        <v>4381</v>
      </c>
      <c r="P302" s="37">
        <v>1.625</v>
      </c>
      <c r="Q302" s="38" t="s">
        <v>4382</v>
      </c>
      <c r="R302" s="38" t="s">
        <v>174</v>
      </c>
      <c r="S302" s="38" t="s">
        <v>1646</v>
      </c>
      <c r="T302" s="38" t="s">
        <v>49</v>
      </c>
      <c r="U302" s="38" t="s">
        <v>53</v>
      </c>
      <c r="V302" s="38" t="s">
        <v>2988</v>
      </c>
      <c r="W302" s="37">
        <v>1.471</v>
      </c>
    </row>
    <row r="303">
      <c r="A303" s="38" t="s">
        <v>477</v>
      </c>
      <c r="B303" s="38" t="s">
        <v>480</v>
      </c>
      <c r="C303" s="38" t="s">
        <v>57</v>
      </c>
      <c r="D303" s="38" t="s">
        <v>45</v>
      </c>
      <c r="E303" s="38" t="s">
        <v>2157</v>
      </c>
      <c r="F303" s="38" t="s">
        <v>2158</v>
      </c>
      <c r="G303" s="38" t="s">
        <v>2159</v>
      </c>
      <c r="H303" s="38" t="s">
        <v>54</v>
      </c>
      <c r="I303" s="38" t="s">
        <v>55</v>
      </c>
      <c r="J303" s="38" t="s">
        <v>56</v>
      </c>
      <c r="K303" s="37">
        <v>1.25316E7</v>
      </c>
      <c r="L303" s="38" t="s">
        <v>2012</v>
      </c>
      <c r="M303" s="38" t="s">
        <v>2130</v>
      </c>
      <c r="N303" s="38" t="s">
        <v>45</v>
      </c>
      <c r="O303" s="38" t="s">
        <v>4383</v>
      </c>
      <c r="P303" s="37">
        <v>1.3</v>
      </c>
      <c r="Q303" s="38" t="s">
        <v>4384</v>
      </c>
      <c r="R303" s="38" t="s">
        <v>226</v>
      </c>
      <c r="S303" s="38" t="s">
        <v>190</v>
      </c>
      <c r="T303" s="38" t="s">
        <v>49</v>
      </c>
      <c r="U303" s="38" t="s">
        <v>53</v>
      </c>
      <c r="V303" s="38" t="s">
        <v>2160</v>
      </c>
      <c r="W303" s="38" t="s">
        <v>54</v>
      </c>
    </row>
    <row r="304">
      <c r="A304" s="38" t="s">
        <v>567</v>
      </c>
      <c r="B304" s="38" t="s">
        <v>570</v>
      </c>
      <c r="C304" s="38" t="s">
        <v>57</v>
      </c>
      <c r="D304" s="38" t="s">
        <v>185</v>
      </c>
      <c r="E304" s="38" t="s">
        <v>2691</v>
      </c>
      <c r="F304" s="38" t="s">
        <v>2692</v>
      </c>
      <c r="G304" s="38" t="s">
        <v>2693</v>
      </c>
      <c r="H304" s="37">
        <v>2.1270000000000002</v>
      </c>
      <c r="I304" s="38" t="s">
        <v>55</v>
      </c>
      <c r="J304" s="38" t="s">
        <v>56</v>
      </c>
      <c r="K304" s="37">
        <v>6.214E8</v>
      </c>
      <c r="L304" s="38" t="s">
        <v>52</v>
      </c>
      <c r="M304" s="38" t="s">
        <v>1771</v>
      </c>
      <c r="N304" s="38" t="s">
        <v>185</v>
      </c>
      <c r="O304" s="38" t="s">
        <v>4385</v>
      </c>
      <c r="P304" s="37">
        <v>2.0</v>
      </c>
      <c r="Q304" s="38" t="s">
        <v>4386</v>
      </c>
      <c r="R304" s="38" t="s">
        <v>226</v>
      </c>
      <c r="S304" s="38" t="s">
        <v>497</v>
      </c>
      <c r="T304" s="38" t="s">
        <v>115</v>
      </c>
      <c r="U304" s="38" t="s">
        <v>53</v>
      </c>
      <c r="V304" s="38" t="s">
        <v>2694</v>
      </c>
      <c r="W304" s="37">
        <v>1.855</v>
      </c>
    </row>
    <row r="305">
      <c r="A305" s="38" t="s">
        <v>477</v>
      </c>
      <c r="B305" s="38" t="s">
        <v>480</v>
      </c>
      <c r="C305" s="38" t="s">
        <v>57</v>
      </c>
      <c r="D305" s="38" t="s">
        <v>45</v>
      </c>
      <c r="E305" s="38" t="s">
        <v>2161</v>
      </c>
      <c r="F305" s="38" t="s">
        <v>2162</v>
      </c>
      <c r="G305" s="38" t="s">
        <v>2163</v>
      </c>
      <c r="H305" s="38" t="s">
        <v>54</v>
      </c>
      <c r="I305" s="38" t="s">
        <v>55</v>
      </c>
      <c r="J305" s="38" t="s">
        <v>56</v>
      </c>
      <c r="K305" s="37">
        <v>1.21757E7</v>
      </c>
      <c r="L305" s="38" t="s">
        <v>2012</v>
      </c>
      <c r="M305" s="38" t="s">
        <v>2130</v>
      </c>
      <c r="N305" s="38" t="s">
        <v>45</v>
      </c>
      <c r="O305" s="38" t="s">
        <v>4387</v>
      </c>
      <c r="P305" s="37">
        <v>1.0</v>
      </c>
      <c r="Q305" s="38" t="s">
        <v>4388</v>
      </c>
      <c r="R305" s="38" t="s">
        <v>226</v>
      </c>
      <c r="S305" s="38" t="s">
        <v>190</v>
      </c>
      <c r="T305" s="38" t="s">
        <v>49</v>
      </c>
      <c r="U305" s="38" t="s">
        <v>53</v>
      </c>
      <c r="V305" s="38" t="s">
        <v>2164</v>
      </c>
      <c r="W305" s="38" t="s">
        <v>54</v>
      </c>
    </row>
    <row r="306">
      <c r="A306" s="38" t="s">
        <v>477</v>
      </c>
      <c r="B306" s="38" t="s">
        <v>480</v>
      </c>
      <c r="C306" s="38" t="s">
        <v>392</v>
      </c>
      <c r="D306" s="38" t="s">
        <v>45</v>
      </c>
      <c r="E306" s="38" t="s">
        <v>2165</v>
      </c>
      <c r="F306" s="38" t="s">
        <v>2166</v>
      </c>
      <c r="G306" s="38" t="s">
        <v>2167</v>
      </c>
      <c r="H306" s="38" t="s">
        <v>54</v>
      </c>
      <c r="I306" s="38" t="s">
        <v>55</v>
      </c>
      <c r="J306" s="38" t="s">
        <v>70</v>
      </c>
      <c r="K306" s="37">
        <v>2.4315E7</v>
      </c>
      <c r="L306" s="38" t="s">
        <v>2012</v>
      </c>
      <c r="M306" s="38" t="s">
        <v>2130</v>
      </c>
      <c r="N306" s="38" t="s">
        <v>45</v>
      </c>
      <c r="O306" s="38" t="s">
        <v>4389</v>
      </c>
      <c r="P306" s="37">
        <v>0.4</v>
      </c>
      <c r="Q306" s="38" t="s">
        <v>4390</v>
      </c>
      <c r="R306" s="38" t="s">
        <v>2135</v>
      </c>
      <c r="S306" s="38" t="s">
        <v>190</v>
      </c>
      <c r="T306" s="38" t="s">
        <v>49</v>
      </c>
      <c r="U306" s="38" t="s">
        <v>53</v>
      </c>
      <c r="V306" s="38" t="s">
        <v>2168</v>
      </c>
      <c r="W306" s="38" t="s">
        <v>54</v>
      </c>
    </row>
    <row r="307">
      <c r="A307" s="38" t="s">
        <v>477</v>
      </c>
      <c r="B307" s="38" t="s">
        <v>480</v>
      </c>
      <c r="C307" s="38" t="s">
        <v>392</v>
      </c>
      <c r="D307" s="38" t="s">
        <v>45</v>
      </c>
      <c r="E307" s="38" t="s">
        <v>2169</v>
      </c>
      <c r="F307" s="38" t="s">
        <v>2170</v>
      </c>
      <c r="G307" s="38" t="s">
        <v>2171</v>
      </c>
      <c r="H307" s="38" t="s">
        <v>54</v>
      </c>
      <c r="I307" s="38" t="s">
        <v>55</v>
      </c>
      <c r="J307" s="38" t="s">
        <v>70</v>
      </c>
      <c r="K307" s="37">
        <v>3.64725E7</v>
      </c>
      <c r="L307" s="38" t="s">
        <v>483</v>
      </c>
      <c r="M307" s="38" t="s">
        <v>1771</v>
      </c>
      <c r="N307" s="38" t="s">
        <v>45</v>
      </c>
      <c r="O307" s="38" t="s">
        <v>4389</v>
      </c>
      <c r="P307" s="37">
        <v>0.4</v>
      </c>
      <c r="Q307" s="38" t="s">
        <v>4390</v>
      </c>
      <c r="R307" s="38" t="s">
        <v>2172</v>
      </c>
      <c r="S307" s="38" t="s">
        <v>484</v>
      </c>
      <c r="T307" s="38" t="s">
        <v>49</v>
      </c>
      <c r="U307" s="38" t="s">
        <v>53</v>
      </c>
      <c r="V307" s="38" t="s">
        <v>2173</v>
      </c>
      <c r="W307" s="38" t="s">
        <v>54</v>
      </c>
    </row>
    <row r="308">
      <c r="A308" s="38" t="s">
        <v>477</v>
      </c>
      <c r="B308" s="38" t="s">
        <v>480</v>
      </c>
      <c r="C308" s="38" t="s">
        <v>57</v>
      </c>
      <c r="D308" s="38" t="s">
        <v>45</v>
      </c>
      <c r="E308" s="38" t="s">
        <v>2174</v>
      </c>
      <c r="F308" s="38" t="s">
        <v>2175</v>
      </c>
      <c r="G308" s="38" t="s">
        <v>2176</v>
      </c>
      <c r="H308" s="38" t="s">
        <v>54</v>
      </c>
      <c r="I308" s="38" t="s">
        <v>55</v>
      </c>
      <c r="J308" s="38" t="s">
        <v>56</v>
      </c>
      <c r="K308" s="37">
        <v>8.537325E8</v>
      </c>
      <c r="L308" s="38" t="s">
        <v>2012</v>
      </c>
      <c r="M308" s="38" t="s">
        <v>2130</v>
      </c>
      <c r="N308" s="38" t="s">
        <v>45</v>
      </c>
      <c r="O308" s="38" t="s">
        <v>4391</v>
      </c>
      <c r="P308" s="37">
        <v>1.25</v>
      </c>
      <c r="Q308" s="38" t="s">
        <v>4392</v>
      </c>
      <c r="R308" s="38" t="s">
        <v>226</v>
      </c>
      <c r="S308" s="38" t="s">
        <v>190</v>
      </c>
      <c r="T308" s="38" t="s">
        <v>49</v>
      </c>
      <c r="U308" s="38" t="s">
        <v>53</v>
      </c>
      <c r="V308" s="38" t="s">
        <v>2177</v>
      </c>
      <c r="W308" s="37">
        <v>1.186</v>
      </c>
    </row>
    <row r="309">
      <c r="A309" s="38" t="s">
        <v>642</v>
      </c>
      <c r="B309" s="38" t="s">
        <v>645</v>
      </c>
      <c r="C309" s="38" t="s">
        <v>57</v>
      </c>
      <c r="D309" s="38" t="s">
        <v>200</v>
      </c>
      <c r="E309" s="38" t="s">
        <v>2434</v>
      </c>
      <c r="F309" s="38" t="s">
        <v>2435</v>
      </c>
      <c r="G309" s="38" t="s">
        <v>2436</v>
      </c>
      <c r="H309" s="37">
        <v>1.966</v>
      </c>
      <c r="I309" s="38" t="s">
        <v>55</v>
      </c>
      <c r="J309" s="38" t="s">
        <v>56</v>
      </c>
      <c r="K309" s="37">
        <v>1.66043468178E9</v>
      </c>
      <c r="L309" s="38" t="s">
        <v>52</v>
      </c>
      <c r="M309" s="38" t="s">
        <v>1771</v>
      </c>
      <c r="N309" s="38" t="s">
        <v>367</v>
      </c>
      <c r="O309" s="38" t="s">
        <v>4393</v>
      </c>
      <c r="P309" s="37">
        <v>1.966</v>
      </c>
      <c r="Q309" s="38" t="s">
        <v>4394</v>
      </c>
      <c r="R309" s="38" t="s">
        <v>226</v>
      </c>
      <c r="S309" s="38" t="s">
        <v>620</v>
      </c>
      <c r="T309" s="38" t="s">
        <v>49</v>
      </c>
      <c r="U309" s="38" t="s">
        <v>53</v>
      </c>
      <c r="V309" s="38" t="s">
        <v>2437</v>
      </c>
      <c r="W309" s="37">
        <v>1.468</v>
      </c>
    </row>
    <row r="310">
      <c r="A310" s="38" t="s">
        <v>1487</v>
      </c>
      <c r="B310" s="38" t="s">
        <v>1490</v>
      </c>
      <c r="C310" s="38" t="s">
        <v>57</v>
      </c>
      <c r="D310" s="38" t="s">
        <v>185</v>
      </c>
      <c r="E310" s="38" t="s">
        <v>2276</v>
      </c>
      <c r="F310" s="38" t="s">
        <v>2277</v>
      </c>
      <c r="G310" s="38" t="s">
        <v>2278</v>
      </c>
      <c r="H310" s="37">
        <v>1.305</v>
      </c>
      <c r="I310" s="38" t="s">
        <v>117</v>
      </c>
      <c r="J310" s="38" t="s">
        <v>56</v>
      </c>
      <c r="K310" s="37">
        <v>8.603475E8</v>
      </c>
      <c r="L310" s="38" t="s">
        <v>52</v>
      </c>
      <c r="M310" s="38" t="s">
        <v>1771</v>
      </c>
      <c r="N310" s="38" t="s">
        <v>185</v>
      </c>
      <c r="O310" s="38" t="s">
        <v>4395</v>
      </c>
      <c r="P310" s="37">
        <v>1.25</v>
      </c>
      <c r="Q310" s="38" t="s">
        <v>4396</v>
      </c>
      <c r="R310" s="38" t="s">
        <v>226</v>
      </c>
      <c r="S310" s="38" t="s">
        <v>190</v>
      </c>
      <c r="T310" s="38" t="s">
        <v>115</v>
      </c>
      <c r="U310" s="38" t="s">
        <v>53</v>
      </c>
      <c r="V310" s="38" t="s">
        <v>2279</v>
      </c>
      <c r="W310" s="37">
        <v>1.196</v>
      </c>
    </row>
    <row r="311">
      <c r="A311" s="38" t="s">
        <v>614</v>
      </c>
      <c r="B311" s="38" t="s">
        <v>617</v>
      </c>
      <c r="C311" s="38" t="s">
        <v>57</v>
      </c>
      <c r="D311" s="38" t="s">
        <v>200</v>
      </c>
      <c r="E311" s="38" t="s">
        <v>2513</v>
      </c>
      <c r="F311" s="38" t="s">
        <v>2514</v>
      </c>
      <c r="G311" s="38" t="s">
        <v>2515</v>
      </c>
      <c r="H311" s="37">
        <v>1.573</v>
      </c>
      <c r="I311" s="38" t="s">
        <v>117</v>
      </c>
      <c r="J311" s="38" t="s">
        <v>56</v>
      </c>
      <c r="K311" s="37">
        <v>1.13326E9</v>
      </c>
      <c r="L311" s="38" t="s">
        <v>52</v>
      </c>
      <c r="M311" s="38" t="s">
        <v>1771</v>
      </c>
      <c r="N311" s="38" t="s">
        <v>200</v>
      </c>
      <c r="O311" s="38" t="s">
        <v>4397</v>
      </c>
      <c r="P311" s="37">
        <v>1.5</v>
      </c>
      <c r="Q311" s="38" t="s">
        <v>4398</v>
      </c>
      <c r="R311" s="38" t="s">
        <v>226</v>
      </c>
      <c r="S311" s="38" t="s">
        <v>620</v>
      </c>
      <c r="T311" s="38" t="s">
        <v>49</v>
      </c>
      <c r="U311" s="38" t="s">
        <v>53</v>
      </c>
      <c r="V311" s="38" t="s">
        <v>2516</v>
      </c>
      <c r="W311" s="37">
        <v>1.377</v>
      </c>
    </row>
    <row r="312">
      <c r="A312" s="38" t="s">
        <v>775</v>
      </c>
      <c r="B312" s="38" t="s">
        <v>778</v>
      </c>
      <c r="C312" s="38" t="s">
        <v>57</v>
      </c>
      <c r="D312" s="38" t="s">
        <v>200</v>
      </c>
      <c r="E312" s="38" t="s">
        <v>1786</v>
      </c>
      <c r="F312" s="38" t="s">
        <v>1787</v>
      </c>
      <c r="G312" s="38" t="s">
        <v>1788</v>
      </c>
      <c r="H312" s="38" t="s">
        <v>54</v>
      </c>
      <c r="I312" s="38" t="s">
        <v>55</v>
      </c>
      <c r="J312" s="38" t="s">
        <v>56</v>
      </c>
      <c r="K312" s="37">
        <v>3.40893E8</v>
      </c>
      <c r="L312" s="38" t="s">
        <v>52</v>
      </c>
      <c r="M312" s="38" t="s">
        <v>1771</v>
      </c>
      <c r="N312" s="38" t="s">
        <v>200</v>
      </c>
      <c r="O312" s="38" t="s">
        <v>4399</v>
      </c>
      <c r="P312" s="37">
        <v>1.75</v>
      </c>
      <c r="Q312" s="38" t="s">
        <v>361</v>
      </c>
      <c r="R312" s="38" t="s">
        <v>226</v>
      </c>
      <c r="S312" s="38" t="s">
        <v>175</v>
      </c>
      <c r="T312" s="38" t="s">
        <v>115</v>
      </c>
      <c r="U312" s="38" t="s">
        <v>53</v>
      </c>
      <c r="V312" s="38" t="s">
        <v>1789</v>
      </c>
      <c r="W312" s="37">
        <v>1.63</v>
      </c>
    </row>
    <row r="313">
      <c r="A313" s="38" t="s">
        <v>671</v>
      </c>
      <c r="B313" s="38" t="s">
        <v>674</v>
      </c>
      <c r="C313" s="38" t="s">
        <v>57</v>
      </c>
      <c r="D313" s="38" t="s">
        <v>185</v>
      </c>
      <c r="E313" s="38" t="s">
        <v>2379</v>
      </c>
      <c r="F313" s="38" t="s">
        <v>2380</v>
      </c>
      <c r="G313" s="38" t="s">
        <v>2381</v>
      </c>
      <c r="H313" s="37">
        <v>1.49</v>
      </c>
      <c r="I313" s="38" t="s">
        <v>421</v>
      </c>
      <c r="J313" s="38" t="s">
        <v>56</v>
      </c>
      <c r="K313" s="37">
        <v>5.35955E8</v>
      </c>
      <c r="L313" s="38" t="s">
        <v>52</v>
      </c>
      <c r="M313" s="38" t="s">
        <v>1776</v>
      </c>
      <c r="N313" s="38" t="s">
        <v>185</v>
      </c>
      <c r="O313" s="38" t="s">
        <v>4400</v>
      </c>
      <c r="P313" s="37">
        <v>1.375</v>
      </c>
      <c r="Q313" s="38" t="s">
        <v>4401</v>
      </c>
      <c r="R313" s="38" t="s">
        <v>174</v>
      </c>
      <c r="S313" s="38" t="s">
        <v>190</v>
      </c>
      <c r="T313" s="38" t="s">
        <v>115</v>
      </c>
      <c r="U313" s="38" t="s">
        <v>53</v>
      </c>
      <c r="V313" s="38" t="s">
        <v>2382</v>
      </c>
      <c r="W313" s="37">
        <v>1.334</v>
      </c>
    </row>
    <row r="314">
      <c r="A314" s="38" t="s">
        <v>181</v>
      </c>
      <c r="B314" s="38" t="s">
        <v>184</v>
      </c>
      <c r="C314" s="38" t="s">
        <v>57</v>
      </c>
      <c r="D314" s="38" t="s">
        <v>186</v>
      </c>
      <c r="E314" s="38" t="s">
        <v>3185</v>
      </c>
      <c r="F314" s="38" t="s">
        <v>3186</v>
      </c>
      <c r="G314" s="38" t="s">
        <v>3187</v>
      </c>
      <c r="H314" s="38" t="s">
        <v>54</v>
      </c>
      <c r="I314" s="38" t="s">
        <v>133</v>
      </c>
      <c r="J314" s="38" t="s">
        <v>56</v>
      </c>
      <c r="K314" s="37">
        <v>7.898775E8</v>
      </c>
      <c r="L314" s="38" t="s">
        <v>52</v>
      </c>
      <c r="M314" s="38" t="s">
        <v>1771</v>
      </c>
      <c r="N314" s="38" t="s">
        <v>185</v>
      </c>
      <c r="O314" s="38" t="s">
        <v>4402</v>
      </c>
      <c r="P314" s="37">
        <v>0.875</v>
      </c>
      <c r="Q314" s="38" t="s">
        <v>4403</v>
      </c>
      <c r="R314" s="38" t="s">
        <v>226</v>
      </c>
      <c r="S314" s="38" t="s">
        <v>447</v>
      </c>
      <c r="T314" s="38" t="s">
        <v>115</v>
      </c>
      <c r="U314" s="38" t="s">
        <v>53</v>
      </c>
      <c r="V314" s="38" t="s">
        <v>3188</v>
      </c>
      <c r="W314" s="37">
        <v>0.9</v>
      </c>
    </row>
    <row r="315">
      <c r="A315" s="38" t="s">
        <v>1043</v>
      </c>
      <c r="B315" s="38" t="s">
        <v>1046</v>
      </c>
      <c r="C315" s="38" t="s">
        <v>57</v>
      </c>
      <c r="D315" s="38" t="s">
        <v>1047</v>
      </c>
      <c r="E315" s="38" t="s">
        <v>3343</v>
      </c>
      <c r="F315" s="38" t="s">
        <v>3344</v>
      </c>
      <c r="G315" s="38" t="s">
        <v>3345</v>
      </c>
      <c r="H315" s="38" t="s">
        <v>54</v>
      </c>
      <c r="I315" s="38" t="s">
        <v>55</v>
      </c>
      <c r="J315" s="38" t="s">
        <v>56</v>
      </c>
      <c r="K315" s="37">
        <v>7.50974E8</v>
      </c>
      <c r="L315" s="38" t="s">
        <v>52</v>
      </c>
      <c r="M315" s="38" t="s">
        <v>1771</v>
      </c>
      <c r="N315" s="38" t="s">
        <v>367</v>
      </c>
      <c r="O315" s="38" t="s">
        <v>4404</v>
      </c>
      <c r="P315" s="37">
        <v>1.875</v>
      </c>
      <c r="Q315" s="38" t="s">
        <v>4405</v>
      </c>
      <c r="R315" s="38" t="s">
        <v>174</v>
      </c>
      <c r="S315" s="38" t="s">
        <v>297</v>
      </c>
      <c r="T315" s="38" t="s">
        <v>115</v>
      </c>
      <c r="U315" s="38" t="s">
        <v>53</v>
      </c>
      <c r="V315" s="38" t="s">
        <v>3346</v>
      </c>
      <c r="W315" s="37">
        <v>1.822</v>
      </c>
    </row>
    <row r="316">
      <c r="A316" s="38" t="s">
        <v>1043</v>
      </c>
      <c r="B316" s="38" t="s">
        <v>1046</v>
      </c>
      <c r="C316" s="38" t="s">
        <v>57</v>
      </c>
      <c r="D316" s="38" t="s">
        <v>1047</v>
      </c>
      <c r="E316" s="38" t="s">
        <v>3347</v>
      </c>
      <c r="F316" s="38" t="s">
        <v>3348</v>
      </c>
      <c r="G316" s="38" t="s">
        <v>3349</v>
      </c>
      <c r="H316" s="38" t="s">
        <v>54</v>
      </c>
      <c r="I316" s="38" t="s">
        <v>55</v>
      </c>
      <c r="J316" s="38" t="s">
        <v>56</v>
      </c>
      <c r="K316" s="37">
        <v>1.394666E9</v>
      </c>
      <c r="L316" s="38" t="s">
        <v>52</v>
      </c>
      <c r="M316" s="38" t="s">
        <v>1771</v>
      </c>
      <c r="N316" s="38" t="s">
        <v>367</v>
      </c>
      <c r="O316" s="38" t="s">
        <v>4404</v>
      </c>
      <c r="P316" s="37">
        <v>1.25</v>
      </c>
      <c r="Q316" s="38" t="s">
        <v>4271</v>
      </c>
      <c r="R316" s="38" t="s">
        <v>174</v>
      </c>
      <c r="S316" s="38" t="s">
        <v>297</v>
      </c>
      <c r="T316" s="38" t="s">
        <v>115</v>
      </c>
      <c r="U316" s="38" t="s">
        <v>53</v>
      </c>
      <c r="V316" s="38" t="s">
        <v>3350</v>
      </c>
      <c r="W316" s="37">
        <v>1.179</v>
      </c>
    </row>
    <row r="317">
      <c r="A317" s="38" t="s">
        <v>1560</v>
      </c>
      <c r="B317" s="38" t="s">
        <v>1563</v>
      </c>
      <c r="C317" s="38" t="s">
        <v>57</v>
      </c>
      <c r="D317" s="38" t="s">
        <v>258</v>
      </c>
      <c r="E317" s="38" t="s">
        <v>2768</v>
      </c>
      <c r="F317" s="38" t="s">
        <v>2769</v>
      </c>
      <c r="G317" s="38" t="s">
        <v>2770</v>
      </c>
      <c r="H317" s="37">
        <v>1.7630000000000001</v>
      </c>
      <c r="I317" s="38" t="s">
        <v>55</v>
      </c>
      <c r="J317" s="38" t="s">
        <v>56</v>
      </c>
      <c r="K317" s="37">
        <v>6.72858E8</v>
      </c>
      <c r="L317" s="38" t="s">
        <v>52</v>
      </c>
      <c r="M317" s="38" t="s">
        <v>1776</v>
      </c>
      <c r="N317" s="38" t="s">
        <v>367</v>
      </c>
      <c r="O317" s="38" t="s">
        <v>4406</v>
      </c>
      <c r="P317" s="37">
        <v>1.625</v>
      </c>
      <c r="Q317" s="38" t="s">
        <v>4407</v>
      </c>
      <c r="R317" s="38" t="s">
        <v>174</v>
      </c>
      <c r="S317" s="38" t="s">
        <v>175</v>
      </c>
      <c r="T317" s="38" t="s">
        <v>49</v>
      </c>
      <c r="U317" s="38" t="s">
        <v>53</v>
      </c>
      <c r="V317" s="38" t="s">
        <v>2771</v>
      </c>
      <c r="W317" s="37">
        <v>1.83</v>
      </c>
    </row>
    <row r="318">
      <c r="A318" s="38" t="s">
        <v>219</v>
      </c>
      <c r="B318" s="38" t="s">
        <v>222</v>
      </c>
      <c r="C318" s="38" t="s">
        <v>57</v>
      </c>
      <c r="D318" s="38" t="s">
        <v>223</v>
      </c>
      <c r="E318" s="38" t="s">
        <v>3042</v>
      </c>
      <c r="F318" s="38" t="s">
        <v>3043</v>
      </c>
      <c r="G318" s="38" t="s">
        <v>3044</v>
      </c>
      <c r="H318" s="38" t="s">
        <v>54</v>
      </c>
      <c r="I318" s="38" t="s">
        <v>55</v>
      </c>
      <c r="J318" s="38" t="s">
        <v>56</v>
      </c>
      <c r="K318" s="37">
        <v>2.17636E7</v>
      </c>
      <c r="L318" s="38" t="s">
        <v>52</v>
      </c>
      <c r="M318" s="38" t="s">
        <v>174</v>
      </c>
      <c r="N318" s="38" t="s">
        <v>223</v>
      </c>
      <c r="O318" s="38" t="s">
        <v>4408</v>
      </c>
      <c r="P318" s="37">
        <v>5.0</v>
      </c>
      <c r="Q318" s="38" t="s">
        <v>4409</v>
      </c>
      <c r="R318" s="38" t="s">
        <v>4410</v>
      </c>
      <c r="S318" s="38" t="s">
        <v>54</v>
      </c>
      <c r="T318" s="38" t="s">
        <v>49</v>
      </c>
      <c r="U318" s="38" t="s">
        <v>53</v>
      </c>
      <c r="V318" s="38" t="s">
        <v>3045</v>
      </c>
      <c r="W318" s="38" t="s">
        <v>54</v>
      </c>
    </row>
    <row r="319">
      <c r="A319" s="38" t="s">
        <v>219</v>
      </c>
      <c r="B319" s="38" t="s">
        <v>222</v>
      </c>
      <c r="C319" s="38" t="s">
        <v>57</v>
      </c>
      <c r="D319" s="38" t="s">
        <v>223</v>
      </c>
      <c r="E319" s="38" t="s">
        <v>3046</v>
      </c>
      <c r="F319" s="38" t="s">
        <v>3047</v>
      </c>
      <c r="G319" s="38" t="s">
        <v>3048</v>
      </c>
      <c r="H319" s="38" t="s">
        <v>54</v>
      </c>
      <c r="I319" s="38" t="s">
        <v>55</v>
      </c>
      <c r="J319" s="38" t="s">
        <v>56</v>
      </c>
      <c r="K319" s="37">
        <v>1.08818E7</v>
      </c>
      <c r="L319" s="38" t="s">
        <v>52</v>
      </c>
      <c r="M319" s="38" t="s">
        <v>174</v>
      </c>
      <c r="N319" s="38" t="s">
        <v>223</v>
      </c>
      <c r="O319" s="38" t="s">
        <v>4408</v>
      </c>
      <c r="P319" s="37">
        <v>4.5</v>
      </c>
      <c r="Q319" s="38" t="s">
        <v>4411</v>
      </c>
      <c r="R319" s="38" t="s">
        <v>4412</v>
      </c>
      <c r="S319" s="38" t="s">
        <v>54</v>
      </c>
      <c r="T319" s="38" t="s">
        <v>49</v>
      </c>
      <c r="U319" s="38" t="s">
        <v>53</v>
      </c>
      <c r="V319" s="38" t="s">
        <v>3049</v>
      </c>
      <c r="W319" s="38" t="s">
        <v>54</v>
      </c>
    </row>
    <row r="320">
      <c r="A320" s="38" t="s">
        <v>477</v>
      </c>
      <c r="B320" s="38" t="s">
        <v>480</v>
      </c>
      <c r="C320" s="38" t="s">
        <v>57</v>
      </c>
      <c r="D320" s="38" t="s">
        <v>45</v>
      </c>
      <c r="E320" s="38" t="s">
        <v>2178</v>
      </c>
      <c r="F320" s="38" t="s">
        <v>2179</v>
      </c>
      <c r="G320" s="38" t="s">
        <v>2180</v>
      </c>
      <c r="H320" s="38" t="s">
        <v>54</v>
      </c>
      <c r="I320" s="38" t="s">
        <v>55</v>
      </c>
      <c r="J320" s="38" t="s">
        <v>56</v>
      </c>
      <c r="K320" s="37">
        <v>5.51405E8</v>
      </c>
      <c r="L320" s="38" t="s">
        <v>459</v>
      </c>
      <c r="M320" s="38" t="s">
        <v>1771</v>
      </c>
      <c r="N320" s="38" t="s">
        <v>45</v>
      </c>
      <c r="O320" s="38" t="s">
        <v>4413</v>
      </c>
      <c r="P320" s="37">
        <v>0.25</v>
      </c>
      <c r="Q320" s="38" t="s">
        <v>4414</v>
      </c>
      <c r="R320" s="38" t="s">
        <v>226</v>
      </c>
      <c r="S320" s="38" t="s">
        <v>190</v>
      </c>
      <c r="T320" s="38" t="s">
        <v>49</v>
      </c>
      <c r="U320" s="38" t="s">
        <v>53</v>
      </c>
      <c r="V320" s="38" t="s">
        <v>2181</v>
      </c>
      <c r="W320" s="37">
        <v>0.202</v>
      </c>
    </row>
    <row r="321">
      <c r="A321" s="38" t="s">
        <v>814</v>
      </c>
      <c r="B321" s="38" t="s">
        <v>817</v>
      </c>
      <c r="C321" s="38" t="s">
        <v>57</v>
      </c>
      <c r="D321" s="38" t="s">
        <v>185</v>
      </c>
      <c r="E321" s="38" t="s">
        <v>3449</v>
      </c>
      <c r="F321" s="38" t="s">
        <v>3450</v>
      </c>
      <c r="G321" s="38" t="s">
        <v>3451</v>
      </c>
      <c r="H321" s="38" t="s">
        <v>54</v>
      </c>
      <c r="I321" s="38" t="s">
        <v>133</v>
      </c>
      <c r="J321" s="38" t="s">
        <v>56</v>
      </c>
      <c r="K321" s="37">
        <v>6.76494E8</v>
      </c>
      <c r="L321" s="38" t="s">
        <v>52</v>
      </c>
      <c r="M321" s="38" t="s">
        <v>2895</v>
      </c>
      <c r="N321" s="38" t="s">
        <v>185</v>
      </c>
      <c r="O321" s="38" t="s">
        <v>4415</v>
      </c>
      <c r="P321" s="37">
        <v>1.625</v>
      </c>
      <c r="Q321" s="38" t="s">
        <v>4416</v>
      </c>
      <c r="R321" s="38" t="s">
        <v>226</v>
      </c>
      <c r="S321" s="38" t="s">
        <v>264</v>
      </c>
      <c r="T321" s="38" t="s">
        <v>115</v>
      </c>
      <c r="U321" s="38" t="s">
        <v>53</v>
      </c>
      <c r="V321" s="38" t="s">
        <v>3452</v>
      </c>
      <c r="W321" s="37">
        <v>1.513</v>
      </c>
    </row>
    <row r="322">
      <c r="A322" s="38" t="s">
        <v>567</v>
      </c>
      <c r="B322" s="38" t="s">
        <v>570</v>
      </c>
      <c r="C322" s="38" t="s">
        <v>57</v>
      </c>
      <c r="D322" s="38" t="s">
        <v>185</v>
      </c>
      <c r="E322" s="38" t="s">
        <v>2695</v>
      </c>
      <c r="F322" s="38" t="s">
        <v>2696</v>
      </c>
      <c r="G322" s="38" t="s">
        <v>2697</v>
      </c>
      <c r="H322" s="38" t="s">
        <v>54</v>
      </c>
      <c r="I322" s="38" t="s">
        <v>55</v>
      </c>
      <c r="J322" s="38" t="s">
        <v>56</v>
      </c>
      <c r="K322" s="37">
        <v>3.41754E8</v>
      </c>
      <c r="L322" s="38" t="s">
        <v>52</v>
      </c>
      <c r="M322" s="38" t="s">
        <v>174</v>
      </c>
      <c r="N322" s="38" t="s">
        <v>185</v>
      </c>
      <c r="O322" s="38" t="s">
        <v>4417</v>
      </c>
      <c r="P322" s="37">
        <v>1.875</v>
      </c>
      <c r="Q322" s="38" t="s">
        <v>384</v>
      </c>
      <c r="R322" s="38" t="s">
        <v>226</v>
      </c>
      <c r="S322" s="38" t="s">
        <v>497</v>
      </c>
      <c r="T322" s="38" t="s">
        <v>115</v>
      </c>
      <c r="U322" s="38" t="s">
        <v>53</v>
      </c>
      <c r="V322" s="38" t="s">
        <v>2698</v>
      </c>
      <c r="W322" s="37">
        <v>1.707</v>
      </c>
    </row>
    <row r="323">
      <c r="A323" s="38" t="s">
        <v>1519</v>
      </c>
      <c r="B323" s="38" t="s">
        <v>1522</v>
      </c>
      <c r="C323" s="38" t="s">
        <v>57</v>
      </c>
      <c r="D323" s="38" t="s">
        <v>185</v>
      </c>
      <c r="E323" s="38" t="s">
        <v>3132</v>
      </c>
      <c r="F323" s="38" t="s">
        <v>3133</v>
      </c>
      <c r="G323" s="38" t="s">
        <v>3134</v>
      </c>
      <c r="H323" s="38" t="s">
        <v>54</v>
      </c>
      <c r="I323" s="38" t="s">
        <v>117</v>
      </c>
      <c r="J323" s="38" t="s">
        <v>56</v>
      </c>
      <c r="K323" s="37">
        <v>6.83772E8</v>
      </c>
      <c r="L323" s="38" t="s">
        <v>52</v>
      </c>
      <c r="M323" s="38" t="s">
        <v>1771</v>
      </c>
      <c r="N323" s="38" t="s">
        <v>185</v>
      </c>
      <c r="O323" s="38" t="s">
        <v>4418</v>
      </c>
      <c r="P323" s="37">
        <v>0.625</v>
      </c>
      <c r="Q323" s="38" t="s">
        <v>4419</v>
      </c>
      <c r="R323" s="38" t="s">
        <v>226</v>
      </c>
      <c r="S323" s="38" t="s">
        <v>484</v>
      </c>
      <c r="T323" s="38" t="s">
        <v>115</v>
      </c>
      <c r="U323" s="38" t="s">
        <v>53</v>
      </c>
      <c r="V323" s="38" t="s">
        <v>3135</v>
      </c>
      <c r="W323" s="37">
        <v>0.555</v>
      </c>
    </row>
    <row r="324">
      <c r="A324" s="38" t="s">
        <v>1519</v>
      </c>
      <c r="B324" s="38" t="s">
        <v>1522</v>
      </c>
      <c r="C324" s="38" t="s">
        <v>57</v>
      </c>
      <c r="D324" s="38" t="s">
        <v>185</v>
      </c>
      <c r="E324" s="38" t="s">
        <v>3136</v>
      </c>
      <c r="F324" s="38" t="s">
        <v>3137</v>
      </c>
      <c r="G324" s="38" t="s">
        <v>3138</v>
      </c>
      <c r="H324" s="38" t="s">
        <v>54</v>
      </c>
      <c r="I324" s="38" t="s">
        <v>117</v>
      </c>
      <c r="J324" s="38" t="s">
        <v>56</v>
      </c>
      <c r="K324" s="37">
        <v>7.97734E8</v>
      </c>
      <c r="L324" s="38" t="s">
        <v>52</v>
      </c>
      <c r="M324" s="38" t="s">
        <v>1771</v>
      </c>
      <c r="N324" s="38" t="s">
        <v>185</v>
      </c>
      <c r="O324" s="38" t="s">
        <v>4418</v>
      </c>
      <c r="P324" s="37">
        <v>1.125</v>
      </c>
      <c r="Q324" s="38" t="s">
        <v>4420</v>
      </c>
      <c r="R324" s="38" t="s">
        <v>226</v>
      </c>
      <c r="S324" s="38" t="s">
        <v>484</v>
      </c>
      <c r="T324" s="38" t="s">
        <v>115</v>
      </c>
      <c r="U324" s="38" t="s">
        <v>53</v>
      </c>
      <c r="V324" s="38" t="s">
        <v>3139</v>
      </c>
      <c r="W324" s="37">
        <v>1.004</v>
      </c>
    </row>
    <row r="325">
      <c r="A325" s="38" t="s">
        <v>1487</v>
      </c>
      <c r="B325" s="38" t="s">
        <v>1490</v>
      </c>
      <c r="C325" s="38" t="s">
        <v>57</v>
      </c>
      <c r="D325" s="38" t="s">
        <v>185</v>
      </c>
      <c r="E325" s="38" t="s">
        <v>2280</v>
      </c>
      <c r="F325" s="38" t="s">
        <v>2281</v>
      </c>
      <c r="G325" s="38" t="s">
        <v>2282</v>
      </c>
      <c r="H325" s="38" t="s">
        <v>54</v>
      </c>
      <c r="I325" s="38" t="s">
        <v>117</v>
      </c>
      <c r="J325" s="38" t="s">
        <v>56</v>
      </c>
      <c r="K325" s="37">
        <v>8.471325E8</v>
      </c>
      <c r="L325" s="38" t="s">
        <v>52</v>
      </c>
      <c r="M325" s="38" t="s">
        <v>1771</v>
      </c>
      <c r="N325" s="38" t="s">
        <v>185</v>
      </c>
      <c r="O325" s="38" t="s">
        <v>4421</v>
      </c>
      <c r="P325" s="37">
        <v>0.75</v>
      </c>
      <c r="Q325" s="38" t="s">
        <v>4422</v>
      </c>
      <c r="R325" s="38" t="s">
        <v>226</v>
      </c>
      <c r="S325" s="38" t="s">
        <v>190</v>
      </c>
      <c r="T325" s="38" t="s">
        <v>115</v>
      </c>
      <c r="U325" s="38" t="s">
        <v>53</v>
      </c>
      <c r="V325" s="38" t="s">
        <v>2283</v>
      </c>
      <c r="W325" s="37">
        <v>0.911</v>
      </c>
    </row>
    <row r="326">
      <c r="A326" s="38" t="s">
        <v>477</v>
      </c>
      <c r="B326" s="38" t="s">
        <v>480</v>
      </c>
      <c r="C326" s="38" t="s">
        <v>57</v>
      </c>
      <c r="D326" s="38" t="s">
        <v>45</v>
      </c>
      <c r="E326" s="38" t="s">
        <v>2182</v>
      </c>
      <c r="F326" s="38" t="s">
        <v>2183</v>
      </c>
      <c r="G326" s="38" t="s">
        <v>2184</v>
      </c>
      <c r="H326" s="38" t="s">
        <v>54</v>
      </c>
      <c r="I326" s="38" t="s">
        <v>55</v>
      </c>
      <c r="J326" s="38" t="s">
        <v>56</v>
      </c>
      <c r="K326" s="37">
        <v>5.76335E8</v>
      </c>
      <c r="L326" s="38" t="s">
        <v>459</v>
      </c>
      <c r="M326" s="38" t="s">
        <v>1771</v>
      </c>
      <c r="N326" s="38" t="s">
        <v>45</v>
      </c>
      <c r="O326" s="38" t="s">
        <v>4423</v>
      </c>
      <c r="P326" s="37">
        <v>0.375</v>
      </c>
      <c r="Q326" s="38" t="s">
        <v>4424</v>
      </c>
      <c r="R326" s="38" t="s">
        <v>4425</v>
      </c>
      <c r="S326" s="38" t="s">
        <v>190</v>
      </c>
      <c r="T326" s="38" t="s">
        <v>49</v>
      </c>
      <c r="U326" s="38" t="s">
        <v>53</v>
      </c>
      <c r="V326" s="38" t="s">
        <v>2185</v>
      </c>
      <c r="W326" s="37">
        <v>0.319</v>
      </c>
    </row>
    <row r="327">
      <c r="A327" s="38" t="s">
        <v>917</v>
      </c>
      <c r="B327" s="38" t="s">
        <v>920</v>
      </c>
      <c r="C327" s="38" t="s">
        <v>57</v>
      </c>
      <c r="D327" s="38" t="s">
        <v>185</v>
      </c>
      <c r="E327" s="38" t="s">
        <v>2926</v>
      </c>
      <c r="F327" s="38" t="s">
        <v>2927</v>
      </c>
      <c r="G327" s="38" t="s">
        <v>2928</v>
      </c>
      <c r="H327" s="37">
        <v>1.9540000000000002</v>
      </c>
      <c r="I327" s="38" t="s">
        <v>421</v>
      </c>
      <c r="J327" s="38" t="s">
        <v>56</v>
      </c>
      <c r="K327" s="37">
        <v>3.27789E8</v>
      </c>
      <c r="L327" s="38" t="s">
        <v>52</v>
      </c>
      <c r="M327" s="38" t="s">
        <v>1840</v>
      </c>
      <c r="N327" s="38" t="s">
        <v>185</v>
      </c>
      <c r="O327" s="38" t="s">
        <v>4426</v>
      </c>
      <c r="P327" s="37">
        <v>1.875</v>
      </c>
      <c r="Q327" s="38" t="s">
        <v>4427</v>
      </c>
      <c r="R327" s="38" t="s">
        <v>174</v>
      </c>
      <c r="S327" s="38" t="s">
        <v>190</v>
      </c>
      <c r="T327" s="38" t="s">
        <v>115</v>
      </c>
      <c r="U327" s="38" t="s">
        <v>53</v>
      </c>
      <c r="V327" s="38" t="s">
        <v>2929</v>
      </c>
      <c r="W327" s="37">
        <v>2.02</v>
      </c>
    </row>
    <row r="328">
      <c r="A328" s="38" t="s">
        <v>947</v>
      </c>
      <c r="B328" s="38" t="s">
        <v>950</v>
      </c>
      <c r="C328" s="38" t="s">
        <v>57</v>
      </c>
      <c r="D328" s="38" t="s">
        <v>367</v>
      </c>
      <c r="E328" s="38" t="s">
        <v>2961</v>
      </c>
      <c r="F328" s="38" t="s">
        <v>2962</v>
      </c>
      <c r="G328" s="38" t="s">
        <v>2963</v>
      </c>
      <c r="H328" s="38" t="s">
        <v>54</v>
      </c>
      <c r="I328" s="38" t="s">
        <v>55</v>
      </c>
      <c r="J328" s="38" t="s">
        <v>56</v>
      </c>
      <c r="K328" s="37">
        <v>7.43106E8</v>
      </c>
      <c r="L328" s="38" t="s">
        <v>52</v>
      </c>
      <c r="M328" s="38" t="s">
        <v>174</v>
      </c>
      <c r="N328" s="38" t="s">
        <v>367</v>
      </c>
      <c r="O328" s="38" t="s">
        <v>4428</v>
      </c>
      <c r="P328" s="37">
        <v>1.0</v>
      </c>
      <c r="Q328" s="38" t="s">
        <v>4429</v>
      </c>
      <c r="R328" s="38" t="s">
        <v>226</v>
      </c>
      <c r="S328" s="38" t="s">
        <v>1646</v>
      </c>
      <c r="T328" s="38" t="s">
        <v>115</v>
      </c>
      <c r="U328" s="38" t="s">
        <v>53</v>
      </c>
      <c r="V328" s="38" t="s">
        <v>2964</v>
      </c>
      <c r="W328" s="37">
        <v>0.918</v>
      </c>
    </row>
    <row r="329">
      <c r="A329" s="38" t="s">
        <v>1526</v>
      </c>
      <c r="B329" s="38" t="s">
        <v>1529</v>
      </c>
      <c r="C329" s="38" t="s">
        <v>57</v>
      </c>
      <c r="D329" s="38" t="s">
        <v>185</v>
      </c>
      <c r="E329" s="38" t="s">
        <v>3014</v>
      </c>
      <c r="F329" s="38" t="s">
        <v>3015</v>
      </c>
      <c r="G329" s="38" t="s">
        <v>3016</v>
      </c>
      <c r="H329" s="38" t="s">
        <v>54</v>
      </c>
      <c r="I329" s="38" t="s">
        <v>421</v>
      </c>
      <c r="J329" s="38" t="s">
        <v>56</v>
      </c>
      <c r="K329" s="37">
        <v>6.79902E8</v>
      </c>
      <c r="L329" s="38" t="s">
        <v>52</v>
      </c>
      <c r="M329" s="38" t="s">
        <v>1771</v>
      </c>
      <c r="N329" s="38" t="s">
        <v>185</v>
      </c>
      <c r="O329" s="38" t="s">
        <v>4430</v>
      </c>
      <c r="P329" s="37">
        <v>1.5</v>
      </c>
      <c r="Q329" s="38" t="s">
        <v>4219</v>
      </c>
      <c r="R329" s="38" t="s">
        <v>174</v>
      </c>
      <c r="S329" s="38" t="s">
        <v>620</v>
      </c>
      <c r="T329" s="38" t="s">
        <v>115</v>
      </c>
      <c r="U329" s="38" t="s">
        <v>53</v>
      </c>
      <c r="V329" s="38" t="s">
        <v>3017</v>
      </c>
      <c r="W329" s="37">
        <v>1.492</v>
      </c>
    </row>
    <row r="330">
      <c r="A330" s="38" t="s">
        <v>614</v>
      </c>
      <c r="B330" s="38" t="s">
        <v>617</v>
      </c>
      <c r="C330" s="38" t="s">
        <v>57</v>
      </c>
      <c r="D330" s="38" t="s">
        <v>200</v>
      </c>
      <c r="E330" s="38" t="s">
        <v>2517</v>
      </c>
      <c r="F330" s="38" t="s">
        <v>2518</v>
      </c>
      <c r="G330" s="38" t="s">
        <v>2519</v>
      </c>
      <c r="H330" s="38" t="s">
        <v>54</v>
      </c>
      <c r="I330" s="38" t="s">
        <v>117</v>
      </c>
      <c r="J330" s="38" t="s">
        <v>56</v>
      </c>
      <c r="K330" s="37">
        <v>7.93219E8</v>
      </c>
      <c r="L330" s="38" t="s">
        <v>52</v>
      </c>
      <c r="M330" s="38" t="s">
        <v>1771</v>
      </c>
      <c r="N330" s="38" t="s">
        <v>200</v>
      </c>
      <c r="O330" s="38" t="s">
        <v>4430</v>
      </c>
      <c r="P330" s="37">
        <v>0.75</v>
      </c>
      <c r="Q330" s="38" t="s">
        <v>4431</v>
      </c>
      <c r="R330" s="38" t="s">
        <v>226</v>
      </c>
      <c r="S330" s="38" t="s">
        <v>620</v>
      </c>
      <c r="T330" s="38" t="s">
        <v>49</v>
      </c>
      <c r="U330" s="38" t="s">
        <v>53</v>
      </c>
      <c r="V330" s="38" t="s">
        <v>2520</v>
      </c>
      <c r="W330" s="37">
        <v>0.739</v>
      </c>
    </row>
    <row r="331">
      <c r="A331" s="38" t="s">
        <v>614</v>
      </c>
      <c r="B331" s="38" t="s">
        <v>617</v>
      </c>
      <c r="C331" s="38" t="s">
        <v>57</v>
      </c>
      <c r="D331" s="38" t="s">
        <v>200</v>
      </c>
      <c r="E331" s="38" t="s">
        <v>2521</v>
      </c>
      <c r="F331" s="38" t="s">
        <v>2522</v>
      </c>
      <c r="G331" s="38" t="s">
        <v>2523</v>
      </c>
      <c r="H331" s="37">
        <v>1.7429999999999999</v>
      </c>
      <c r="I331" s="38" t="s">
        <v>117</v>
      </c>
      <c r="J331" s="38" t="s">
        <v>56</v>
      </c>
      <c r="K331" s="37">
        <v>9.06536E8</v>
      </c>
      <c r="L331" s="38" t="s">
        <v>52</v>
      </c>
      <c r="M331" s="38" t="s">
        <v>1771</v>
      </c>
      <c r="N331" s="38" t="s">
        <v>200</v>
      </c>
      <c r="O331" s="38" t="s">
        <v>4430</v>
      </c>
      <c r="P331" s="37">
        <v>1.625</v>
      </c>
      <c r="Q331" s="38" t="s">
        <v>4432</v>
      </c>
      <c r="R331" s="38" t="s">
        <v>226</v>
      </c>
      <c r="S331" s="38" t="s">
        <v>620</v>
      </c>
      <c r="T331" s="38" t="s">
        <v>49</v>
      </c>
      <c r="U331" s="38" t="s">
        <v>53</v>
      </c>
      <c r="V331" s="38" t="s">
        <v>2524</v>
      </c>
      <c r="W331" s="37">
        <v>1.708</v>
      </c>
    </row>
    <row r="332">
      <c r="A332" s="38" t="s">
        <v>642</v>
      </c>
      <c r="B332" s="38" t="s">
        <v>645</v>
      </c>
      <c r="C332" s="38" t="s">
        <v>57</v>
      </c>
      <c r="D332" s="38" t="s">
        <v>200</v>
      </c>
      <c r="E332" s="38" t="s">
        <v>2438</v>
      </c>
      <c r="F332" s="38" t="s">
        <v>2439</v>
      </c>
      <c r="G332" s="38" t="s">
        <v>2440</v>
      </c>
      <c r="H332" s="38" t="s">
        <v>54</v>
      </c>
      <c r="I332" s="38" t="s">
        <v>55</v>
      </c>
      <c r="J332" s="38" t="s">
        <v>56</v>
      </c>
      <c r="K332" s="37">
        <v>1.40498187232E9</v>
      </c>
      <c r="L332" s="38" t="s">
        <v>52</v>
      </c>
      <c r="M332" s="38" t="s">
        <v>1771</v>
      </c>
      <c r="N332" s="38" t="s">
        <v>367</v>
      </c>
      <c r="O332" s="38" t="s">
        <v>4433</v>
      </c>
      <c r="P332" s="37">
        <v>1.375</v>
      </c>
      <c r="Q332" s="38" t="s">
        <v>4434</v>
      </c>
      <c r="R332" s="38" t="s">
        <v>174</v>
      </c>
      <c r="S332" s="38" t="s">
        <v>620</v>
      </c>
      <c r="T332" s="38" t="s">
        <v>49</v>
      </c>
      <c r="U332" s="38" t="s">
        <v>53</v>
      </c>
      <c r="V332" s="38" t="s">
        <v>2441</v>
      </c>
      <c r="W332" s="37">
        <v>1.295</v>
      </c>
    </row>
    <row r="333">
      <c r="A333" s="38" t="s">
        <v>1560</v>
      </c>
      <c r="B333" s="38" t="s">
        <v>1563</v>
      </c>
      <c r="C333" s="38" t="s">
        <v>57</v>
      </c>
      <c r="D333" s="38" t="s">
        <v>258</v>
      </c>
      <c r="E333" s="38" t="s">
        <v>2772</v>
      </c>
      <c r="F333" s="38" t="s">
        <v>2773</v>
      </c>
      <c r="G333" s="38" t="s">
        <v>2774</v>
      </c>
      <c r="H333" s="38" t="s">
        <v>54</v>
      </c>
      <c r="I333" s="38" t="s">
        <v>55</v>
      </c>
      <c r="J333" s="38" t="s">
        <v>56</v>
      </c>
      <c r="K333" s="37">
        <v>1.00431E9</v>
      </c>
      <c r="L333" s="38" t="s">
        <v>52</v>
      </c>
      <c r="M333" s="38" t="s">
        <v>1776</v>
      </c>
      <c r="N333" s="38" t="s">
        <v>367</v>
      </c>
      <c r="O333" s="38" t="s">
        <v>4435</v>
      </c>
      <c r="P333" s="37">
        <v>1.75</v>
      </c>
      <c r="Q333" s="38" t="s">
        <v>4436</v>
      </c>
      <c r="R333" s="38" t="s">
        <v>174</v>
      </c>
      <c r="S333" s="38" t="s">
        <v>175</v>
      </c>
      <c r="T333" s="38" t="s">
        <v>49</v>
      </c>
      <c r="U333" s="38" t="s">
        <v>53</v>
      </c>
      <c r="V333" s="38" t="s">
        <v>2775</v>
      </c>
      <c r="W333" s="37">
        <v>1.588</v>
      </c>
    </row>
    <row r="334">
      <c r="A334" s="38" t="s">
        <v>166</v>
      </c>
      <c r="B334" s="38" t="s">
        <v>169</v>
      </c>
      <c r="C334" s="38" t="s">
        <v>57</v>
      </c>
      <c r="D334" s="38" t="s">
        <v>171</v>
      </c>
      <c r="E334" s="38" t="s">
        <v>2671</v>
      </c>
      <c r="F334" s="38" t="s">
        <v>2672</v>
      </c>
      <c r="G334" s="38" t="s">
        <v>2673</v>
      </c>
      <c r="H334" s="38" t="s">
        <v>54</v>
      </c>
      <c r="I334" s="38" t="s">
        <v>55</v>
      </c>
      <c r="J334" s="38" t="s">
        <v>56</v>
      </c>
      <c r="K334" s="37">
        <v>1.2852055E9</v>
      </c>
      <c r="L334" s="38" t="s">
        <v>52</v>
      </c>
      <c r="M334" s="38" t="s">
        <v>1771</v>
      </c>
      <c r="N334" s="38" t="s">
        <v>170</v>
      </c>
      <c r="O334" s="38" t="s">
        <v>4437</v>
      </c>
      <c r="P334" s="37">
        <v>1.375</v>
      </c>
      <c r="Q334" s="38" t="s">
        <v>4438</v>
      </c>
      <c r="R334" s="38" t="s">
        <v>226</v>
      </c>
      <c r="S334" s="38" t="s">
        <v>175</v>
      </c>
      <c r="T334" s="38" t="s">
        <v>115</v>
      </c>
      <c r="U334" s="38" t="s">
        <v>53</v>
      </c>
      <c r="V334" s="38" t="s">
        <v>2674</v>
      </c>
      <c r="W334" s="37">
        <v>1.244</v>
      </c>
    </row>
    <row r="335">
      <c r="A335" s="38" t="s">
        <v>166</v>
      </c>
      <c r="B335" s="38" t="s">
        <v>169</v>
      </c>
      <c r="C335" s="38" t="s">
        <v>57</v>
      </c>
      <c r="D335" s="38" t="s">
        <v>171</v>
      </c>
      <c r="E335" s="38" t="s">
        <v>2675</v>
      </c>
      <c r="F335" s="38" t="s">
        <v>2676</v>
      </c>
      <c r="G335" s="38" t="s">
        <v>2677</v>
      </c>
      <c r="H335" s="38" t="s">
        <v>54</v>
      </c>
      <c r="I335" s="38" t="s">
        <v>55</v>
      </c>
      <c r="J335" s="38" t="s">
        <v>56</v>
      </c>
      <c r="K335" s="37">
        <v>1.2852055E9</v>
      </c>
      <c r="L335" s="38" t="s">
        <v>52</v>
      </c>
      <c r="M335" s="38" t="s">
        <v>1771</v>
      </c>
      <c r="N335" s="38" t="s">
        <v>170</v>
      </c>
      <c r="O335" s="38" t="s">
        <v>4437</v>
      </c>
      <c r="P335" s="37">
        <v>2.25</v>
      </c>
      <c r="Q335" s="38" t="s">
        <v>4439</v>
      </c>
      <c r="R335" s="38" t="s">
        <v>226</v>
      </c>
      <c r="S335" s="38" t="s">
        <v>175</v>
      </c>
      <c r="T335" s="38" t="s">
        <v>115</v>
      </c>
      <c r="U335" s="38" t="s">
        <v>53</v>
      </c>
      <c r="V335" s="38" t="s">
        <v>2678</v>
      </c>
      <c r="W335" s="37">
        <v>2.066</v>
      </c>
    </row>
    <row r="336">
      <c r="A336" s="38" t="s">
        <v>1526</v>
      </c>
      <c r="B336" s="38" t="s">
        <v>1529</v>
      </c>
      <c r="C336" s="38" t="s">
        <v>71</v>
      </c>
      <c r="D336" s="38" t="s">
        <v>185</v>
      </c>
      <c r="E336" s="38" t="s">
        <v>3018</v>
      </c>
      <c r="F336" s="38" t="s">
        <v>3019</v>
      </c>
      <c r="G336" s="38" t="s">
        <v>3020</v>
      </c>
      <c r="H336" s="37">
        <v>3.316</v>
      </c>
      <c r="I336" s="38" t="s">
        <v>421</v>
      </c>
      <c r="J336" s="38" t="s">
        <v>56</v>
      </c>
      <c r="K336" s="37">
        <v>6.0E8</v>
      </c>
      <c r="L336" s="38" t="s">
        <v>52</v>
      </c>
      <c r="M336" s="38" t="s">
        <v>1771</v>
      </c>
      <c r="N336" s="38" t="s">
        <v>185</v>
      </c>
      <c r="O336" s="38" t="s">
        <v>4440</v>
      </c>
      <c r="P336" s="37">
        <v>3.25</v>
      </c>
      <c r="Q336" s="38" t="s">
        <v>4441</v>
      </c>
      <c r="R336" s="38" t="s">
        <v>262</v>
      </c>
      <c r="S336" s="38" t="s">
        <v>620</v>
      </c>
      <c r="T336" s="38" t="s">
        <v>115</v>
      </c>
      <c r="U336" s="38" t="s">
        <v>263</v>
      </c>
      <c r="V336" s="38" t="s">
        <v>3021</v>
      </c>
      <c r="W336" s="37">
        <v>3.117</v>
      </c>
    </row>
    <row r="337">
      <c r="A337" s="38" t="s">
        <v>1526</v>
      </c>
      <c r="B337" s="38" t="s">
        <v>1529</v>
      </c>
      <c r="C337" s="38" t="s">
        <v>71</v>
      </c>
      <c r="D337" s="38" t="s">
        <v>185</v>
      </c>
      <c r="E337" s="38" t="s">
        <v>3022</v>
      </c>
      <c r="F337" s="38" t="s">
        <v>3023</v>
      </c>
      <c r="G337" s="38" t="s">
        <v>3024</v>
      </c>
      <c r="H337" s="37">
        <v>3.316</v>
      </c>
      <c r="I337" s="38" t="s">
        <v>421</v>
      </c>
      <c r="J337" s="38" t="s">
        <v>56</v>
      </c>
      <c r="K337" s="37">
        <v>6.0E8</v>
      </c>
      <c r="L337" s="38" t="s">
        <v>52</v>
      </c>
      <c r="M337" s="38" t="s">
        <v>1771</v>
      </c>
      <c r="N337" s="38" t="s">
        <v>185</v>
      </c>
      <c r="O337" s="38" t="s">
        <v>4440</v>
      </c>
      <c r="P337" s="37">
        <v>3.25</v>
      </c>
      <c r="Q337" s="38" t="s">
        <v>4441</v>
      </c>
      <c r="R337" s="38" t="s">
        <v>271</v>
      </c>
      <c r="S337" s="38" t="s">
        <v>620</v>
      </c>
      <c r="T337" s="38" t="s">
        <v>115</v>
      </c>
      <c r="U337" s="38" t="s">
        <v>263</v>
      </c>
      <c r="V337" s="38" t="s">
        <v>3025</v>
      </c>
      <c r="W337" s="37">
        <v>3.121</v>
      </c>
    </row>
    <row r="338">
      <c r="A338" s="38" t="s">
        <v>1059</v>
      </c>
      <c r="B338" s="38" t="s">
        <v>1046</v>
      </c>
      <c r="C338" s="38" t="s">
        <v>71</v>
      </c>
      <c r="D338" s="38" t="s">
        <v>1047</v>
      </c>
      <c r="E338" s="38" t="s">
        <v>3387</v>
      </c>
      <c r="F338" s="38" t="s">
        <v>3388</v>
      </c>
      <c r="G338" s="38" t="s">
        <v>3389</v>
      </c>
      <c r="H338" s="37">
        <v>2.8529999999999998</v>
      </c>
      <c r="I338" s="38" t="s">
        <v>55</v>
      </c>
      <c r="J338" s="38" t="s">
        <v>56</v>
      </c>
      <c r="K338" s="37">
        <v>3.0E9</v>
      </c>
      <c r="L338" s="38" t="s">
        <v>52</v>
      </c>
      <c r="M338" s="38" t="s">
        <v>2895</v>
      </c>
      <c r="N338" s="38" t="s">
        <v>367</v>
      </c>
      <c r="O338" s="38" t="s">
        <v>4442</v>
      </c>
      <c r="P338" s="37">
        <v>2.8</v>
      </c>
      <c r="Q338" s="38" t="s">
        <v>4443</v>
      </c>
      <c r="R338" s="38" t="s">
        <v>174</v>
      </c>
      <c r="S338" s="38" t="s">
        <v>297</v>
      </c>
      <c r="T338" s="38" t="s">
        <v>49</v>
      </c>
      <c r="U338" s="38" t="s">
        <v>263</v>
      </c>
      <c r="V338" s="38" t="s">
        <v>3390</v>
      </c>
      <c r="W338" s="37">
        <v>2.598</v>
      </c>
    </row>
    <row r="339">
      <c r="A339" s="38" t="s">
        <v>1059</v>
      </c>
      <c r="B339" s="38" t="s">
        <v>1046</v>
      </c>
      <c r="C339" s="38" t="s">
        <v>71</v>
      </c>
      <c r="D339" s="38" t="s">
        <v>1047</v>
      </c>
      <c r="E339" s="38" t="s">
        <v>3391</v>
      </c>
      <c r="F339" s="38" t="s">
        <v>3392</v>
      </c>
      <c r="G339" s="38" t="s">
        <v>3393</v>
      </c>
      <c r="H339" s="37">
        <v>3.1799999999999997</v>
      </c>
      <c r="I339" s="38" t="s">
        <v>55</v>
      </c>
      <c r="J339" s="38" t="s">
        <v>56</v>
      </c>
      <c r="K339" s="37">
        <v>3.5E9</v>
      </c>
      <c r="L339" s="38" t="s">
        <v>52</v>
      </c>
      <c r="M339" s="38" t="s">
        <v>2895</v>
      </c>
      <c r="N339" s="38" t="s">
        <v>367</v>
      </c>
      <c r="O339" s="38" t="s">
        <v>4442</v>
      </c>
      <c r="P339" s="37">
        <v>3.15</v>
      </c>
      <c r="Q339" s="38" t="s">
        <v>864</v>
      </c>
      <c r="R339" s="38" t="s">
        <v>174</v>
      </c>
      <c r="S339" s="38" t="s">
        <v>297</v>
      </c>
      <c r="T339" s="38" t="s">
        <v>49</v>
      </c>
      <c r="U339" s="38" t="s">
        <v>263</v>
      </c>
      <c r="V339" s="38" t="s">
        <v>3394</v>
      </c>
      <c r="W339" s="37">
        <v>2.97</v>
      </c>
    </row>
    <row r="340">
      <c r="A340" s="38" t="s">
        <v>1059</v>
      </c>
      <c r="B340" s="38" t="s">
        <v>1046</v>
      </c>
      <c r="C340" s="38" t="s">
        <v>71</v>
      </c>
      <c r="D340" s="38" t="s">
        <v>1047</v>
      </c>
      <c r="E340" s="38" t="s">
        <v>3395</v>
      </c>
      <c r="F340" s="38" t="s">
        <v>3396</v>
      </c>
      <c r="G340" s="38" t="s">
        <v>3397</v>
      </c>
      <c r="H340" s="37">
        <v>4.148</v>
      </c>
      <c r="I340" s="38" t="s">
        <v>55</v>
      </c>
      <c r="J340" s="38" t="s">
        <v>56</v>
      </c>
      <c r="K340" s="37">
        <v>2.0E9</v>
      </c>
      <c r="L340" s="38" t="s">
        <v>52</v>
      </c>
      <c r="M340" s="38" t="s">
        <v>2895</v>
      </c>
      <c r="N340" s="38" t="s">
        <v>367</v>
      </c>
      <c r="O340" s="38" t="s">
        <v>4442</v>
      </c>
      <c r="P340" s="37">
        <v>4.1</v>
      </c>
      <c r="Q340" s="38" t="s">
        <v>4444</v>
      </c>
      <c r="R340" s="38" t="s">
        <v>174</v>
      </c>
      <c r="S340" s="38" t="s">
        <v>297</v>
      </c>
      <c r="T340" s="38" t="s">
        <v>49</v>
      </c>
      <c r="U340" s="38" t="s">
        <v>263</v>
      </c>
      <c r="V340" s="38" t="s">
        <v>3398</v>
      </c>
      <c r="W340" s="37">
        <v>3.982</v>
      </c>
    </row>
    <row r="341">
      <c r="A341" s="38" t="s">
        <v>1043</v>
      </c>
      <c r="B341" s="38" t="s">
        <v>1046</v>
      </c>
      <c r="C341" s="38" t="s">
        <v>57</v>
      </c>
      <c r="D341" s="38" t="s">
        <v>1047</v>
      </c>
      <c r="E341" s="38" t="s">
        <v>3351</v>
      </c>
      <c r="F341" s="38" t="s">
        <v>3352</v>
      </c>
      <c r="G341" s="38" t="s">
        <v>3353</v>
      </c>
      <c r="H341" s="38" t="s">
        <v>54</v>
      </c>
      <c r="I341" s="38" t="s">
        <v>55</v>
      </c>
      <c r="J341" s="38" t="s">
        <v>56</v>
      </c>
      <c r="K341" s="37">
        <v>1.64808E9</v>
      </c>
      <c r="L341" s="38" t="s">
        <v>52</v>
      </c>
      <c r="M341" s="38" t="s">
        <v>2895</v>
      </c>
      <c r="N341" s="38" t="s">
        <v>367</v>
      </c>
      <c r="O341" s="38" t="s">
        <v>4445</v>
      </c>
      <c r="P341" s="37">
        <v>1.125</v>
      </c>
      <c r="Q341" s="38" t="s">
        <v>4446</v>
      </c>
      <c r="R341" s="38" t="s">
        <v>174</v>
      </c>
      <c r="S341" s="38" t="s">
        <v>297</v>
      </c>
      <c r="T341" s="38" t="s">
        <v>49</v>
      </c>
      <c r="U341" s="38" t="s">
        <v>53</v>
      </c>
      <c r="V341" s="38" t="s">
        <v>3354</v>
      </c>
      <c r="W341" s="37">
        <v>0.919</v>
      </c>
    </row>
    <row r="342">
      <c r="A342" s="38" t="s">
        <v>1043</v>
      </c>
      <c r="B342" s="38" t="s">
        <v>1046</v>
      </c>
      <c r="C342" s="38" t="s">
        <v>57</v>
      </c>
      <c r="D342" s="38" t="s">
        <v>1047</v>
      </c>
      <c r="E342" s="38" t="s">
        <v>3355</v>
      </c>
      <c r="F342" s="38" t="s">
        <v>3356</v>
      </c>
      <c r="G342" s="38" t="s">
        <v>3357</v>
      </c>
      <c r="H342" s="38" t="s">
        <v>54</v>
      </c>
      <c r="I342" s="38" t="s">
        <v>55</v>
      </c>
      <c r="J342" s="38" t="s">
        <v>56</v>
      </c>
      <c r="K342" s="37">
        <v>8.2404E8</v>
      </c>
      <c r="L342" s="38" t="s">
        <v>52</v>
      </c>
      <c r="M342" s="38" t="s">
        <v>2895</v>
      </c>
      <c r="N342" s="38" t="s">
        <v>367</v>
      </c>
      <c r="O342" s="38" t="s">
        <v>4445</v>
      </c>
      <c r="P342" s="37">
        <v>1.625</v>
      </c>
      <c r="Q342" s="38" t="s">
        <v>4447</v>
      </c>
      <c r="R342" s="38" t="s">
        <v>174</v>
      </c>
      <c r="S342" s="38" t="s">
        <v>297</v>
      </c>
      <c r="T342" s="38" t="s">
        <v>49</v>
      </c>
      <c r="U342" s="38" t="s">
        <v>53</v>
      </c>
      <c r="V342" s="38" t="s">
        <v>3358</v>
      </c>
      <c r="W342" s="37">
        <v>1.466</v>
      </c>
    </row>
    <row r="343">
      <c r="A343" s="38" t="s">
        <v>1360</v>
      </c>
      <c r="B343" s="38" t="s">
        <v>1363</v>
      </c>
      <c r="C343" s="38" t="s">
        <v>57</v>
      </c>
      <c r="D343" s="38" t="s">
        <v>200</v>
      </c>
      <c r="E343" s="38" t="s">
        <v>3254</v>
      </c>
      <c r="F343" s="38" t="s">
        <v>3255</v>
      </c>
      <c r="G343" s="38" t="s">
        <v>3256</v>
      </c>
      <c r="H343" s="38" t="s">
        <v>54</v>
      </c>
      <c r="I343" s="38" t="s">
        <v>117</v>
      </c>
      <c r="J343" s="38" t="s">
        <v>56</v>
      </c>
      <c r="K343" s="37">
        <v>8.044275E8</v>
      </c>
      <c r="L343" s="38" t="s">
        <v>52</v>
      </c>
      <c r="M343" s="38" t="s">
        <v>1771</v>
      </c>
      <c r="N343" s="38" t="s">
        <v>200</v>
      </c>
      <c r="O343" s="38" t="s">
        <v>4448</v>
      </c>
      <c r="P343" s="37">
        <v>1.375</v>
      </c>
      <c r="Q343" s="38" t="s">
        <v>4449</v>
      </c>
      <c r="R343" s="38" t="s">
        <v>226</v>
      </c>
      <c r="S343" s="38" t="s">
        <v>175</v>
      </c>
      <c r="T343" s="38" t="s">
        <v>49</v>
      </c>
      <c r="U343" s="38" t="s">
        <v>53</v>
      </c>
      <c r="V343" s="38" t="s">
        <v>3257</v>
      </c>
      <c r="W343" s="37">
        <v>1.255</v>
      </c>
    </row>
    <row r="344">
      <c r="A344" s="38" t="s">
        <v>1122</v>
      </c>
      <c r="B344" s="38" t="s">
        <v>1125</v>
      </c>
      <c r="C344" s="38" t="s">
        <v>57</v>
      </c>
      <c r="D344" s="38" t="s">
        <v>367</v>
      </c>
      <c r="E344" s="38" t="s">
        <v>2859</v>
      </c>
      <c r="F344" s="38" t="s">
        <v>2860</v>
      </c>
      <c r="G344" s="38" t="s">
        <v>2861</v>
      </c>
      <c r="H344" s="38" t="s">
        <v>54</v>
      </c>
      <c r="I344" s="38" t="s">
        <v>133</v>
      </c>
      <c r="J344" s="38" t="s">
        <v>56</v>
      </c>
      <c r="K344" s="37">
        <v>7.0093125E8</v>
      </c>
      <c r="L344" s="38" t="s">
        <v>52</v>
      </c>
      <c r="M344" s="38" t="s">
        <v>1771</v>
      </c>
      <c r="N344" s="38" t="s">
        <v>367</v>
      </c>
      <c r="O344" s="38" t="s">
        <v>4450</v>
      </c>
      <c r="P344" s="37">
        <v>0.625</v>
      </c>
      <c r="Q344" s="38" t="s">
        <v>4167</v>
      </c>
      <c r="R344" s="38" t="s">
        <v>1128</v>
      </c>
      <c r="S344" s="38" t="s">
        <v>497</v>
      </c>
      <c r="T344" s="38" t="s">
        <v>115</v>
      </c>
      <c r="U344" s="38" t="s">
        <v>53</v>
      </c>
      <c r="V344" s="38" t="s">
        <v>2862</v>
      </c>
      <c r="W344" s="37">
        <v>0.79</v>
      </c>
    </row>
    <row r="345">
      <c r="A345" s="38" t="s">
        <v>1122</v>
      </c>
      <c r="B345" s="38" t="s">
        <v>1125</v>
      </c>
      <c r="C345" s="38" t="s">
        <v>57</v>
      </c>
      <c r="D345" s="38" t="s">
        <v>367</v>
      </c>
      <c r="E345" s="38" t="s">
        <v>2863</v>
      </c>
      <c r="F345" s="38" t="s">
        <v>2864</v>
      </c>
      <c r="G345" s="38" t="s">
        <v>2865</v>
      </c>
      <c r="H345" s="38" t="s">
        <v>54</v>
      </c>
      <c r="I345" s="38" t="s">
        <v>133</v>
      </c>
      <c r="J345" s="38" t="s">
        <v>56</v>
      </c>
      <c r="K345" s="37">
        <v>7.0093125E8</v>
      </c>
      <c r="L345" s="38" t="s">
        <v>52</v>
      </c>
      <c r="M345" s="38" t="s">
        <v>1771</v>
      </c>
      <c r="N345" s="38" t="s">
        <v>367</v>
      </c>
      <c r="O345" s="38" t="s">
        <v>4450</v>
      </c>
      <c r="P345" s="37">
        <v>1.125</v>
      </c>
      <c r="Q345" s="38" t="s">
        <v>4451</v>
      </c>
      <c r="R345" s="38" t="s">
        <v>1128</v>
      </c>
      <c r="S345" s="38" t="s">
        <v>497</v>
      </c>
      <c r="T345" s="38" t="s">
        <v>115</v>
      </c>
      <c r="U345" s="38" t="s">
        <v>53</v>
      </c>
      <c r="V345" s="38" t="s">
        <v>2866</v>
      </c>
      <c r="W345" s="37">
        <v>1.276</v>
      </c>
    </row>
    <row r="346">
      <c r="A346" s="38" t="s">
        <v>181</v>
      </c>
      <c r="B346" s="38" t="s">
        <v>184</v>
      </c>
      <c r="C346" s="38" t="s">
        <v>57</v>
      </c>
      <c r="D346" s="38" t="s">
        <v>186</v>
      </c>
      <c r="E346" s="38" t="s">
        <v>3189</v>
      </c>
      <c r="F346" s="38" t="s">
        <v>3190</v>
      </c>
      <c r="G346" s="38" t="s">
        <v>3191</v>
      </c>
      <c r="H346" s="38" t="s">
        <v>54</v>
      </c>
      <c r="I346" s="38" t="s">
        <v>133</v>
      </c>
      <c r="J346" s="38" t="s">
        <v>56</v>
      </c>
      <c r="K346" s="37">
        <v>1.12149E9</v>
      </c>
      <c r="L346" s="38" t="s">
        <v>52</v>
      </c>
      <c r="M346" s="38" t="s">
        <v>1771</v>
      </c>
      <c r="N346" s="38" t="s">
        <v>185</v>
      </c>
      <c r="O346" s="38" t="s">
        <v>4450</v>
      </c>
      <c r="P346" s="37">
        <v>0.25</v>
      </c>
      <c r="Q346" s="38" t="s">
        <v>4452</v>
      </c>
      <c r="R346" s="38" t="s">
        <v>226</v>
      </c>
      <c r="S346" s="38" t="s">
        <v>447</v>
      </c>
      <c r="T346" s="38" t="s">
        <v>115</v>
      </c>
      <c r="U346" s="38" t="s">
        <v>53</v>
      </c>
      <c r="V346" s="38" t="s">
        <v>3192</v>
      </c>
      <c r="W346" s="37">
        <v>0.408</v>
      </c>
    </row>
    <row r="347">
      <c r="A347" s="38" t="s">
        <v>1133</v>
      </c>
      <c r="B347" s="38" t="s">
        <v>1136</v>
      </c>
      <c r="C347" s="38" t="s">
        <v>57</v>
      </c>
      <c r="D347" s="38" t="s">
        <v>45</v>
      </c>
      <c r="E347" s="38" t="s">
        <v>2606</v>
      </c>
      <c r="F347" s="38" t="s">
        <v>2607</v>
      </c>
      <c r="G347" s="38" t="s">
        <v>2608</v>
      </c>
      <c r="H347" s="37">
        <v>0.946</v>
      </c>
      <c r="I347" s="38" t="s">
        <v>421</v>
      </c>
      <c r="J347" s="38" t="s">
        <v>56</v>
      </c>
      <c r="K347" s="37">
        <v>3.9597E8</v>
      </c>
      <c r="L347" s="38" t="s">
        <v>52</v>
      </c>
      <c r="M347" s="38" t="s">
        <v>2609</v>
      </c>
      <c r="N347" s="38" t="s">
        <v>45</v>
      </c>
      <c r="O347" s="38" t="s">
        <v>4453</v>
      </c>
      <c r="P347" s="37">
        <v>0.875</v>
      </c>
      <c r="Q347" s="38" t="s">
        <v>4454</v>
      </c>
      <c r="R347" s="38" t="s">
        <v>226</v>
      </c>
      <c r="S347" s="38" t="s">
        <v>117</v>
      </c>
      <c r="T347" s="38" t="s">
        <v>115</v>
      </c>
      <c r="U347" s="38" t="s">
        <v>1548</v>
      </c>
      <c r="V347" s="38" t="s">
        <v>2610</v>
      </c>
      <c r="W347" s="37">
        <v>1.01</v>
      </c>
    </row>
    <row r="348">
      <c r="A348" s="38" t="s">
        <v>1519</v>
      </c>
      <c r="B348" s="38" t="s">
        <v>1522</v>
      </c>
      <c r="C348" s="38" t="s">
        <v>57</v>
      </c>
      <c r="D348" s="38" t="s">
        <v>185</v>
      </c>
      <c r="E348" s="38" t="s">
        <v>3140</v>
      </c>
      <c r="F348" s="38" t="s">
        <v>3141</v>
      </c>
      <c r="G348" s="38" t="s">
        <v>3142</v>
      </c>
      <c r="H348" s="38" t="s">
        <v>54</v>
      </c>
      <c r="I348" s="38" t="s">
        <v>117</v>
      </c>
      <c r="J348" s="38" t="s">
        <v>56</v>
      </c>
      <c r="K348" s="37">
        <v>9.54975E8</v>
      </c>
      <c r="L348" s="38" t="s">
        <v>52</v>
      </c>
      <c r="M348" s="38" t="s">
        <v>1771</v>
      </c>
      <c r="N348" s="38" t="s">
        <v>185</v>
      </c>
      <c r="O348" s="38" t="s">
        <v>4453</v>
      </c>
      <c r="P348" s="37">
        <v>0.0</v>
      </c>
      <c r="Q348" s="38" t="s">
        <v>4454</v>
      </c>
      <c r="R348" s="38" t="s">
        <v>226</v>
      </c>
      <c r="S348" s="38" t="s">
        <v>484</v>
      </c>
      <c r="T348" s="38" t="s">
        <v>115</v>
      </c>
      <c r="U348" s="38" t="s">
        <v>53</v>
      </c>
      <c r="V348" s="38" t="s">
        <v>3143</v>
      </c>
      <c r="W348" s="37">
        <v>0.167</v>
      </c>
    </row>
    <row r="349">
      <c r="A349" s="38" t="s">
        <v>1519</v>
      </c>
      <c r="B349" s="38" t="s">
        <v>1522</v>
      </c>
      <c r="C349" s="38" t="s">
        <v>57</v>
      </c>
      <c r="D349" s="38" t="s">
        <v>185</v>
      </c>
      <c r="E349" s="38" t="s">
        <v>3144</v>
      </c>
      <c r="F349" s="38" t="s">
        <v>3145</v>
      </c>
      <c r="G349" s="38" t="s">
        <v>3146</v>
      </c>
      <c r="H349" s="38" t="s">
        <v>54</v>
      </c>
      <c r="I349" s="38" t="s">
        <v>117</v>
      </c>
      <c r="J349" s="38" t="s">
        <v>56</v>
      </c>
      <c r="K349" s="37">
        <v>1.292025E9</v>
      </c>
      <c r="L349" s="38" t="s">
        <v>52</v>
      </c>
      <c r="M349" s="38" t="s">
        <v>1771</v>
      </c>
      <c r="N349" s="38" t="s">
        <v>185</v>
      </c>
      <c r="O349" s="38" t="s">
        <v>4453</v>
      </c>
      <c r="P349" s="37">
        <v>0.5</v>
      </c>
      <c r="Q349" s="38" t="s">
        <v>4455</v>
      </c>
      <c r="R349" s="38" t="s">
        <v>226</v>
      </c>
      <c r="S349" s="38" t="s">
        <v>484</v>
      </c>
      <c r="T349" s="38" t="s">
        <v>115</v>
      </c>
      <c r="U349" s="38" t="s">
        <v>53</v>
      </c>
      <c r="V349" s="38" t="s">
        <v>3147</v>
      </c>
      <c r="W349" s="37">
        <v>0.735</v>
      </c>
    </row>
    <row r="350">
      <c r="A350" s="38" t="s">
        <v>1640</v>
      </c>
      <c r="B350" s="38" t="s">
        <v>1643</v>
      </c>
      <c r="C350" s="38" t="s">
        <v>57</v>
      </c>
      <c r="D350" s="38" t="s">
        <v>171</v>
      </c>
      <c r="E350" s="38" t="s">
        <v>2989</v>
      </c>
      <c r="F350" s="38" t="s">
        <v>2990</v>
      </c>
      <c r="G350" s="38" t="s">
        <v>2991</v>
      </c>
      <c r="H350" s="38" t="s">
        <v>54</v>
      </c>
      <c r="I350" s="38" t="s">
        <v>55</v>
      </c>
      <c r="J350" s="38" t="s">
        <v>56</v>
      </c>
      <c r="K350" s="37">
        <v>1.3955625E9</v>
      </c>
      <c r="L350" s="38" t="s">
        <v>52</v>
      </c>
      <c r="M350" s="38" t="s">
        <v>174</v>
      </c>
      <c r="N350" s="38" t="s">
        <v>170</v>
      </c>
      <c r="O350" s="38" t="s">
        <v>4456</v>
      </c>
      <c r="P350" s="37">
        <v>0.125</v>
      </c>
      <c r="Q350" s="38" t="s">
        <v>4126</v>
      </c>
      <c r="R350" s="38" t="s">
        <v>174</v>
      </c>
      <c r="S350" s="38" t="s">
        <v>1646</v>
      </c>
      <c r="T350" s="38" t="s">
        <v>49</v>
      </c>
      <c r="U350" s="38" t="s">
        <v>53</v>
      </c>
      <c r="V350" s="38" t="s">
        <v>2992</v>
      </c>
      <c r="W350" s="37">
        <v>0.182</v>
      </c>
    </row>
    <row r="351">
      <c r="A351" s="38" t="s">
        <v>1640</v>
      </c>
      <c r="B351" s="38" t="s">
        <v>1643</v>
      </c>
      <c r="C351" s="38" t="s">
        <v>57</v>
      </c>
      <c r="D351" s="38" t="s">
        <v>171</v>
      </c>
      <c r="E351" s="38" t="s">
        <v>2993</v>
      </c>
      <c r="F351" s="38" t="s">
        <v>2994</v>
      </c>
      <c r="G351" s="38" t="s">
        <v>2995</v>
      </c>
      <c r="H351" s="38" t="s">
        <v>54</v>
      </c>
      <c r="I351" s="38" t="s">
        <v>55</v>
      </c>
      <c r="J351" s="38" t="s">
        <v>56</v>
      </c>
      <c r="K351" s="37">
        <v>5.58225E8</v>
      </c>
      <c r="L351" s="38" t="s">
        <v>52</v>
      </c>
      <c r="M351" s="38" t="s">
        <v>174</v>
      </c>
      <c r="N351" s="38" t="s">
        <v>170</v>
      </c>
      <c r="O351" s="38" t="s">
        <v>4456</v>
      </c>
      <c r="P351" s="37">
        <v>0.625</v>
      </c>
      <c r="Q351" s="38" t="s">
        <v>4457</v>
      </c>
      <c r="R351" s="38" t="s">
        <v>174</v>
      </c>
      <c r="S351" s="38" t="s">
        <v>1646</v>
      </c>
      <c r="T351" s="38" t="s">
        <v>49</v>
      </c>
      <c r="U351" s="38" t="s">
        <v>53</v>
      </c>
      <c r="V351" s="38" t="s">
        <v>2996</v>
      </c>
      <c r="W351" s="37">
        <v>0.666</v>
      </c>
    </row>
    <row r="352">
      <c r="A352" s="38" t="s">
        <v>614</v>
      </c>
      <c r="B352" s="38" t="s">
        <v>617</v>
      </c>
      <c r="C352" s="38" t="s">
        <v>57</v>
      </c>
      <c r="D352" s="38" t="s">
        <v>200</v>
      </c>
      <c r="E352" s="38" t="s">
        <v>2525</v>
      </c>
      <c r="F352" s="38" t="s">
        <v>2526</v>
      </c>
      <c r="G352" s="38" t="s">
        <v>2527</v>
      </c>
      <c r="H352" s="38" t="s">
        <v>54</v>
      </c>
      <c r="I352" s="38" t="s">
        <v>117</v>
      </c>
      <c r="J352" s="38" t="s">
        <v>56</v>
      </c>
      <c r="K352" s="37">
        <v>1.005921E9</v>
      </c>
      <c r="L352" s="38" t="s">
        <v>52</v>
      </c>
      <c r="M352" s="38" t="s">
        <v>1771</v>
      </c>
      <c r="N352" s="38" t="s">
        <v>200</v>
      </c>
      <c r="O352" s="38" t="s">
        <v>4458</v>
      </c>
      <c r="P352" s="37">
        <v>0.625</v>
      </c>
      <c r="Q352" s="38" t="s">
        <v>4014</v>
      </c>
      <c r="R352" s="38" t="s">
        <v>226</v>
      </c>
      <c r="S352" s="38" t="s">
        <v>620</v>
      </c>
      <c r="T352" s="38" t="s">
        <v>49</v>
      </c>
      <c r="U352" s="38" t="s">
        <v>53</v>
      </c>
      <c r="V352" s="38" t="s">
        <v>2528</v>
      </c>
      <c r="W352" s="37">
        <v>0.717</v>
      </c>
    </row>
    <row r="353">
      <c r="A353" s="38" t="s">
        <v>614</v>
      </c>
      <c r="B353" s="38" t="s">
        <v>617</v>
      </c>
      <c r="C353" s="38" t="s">
        <v>57</v>
      </c>
      <c r="D353" s="38" t="s">
        <v>200</v>
      </c>
      <c r="E353" s="38" t="s">
        <v>2529</v>
      </c>
      <c r="F353" s="38" t="s">
        <v>2530</v>
      </c>
      <c r="G353" s="38" t="s">
        <v>2531</v>
      </c>
      <c r="H353" s="38" t="s">
        <v>54</v>
      </c>
      <c r="I353" s="38" t="s">
        <v>117</v>
      </c>
      <c r="J353" s="38" t="s">
        <v>56</v>
      </c>
      <c r="K353" s="37">
        <v>6.70614E8</v>
      </c>
      <c r="L353" s="38" t="s">
        <v>52</v>
      </c>
      <c r="M353" s="38" t="s">
        <v>1771</v>
      </c>
      <c r="N353" s="38" t="s">
        <v>200</v>
      </c>
      <c r="O353" s="38" t="s">
        <v>4458</v>
      </c>
      <c r="P353" s="37">
        <v>1.125</v>
      </c>
      <c r="Q353" s="38" t="s">
        <v>4459</v>
      </c>
      <c r="R353" s="38" t="s">
        <v>226</v>
      </c>
      <c r="S353" s="38" t="s">
        <v>620</v>
      </c>
      <c r="T353" s="38" t="s">
        <v>49</v>
      </c>
      <c r="U353" s="38" t="s">
        <v>53</v>
      </c>
      <c r="V353" s="38" t="s">
        <v>2532</v>
      </c>
      <c r="W353" s="37">
        <v>1.244</v>
      </c>
    </row>
    <row r="354">
      <c r="A354" s="38" t="s">
        <v>980</v>
      </c>
      <c r="B354" s="38" t="s">
        <v>983</v>
      </c>
      <c r="C354" s="38" t="s">
        <v>57</v>
      </c>
      <c r="D354" s="38" t="s">
        <v>200</v>
      </c>
      <c r="E354" s="38" t="s">
        <v>2631</v>
      </c>
      <c r="F354" s="38" t="s">
        <v>2632</v>
      </c>
      <c r="G354" s="38" t="s">
        <v>2633</v>
      </c>
      <c r="H354" s="38" t="s">
        <v>54</v>
      </c>
      <c r="I354" s="38" t="s">
        <v>55</v>
      </c>
      <c r="J354" s="38" t="s">
        <v>56</v>
      </c>
      <c r="K354" s="37">
        <v>4.39808E8</v>
      </c>
      <c r="L354" s="38" t="s">
        <v>52</v>
      </c>
      <c r="M354" s="38" t="s">
        <v>1776</v>
      </c>
      <c r="N354" s="38" t="s">
        <v>200</v>
      </c>
      <c r="O354" s="38" t="s">
        <v>4460</v>
      </c>
      <c r="P354" s="37">
        <v>0.875</v>
      </c>
      <c r="Q354" s="38" t="s">
        <v>4461</v>
      </c>
      <c r="R354" s="38" t="s">
        <v>226</v>
      </c>
      <c r="S354" s="38" t="s">
        <v>175</v>
      </c>
      <c r="T354" s="38" t="s">
        <v>49</v>
      </c>
      <c r="U354" s="38" t="s">
        <v>53</v>
      </c>
      <c r="V354" s="38" t="s">
        <v>2634</v>
      </c>
      <c r="W354" s="37">
        <v>0.998</v>
      </c>
    </row>
    <row r="355">
      <c r="A355" s="38" t="s">
        <v>1217</v>
      </c>
      <c r="B355" s="38" t="s">
        <v>1220</v>
      </c>
      <c r="C355" s="38" t="s">
        <v>57</v>
      </c>
      <c r="D355" s="38" t="s">
        <v>45</v>
      </c>
      <c r="E355" s="38" t="s">
        <v>2888</v>
      </c>
      <c r="F355" s="38" t="s">
        <v>2889</v>
      </c>
      <c r="G355" s="38" t="s">
        <v>2890</v>
      </c>
      <c r="H355" s="38" t="s">
        <v>54</v>
      </c>
      <c r="I355" s="38" t="s">
        <v>421</v>
      </c>
      <c r="J355" s="38" t="s">
        <v>56</v>
      </c>
      <c r="K355" s="37">
        <v>5.5838E8</v>
      </c>
      <c r="L355" s="38" t="s">
        <v>52</v>
      </c>
      <c r="M355" s="38" t="s">
        <v>1771</v>
      </c>
      <c r="N355" s="38" t="s">
        <v>45</v>
      </c>
      <c r="O355" s="38" t="s">
        <v>4462</v>
      </c>
      <c r="P355" s="37">
        <v>1.0</v>
      </c>
      <c r="Q355" s="38" t="s">
        <v>4463</v>
      </c>
      <c r="R355" s="38" t="s">
        <v>226</v>
      </c>
      <c r="S355" s="38" t="s">
        <v>175</v>
      </c>
      <c r="T355" s="38" t="s">
        <v>115</v>
      </c>
      <c r="U355" s="38" t="s">
        <v>53</v>
      </c>
      <c r="V355" s="38" t="s">
        <v>2891</v>
      </c>
      <c r="W355" s="37">
        <v>1.243</v>
      </c>
    </row>
    <row r="356">
      <c r="A356" s="38" t="s">
        <v>1067</v>
      </c>
      <c r="B356" s="38" t="s">
        <v>1070</v>
      </c>
      <c r="C356" s="38" t="s">
        <v>57</v>
      </c>
      <c r="D356" s="38" t="s">
        <v>185</v>
      </c>
      <c r="E356" s="38" t="s">
        <v>1850</v>
      </c>
      <c r="F356" s="38" t="s">
        <v>1851</v>
      </c>
      <c r="G356" s="38" t="s">
        <v>1852</v>
      </c>
      <c r="H356" s="38" t="s">
        <v>54</v>
      </c>
      <c r="I356" s="38" t="s">
        <v>55</v>
      </c>
      <c r="J356" s="38" t="s">
        <v>56</v>
      </c>
      <c r="K356" s="37">
        <v>3.34839E8</v>
      </c>
      <c r="L356" s="38" t="s">
        <v>52</v>
      </c>
      <c r="M356" s="38" t="s">
        <v>1771</v>
      </c>
      <c r="N356" s="38" t="s">
        <v>185</v>
      </c>
      <c r="O356" s="38" t="s">
        <v>4464</v>
      </c>
      <c r="P356" s="37">
        <v>1.444</v>
      </c>
      <c r="Q356" s="38" t="s">
        <v>4465</v>
      </c>
      <c r="R356" s="38" t="s">
        <v>174</v>
      </c>
      <c r="S356" s="38" t="s">
        <v>54</v>
      </c>
      <c r="T356" s="38" t="s">
        <v>115</v>
      </c>
      <c r="U356" s="38" t="s">
        <v>53</v>
      </c>
      <c r="V356" s="38" t="s">
        <v>1853</v>
      </c>
      <c r="W356" s="38" t="s">
        <v>54</v>
      </c>
    </row>
    <row r="357">
      <c r="A357" s="38" t="s">
        <v>1360</v>
      </c>
      <c r="B357" s="38" t="s">
        <v>1363</v>
      </c>
      <c r="C357" s="38" t="s">
        <v>57</v>
      </c>
      <c r="D357" s="38" t="s">
        <v>200</v>
      </c>
      <c r="E357" s="38" t="s">
        <v>3258</v>
      </c>
      <c r="F357" s="38" t="s">
        <v>3259</v>
      </c>
      <c r="G357" s="38" t="s">
        <v>3260</v>
      </c>
      <c r="H357" s="38" t="s">
        <v>54</v>
      </c>
      <c r="I357" s="38" t="s">
        <v>117</v>
      </c>
      <c r="J357" s="38" t="s">
        <v>56</v>
      </c>
      <c r="K357" s="37">
        <v>1.3613625E9</v>
      </c>
      <c r="L357" s="38" t="s">
        <v>52</v>
      </c>
      <c r="M357" s="38" t="s">
        <v>1771</v>
      </c>
      <c r="N357" s="38" t="s">
        <v>200</v>
      </c>
      <c r="O357" s="38" t="s">
        <v>4466</v>
      </c>
      <c r="P357" s="37">
        <v>0.875</v>
      </c>
      <c r="Q357" s="38" t="s">
        <v>4467</v>
      </c>
      <c r="R357" s="38" t="s">
        <v>226</v>
      </c>
      <c r="S357" s="38" t="s">
        <v>175</v>
      </c>
      <c r="T357" s="38" t="s">
        <v>49</v>
      </c>
      <c r="U357" s="38" t="s">
        <v>53</v>
      </c>
      <c r="V357" s="38" t="s">
        <v>3261</v>
      </c>
      <c r="W357" s="37">
        <v>0.867</v>
      </c>
    </row>
    <row r="358">
      <c r="A358" s="38" t="s">
        <v>680</v>
      </c>
      <c r="B358" s="38" t="s">
        <v>683</v>
      </c>
      <c r="C358" s="38" t="s">
        <v>392</v>
      </c>
      <c r="D358" s="38" t="s">
        <v>368</v>
      </c>
      <c r="E358" s="38" t="s">
        <v>3290</v>
      </c>
      <c r="F358" s="38" t="s">
        <v>3291</v>
      </c>
      <c r="G358" s="38" t="s">
        <v>3292</v>
      </c>
      <c r="H358" s="38" t="s">
        <v>54</v>
      </c>
      <c r="I358" s="38" t="s">
        <v>55</v>
      </c>
      <c r="J358" s="38" t="s">
        <v>343</v>
      </c>
      <c r="K358" s="37">
        <v>5.0E7</v>
      </c>
      <c r="L358" s="38" t="s">
        <v>459</v>
      </c>
      <c r="M358" s="38" t="s">
        <v>1771</v>
      </c>
      <c r="N358" s="38" t="s">
        <v>368</v>
      </c>
      <c r="O358" s="38" t="s">
        <v>4468</v>
      </c>
      <c r="P358" s="38" t="s">
        <v>54</v>
      </c>
      <c r="Q358" s="38" t="s">
        <v>4469</v>
      </c>
      <c r="R358" s="38" t="s">
        <v>351</v>
      </c>
      <c r="S358" s="38" t="s">
        <v>190</v>
      </c>
      <c r="T358" s="38" t="s">
        <v>3293</v>
      </c>
      <c r="U358" s="38" t="s">
        <v>263</v>
      </c>
      <c r="V358" s="38" t="s">
        <v>3294</v>
      </c>
      <c r="W358" s="38" t="s">
        <v>54</v>
      </c>
    </row>
    <row r="359">
      <c r="A359" s="38" t="s">
        <v>1225</v>
      </c>
      <c r="B359" s="38" t="s">
        <v>1228</v>
      </c>
      <c r="C359" s="38" t="s">
        <v>57</v>
      </c>
      <c r="D359" s="38" t="s">
        <v>595</v>
      </c>
      <c r="E359" s="38" t="s">
        <v>2815</v>
      </c>
      <c r="F359" s="38" t="s">
        <v>2816</v>
      </c>
      <c r="G359" s="38" t="s">
        <v>2817</v>
      </c>
      <c r="H359" s="38" t="s">
        <v>54</v>
      </c>
      <c r="I359" s="38" t="s">
        <v>55</v>
      </c>
      <c r="J359" s="38" t="s">
        <v>56</v>
      </c>
      <c r="K359" s="37">
        <v>1.070023E9</v>
      </c>
      <c r="L359" s="38" t="s">
        <v>52</v>
      </c>
      <c r="M359" s="38" t="s">
        <v>174</v>
      </c>
      <c r="N359" s="38" t="s">
        <v>595</v>
      </c>
      <c r="O359" s="38" t="s">
        <v>4470</v>
      </c>
      <c r="P359" s="37">
        <v>2.375</v>
      </c>
      <c r="Q359" s="38" t="s">
        <v>4471</v>
      </c>
      <c r="R359" s="38" t="s">
        <v>174</v>
      </c>
      <c r="S359" s="38" t="s">
        <v>175</v>
      </c>
      <c r="T359" s="38" t="s">
        <v>115</v>
      </c>
      <c r="U359" s="38" t="s">
        <v>53</v>
      </c>
      <c r="V359" s="38" t="s">
        <v>2818</v>
      </c>
      <c r="W359" s="38" t="s">
        <v>54</v>
      </c>
    </row>
    <row r="360">
      <c r="A360" s="38" t="s">
        <v>1560</v>
      </c>
      <c r="B360" s="38" t="s">
        <v>1563</v>
      </c>
      <c r="C360" s="38" t="s">
        <v>57</v>
      </c>
      <c r="D360" s="38" t="s">
        <v>258</v>
      </c>
      <c r="E360" s="38" t="s">
        <v>2776</v>
      </c>
      <c r="F360" s="38" t="s">
        <v>2777</v>
      </c>
      <c r="G360" s="38" t="s">
        <v>2778</v>
      </c>
      <c r="H360" s="38" t="s">
        <v>54</v>
      </c>
      <c r="I360" s="38" t="s">
        <v>55</v>
      </c>
      <c r="J360" s="38" t="s">
        <v>56</v>
      </c>
      <c r="K360" s="37">
        <v>8.481825E8</v>
      </c>
      <c r="L360" s="38" t="s">
        <v>52</v>
      </c>
      <c r="M360" s="38" t="s">
        <v>1771</v>
      </c>
      <c r="N360" s="38" t="s">
        <v>367</v>
      </c>
      <c r="O360" s="38" t="s">
        <v>4472</v>
      </c>
      <c r="P360" s="37">
        <v>2.125</v>
      </c>
      <c r="Q360" s="38" t="s">
        <v>4473</v>
      </c>
      <c r="R360" s="38" t="s">
        <v>174</v>
      </c>
      <c r="S360" s="38" t="s">
        <v>175</v>
      </c>
      <c r="T360" s="38" t="s">
        <v>49</v>
      </c>
      <c r="U360" s="38" t="s">
        <v>53</v>
      </c>
      <c r="V360" s="38" t="s">
        <v>2779</v>
      </c>
      <c r="W360" s="37">
        <v>2.251</v>
      </c>
    </row>
    <row r="361">
      <c r="A361" s="38" t="s">
        <v>181</v>
      </c>
      <c r="B361" s="38" t="s">
        <v>184</v>
      </c>
      <c r="C361" s="38" t="s">
        <v>57</v>
      </c>
      <c r="D361" s="38" t="s">
        <v>186</v>
      </c>
      <c r="E361" s="38" t="s">
        <v>3193</v>
      </c>
      <c r="F361" s="38" t="s">
        <v>3194</v>
      </c>
      <c r="G361" s="38" t="s">
        <v>3195</v>
      </c>
      <c r="H361" s="38" t="s">
        <v>54</v>
      </c>
      <c r="I361" s="38" t="s">
        <v>133</v>
      </c>
      <c r="J361" s="38" t="s">
        <v>56</v>
      </c>
      <c r="K361" s="37">
        <v>8.94712E8</v>
      </c>
      <c r="L361" s="38" t="s">
        <v>52</v>
      </c>
      <c r="M361" s="38" t="s">
        <v>1771</v>
      </c>
      <c r="N361" s="38" t="s">
        <v>185</v>
      </c>
      <c r="O361" s="38" t="s">
        <v>4474</v>
      </c>
      <c r="P361" s="37">
        <v>1.5</v>
      </c>
      <c r="Q361" s="38" t="s">
        <v>4475</v>
      </c>
      <c r="R361" s="38" t="s">
        <v>2172</v>
      </c>
      <c r="S361" s="38" t="s">
        <v>447</v>
      </c>
      <c r="T361" s="38" t="s">
        <v>115</v>
      </c>
      <c r="U361" s="38" t="s">
        <v>53</v>
      </c>
      <c r="V361" s="38" t="s">
        <v>3196</v>
      </c>
      <c r="W361" s="37">
        <v>1.446</v>
      </c>
    </row>
    <row r="362">
      <c r="A362" s="38" t="s">
        <v>1158</v>
      </c>
      <c r="B362" s="38" t="s">
        <v>1161</v>
      </c>
      <c r="C362" s="38" t="s">
        <v>57</v>
      </c>
      <c r="D362" s="38" t="s">
        <v>185</v>
      </c>
      <c r="E362" s="38" t="s">
        <v>1809</v>
      </c>
      <c r="F362" s="38" t="s">
        <v>1810</v>
      </c>
      <c r="G362" s="38" t="s">
        <v>1811</v>
      </c>
      <c r="H362" s="37">
        <v>2.408</v>
      </c>
      <c r="I362" s="38" t="s">
        <v>117</v>
      </c>
      <c r="J362" s="38" t="s">
        <v>56</v>
      </c>
      <c r="K362" s="37">
        <v>5.65215E8</v>
      </c>
      <c r="L362" s="38" t="s">
        <v>52</v>
      </c>
      <c r="M362" s="38" t="s">
        <v>1771</v>
      </c>
      <c r="N362" s="38" t="s">
        <v>185</v>
      </c>
      <c r="O362" s="38" t="s">
        <v>4476</v>
      </c>
      <c r="P362" s="37">
        <v>3.625</v>
      </c>
      <c r="Q362" s="38" t="s">
        <v>4477</v>
      </c>
      <c r="R362" s="38" t="s">
        <v>174</v>
      </c>
      <c r="S362" s="38" t="s">
        <v>264</v>
      </c>
      <c r="T362" s="38" t="s">
        <v>49</v>
      </c>
      <c r="U362" s="38" t="s">
        <v>53</v>
      </c>
      <c r="V362" s="38" t="s">
        <v>1812</v>
      </c>
      <c r="W362" s="37">
        <v>2.739</v>
      </c>
    </row>
    <row r="363">
      <c r="A363" s="38" t="s">
        <v>477</v>
      </c>
      <c r="B363" s="38" t="s">
        <v>480</v>
      </c>
      <c r="C363" s="38" t="s">
        <v>392</v>
      </c>
      <c r="D363" s="38" t="s">
        <v>45</v>
      </c>
      <c r="E363" s="38" t="s">
        <v>2186</v>
      </c>
      <c r="F363" s="38" t="s">
        <v>2187</v>
      </c>
      <c r="G363" s="38" t="s">
        <v>2188</v>
      </c>
      <c r="H363" s="38" t="s">
        <v>54</v>
      </c>
      <c r="I363" s="38" t="s">
        <v>55</v>
      </c>
      <c r="J363" s="38" t="s">
        <v>70</v>
      </c>
      <c r="K363" s="37">
        <v>1.116E7</v>
      </c>
      <c r="L363" s="38" t="s">
        <v>2012</v>
      </c>
      <c r="M363" s="38" t="s">
        <v>2130</v>
      </c>
      <c r="N363" s="38" t="s">
        <v>45</v>
      </c>
      <c r="O363" s="38" t="s">
        <v>4478</v>
      </c>
      <c r="P363" s="37">
        <v>0.10200000000000001</v>
      </c>
      <c r="Q363" s="38" t="s">
        <v>4479</v>
      </c>
      <c r="R363" s="38" t="s">
        <v>226</v>
      </c>
      <c r="S363" s="38" t="s">
        <v>117</v>
      </c>
      <c r="T363" s="38" t="s">
        <v>49</v>
      </c>
      <c r="U363" s="38" t="s">
        <v>53</v>
      </c>
      <c r="V363" s="38" t="s">
        <v>2189</v>
      </c>
      <c r="W363" s="38" t="s">
        <v>54</v>
      </c>
    </row>
    <row r="364">
      <c r="A364" s="38" t="s">
        <v>614</v>
      </c>
      <c r="B364" s="38" t="s">
        <v>617</v>
      </c>
      <c r="C364" s="38" t="s">
        <v>57</v>
      </c>
      <c r="D364" s="38" t="s">
        <v>200</v>
      </c>
      <c r="E364" s="38" t="s">
        <v>2533</v>
      </c>
      <c r="F364" s="38" t="s">
        <v>2534</v>
      </c>
      <c r="G364" s="38" t="s">
        <v>2535</v>
      </c>
      <c r="H364" s="38" t="s">
        <v>54</v>
      </c>
      <c r="I364" s="38" t="s">
        <v>117</v>
      </c>
      <c r="J364" s="38" t="s">
        <v>56</v>
      </c>
      <c r="K364" s="37">
        <v>8.5251E8</v>
      </c>
      <c r="L364" s="38" t="s">
        <v>52</v>
      </c>
      <c r="M364" s="38" t="s">
        <v>1771</v>
      </c>
      <c r="N364" s="38" t="s">
        <v>200</v>
      </c>
      <c r="O364" s="38" t="s">
        <v>4480</v>
      </c>
      <c r="P364" s="37">
        <v>1.75</v>
      </c>
      <c r="Q364" s="38" t="s">
        <v>4481</v>
      </c>
      <c r="R364" s="38" t="s">
        <v>226</v>
      </c>
      <c r="S364" s="38" t="s">
        <v>620</v>
      </c>
      <c r="T364" s="38" t="s">
        <v>49</v>
      </c>
      <c r="U364" s="38" t="s">
        <v>53</v>
      </c>
      <c r="V364" s="38" t="s">
        <v>2536</v>
      </c>
      <c r="W364" s="37">
        <v>1.764</v>
      </c>
    </row>
    <row r="365">
      <c r="A365" s="38" t="s">
        <v>1519</v>
      </c>
      <c r="B365" s="38" t="s">
        <v>1522</v>
      </c>
      <c r="C365" s="38" t="s">
        <v>57</v>
      </c>
      <c r="D365" s="38" t="s">
        <v>185</v>
      </c>
      <c r="E365" s="38" t="s">
        <v>3148</v>
      </c>
      <c r="F365" s="38" t="s">
        <v>3149</v>
      </c>
      <c r="G365" s="38" t="s">
        <v>3150</v>
      </c>
      <c r="H365" s="38" t="s">
        <v>54</v>
      </c>
      <c r="I365" s="38" t="s">
        <v>117</v>
      </c>
      <c r="J365" s="38" t="s">
        <v>56</v>
      </c>
      <c r="K365" s="37">
        <v>8.3433E8</v>
      </c>
      <c r="L365" s="38" t="s">
        <v>52</v>
      </c>
      <c r="M365" s="38" t="s">
        <v>1771</v>
      </c>
      <c r="N365" s="38" t="s">
        <v>185</v>
      </c>
      <c r="O365" s="38" t="s">
        <v>4482</v>
      </c>
      <c r="P365" s="37">
        <v>1.5</v>
      </c>
      <c r="Q365" s="38" t="s">
        <v>4483</v>
      </c>
      <c r="R365" s="38" t="s">
        <v>226</v>
      </c>
      <c r="S365" s="38" t="s">
        <v>484</v>
      </c>
      <c r="T365" s="38" t="s">
        <v>115</v>
      </c>
      <c r="U365" s="38" t="s">
        <v>53</v>
      </c>
      <c r="V365" s="38" t="s">
        <v>3151</v>
      </c>
      <c r="W365" s="37">
        <v>1.57</v>
      </c>
    </row>
    <row r="366">
      <c r="A366" s="38" t="s">
        <v>1526</v>
      </c>
      <c r="B366" s="38" t="s">
        <v>1529</v>
      </c>
      <c r="C366" s="38" t="s">
        <v>57</v>
      </c>
      <c r="D366" s="38" t="s">
        <v>185</v>
      </c>
      <c r="E366" s="38" t="s">
        <v>3026</v>
      </c>
      <c r="F366" s="38" t="s">
        <v>3027</v>
      </c>
      <c r="G366" s="38" t="s">
        <v>3028</v>
      </c>
      <c r="H366" s="38" t="s">
        <v>54</v>
      </c>
      <c r="I366" s="38" t="s">
        <v>421</v>
      </c>
      <c r="J366" s="38" t="s">
        <v>56</v>
      </c>
      <c r="K366" s="37">
        <v>5.6189E8</v>
      </c>
      <c r="L366" s="38" t="s">
        <v>52</v>
      </c>
      <c r="M366" s="38" t="s">
        <v>1771</v>
      </c>
      <c r="N366" s="38" t="s">
        <v>185</v>
      </c>
      <c r="O366" s="38" t="s">
        <v>4484</v>
      </c>
      <c r="P366" s="37">
        <v>1.875</v>
      </c>
      <c r="Q366" s="38" t="s">
        <v>4485</v>
      </c>
      <c r="R366" s="38" t="s">
        <v>174</v>
      </c>
      <c r="S366" s="38" t="s">
        <v>190</v>
      </c>
      <c r="T366" s="38" t="s">
        <v>115</v>
      </c>
      <c r="U366" s="38" t="s">
        <v>53</v>
      </c>
      <c r="V366" s="38" t="s">
        <v>3029</v>
      </c>
      <c r="W366" s="37">
        <v>1.89</v>
      </c>
    </row>
    <row r="367">
      <c r="A367" s="38" t="s">
        <v>1059</v>
      </c>
      <c r="B367" s="38" t="s">
        <v>1046</v>
      </c>
      <c r="C367" s="38" t="s">
        <v>71</v>
      </c>
      <c r="D367" s="38" t="s">
        <v>1047</v>
      </c>
      <c r="E367" s="38" t="s">
        <v>3399</v>
      </c>
      <c r="F367" s="38" t="s">
        <v>3400</v>
      </c>
      <c r="G367" s="38" t="s">
        <v>3401</v>
      </c>
      <c r="H367" s="38" t="s">
        <v>54</v>
      </c>
      <c r="I367" s="38" t="s">
        <v>55</v>
      </c>
      <c r="J367" s="38" t="s">
        <v>56</v>
      </c>
      <c r="K367" s="37">
        <v>9.9819E8</v>
      </c>
      <c r="L367" s="38" t="s">
        <v>52</v>
      </c>
      <c r="M367" s="38" t="s">
        <v>174</v>
      </c>
      <c r="N367" s="38" t="s">
        <v>367</v>
      </c>
      <c r="O367" s="38" t="s">
        <v>1622</v>
      </c>
      <c r="P367" s="37">
        <v>7.125</v>
      </c>
      <c r="Q367" s="38" t="s">
        <v>4486</v>
      </c>
      <c r="R367" s="38" t="s">
        <v>174</v>
      </c>
      <c r="S367" s="38" t="s">
        <v>297</v>
      </c>
      <c r="T367" s="38" t="s">
        <v>115</v>
      </c>
      <c r="U367" s="38" t="s">
        <v>263</v>
      </c>
      <c r="V367" s="38" t="s">
        <v>3402</v>
      </c>
      <c r="W367" s="38" t="s">
        <v>54</v>
      </c>
    </row>
    <row r="368">
      <c r="A368" s="38" t="s">
        <v>1122</v>
      </c>
      <c r="B368" s="38" t="s">
        <v>1125</v>
      </c>
      <c r="C368" s="38" t="s">
        <v>57</v>
      </c>
      <c r="D368" s="38" t="s">
        <v>367</v>
      </c>
      <c r="E368" s="38" t="s">
        <v>2867</v>
      </c>
      <c r="F368" s="38" t="s">
        <v>2868</v>
      </c>
      <c r="G368" s="38" t="s">
        <v>2869</v>
      </c>
      <c r="H368" s="38" t="s">
        <v>54</v>
      </c>
      <c r="I368" s="38" t="s">
        <v>133</v>
      </c>
      <c r="J368" s="38" t="s">
        <v>56</v>
      </c>
      <c r="K368" s="37">
        <v>7.12014E8</v>
      </c>
      <c r="L368" s="38" t="s">
        <v>52</v>
      </c>
      <c r="M368" s="38" t="s">
        <v>1771</v>
      </c>
      <c r="N368" s="38" t="s">
        <v>367</v>
      </c>
      <c r="O368" s="38" t="s">
        <v>1622</v>
      </c>
      <c r="P368" s="37">
        <v>0.875</v>
      </c>
      <c r="Q368" s="38" t="s">
        <v>4487</v>
      </c>
      <c r="R368" s="38" t="s">
        <v>226</v>
      </c>
      <c r="S368" s="38" t="s">
        <v>497</v>
      </c>
      <c r="T368" s="38" t="s">
        <v>115</v>
      </c>
      <c r="U368" s="38" t="s">
        <v>53</v>
      </c>
      <c r="V368" s="38" t="s">
        <v>2870</v>
      </c>
      <c r="W368" s="37">
        <v>0.908</v>
      </c>
    </row>
    <row r="369">
      <c r="A369" s="38" t="s">
        <v>872</v>
      </c>
      <c r="B369" s="38" t="s">
        <v>875</v>
      </c>
      <c r="C369" s="38" t="s">
        <v>57</v>
      </c>
      <c r="D369" s="38" t="s">
        <v>186</v>
      </c>
      <c r="E369" s="38" t="s">
        <v>2800</v>
      </c>
      <c r="F369" s="38" t="s">
        <v>2801</v>
      </c>
      <c r="G369" s="38" t="s">
        <v>2802</v>
      </c>
      <c r="H369" s="38" t="s">
        <v>54</v>
      </c>
      <c r="I369" s="38" t="s">
        <v>55</v>
      </c>
      <c r="J369" s="38" t="s">
        <v>56</v>
      </c>
      <c r="K369" s="37">
        <v>5.9264E8</v>
      </c>
      <c r="L369" s="38" t="s">
        <v>52</v>
      </c>
      <c r="M369" s="38" t="s">
        <v>1776</v>
      </c>
      <c r="N369" s="38" t="s">
        <v>595</v>
      </c>
      <c r="O369" s="38" t="s">
        <v>1630</v>
      </c>
      <c r="P369" s="37">
        <v>0.375</v>
      </c>
      <c r="Q369" s="38" t="s">
        <v>1636</v>
      </c>
      <c r="R369" s="38" t="s">
        <v>174</v>
      </c>
      <c r="S369" s="38" t="s">
        <v>175</v>
      </c>
      <c r="T369" s="38" t="s">
        <v>115</v>
      </c>
      <c r="U369" s="38" t="s">
        <v>53</v>
      </c>
      <c r="V369" s="38" t="s">
        <v>2803</v>
      </c>
      <c r="W369" s="37">
        <v>0.357</v>
      </c>
    </row>
    <row r="370">
      <c r="A370" s="38" t="s">
        <v>872</v>
      </c>
      <c r="B370" s="38" t="s">
        <v>875</v>
      </c>
      <c r="C370" s="38" t="s">
        <v>57</v>
      </c>
      <c r="D370" s="38" t="s">
        <v>186</v>
      </c>
      <c r="E370" s="38" t="s">
        <v>2804</v>
      </c>
      <c r="F370" s="38" t="s">
        <v>2805</v>
      </c>
      <c r="G370" s="38" t="s">
        <v>2806</v>
      </c>
      <c r="H370" s="38" t="s">
        <v>54</v>
      </c>
      <c r="I370" s="38" t="s">
        <v>55</v>
      </c>
      <c r="J370" s="38" t="s">
        <v>56</v>
      </c>
      <c r="K370" s="37">
        <v>5.9264E8</v>
      </c>
      <c r="L370" s="38" t="s">
        <v>52</v>
      </c>
      <c r="M370" s="38" t="s">
        <v>1776</v>
      </c>
      <c r="N370" s="38" t="s">
        <v>595</v>
      </c>
      <c r="O370" s="38" t="s">
        <v>1630</v>
      </c>
      <c r="P370" s="37">
        <v>1.0</v>
      </c>
      <c r="Q370" s="38" t="s">
        <v>4488</v>
      </c>
      <c r="R370" s="38" t="s">
        <v>174</v>
      </c>
      <c r="S370" s="38" t="s">
        <v>175</v>
      </c>
      <c r="T370" s="38" t="s">
        <v>115</v>
      </c>
      <c r="U370" s="38" t="s">
        <v>53</v>
      </c>
      <c r="V370" s="38" t="s">
        <v>2807</v>
      </c>
      <c r="W370" s="37">
        <v>0.92</v>
      </c>
    </row>
    <row r="371">
      <c r="A371" s="38" t="s">
        <v>1043</v>
      </c>
      <c r="B371" s="38" t="s">
        <v>1046</v>
      </c>
      <c r="C371" s="38" t="s">
        <v>71</v>
      </c>
      <c r="D371" s="38" t="s">
        <v>1047</v>
      </c>
      <c r="E371" s="38" t="s">
        <v>3359</v>
      </c>
      <c r="F371" s="38" t="s">
        <v>3360</v>
      </c>
      <c r="G371" s="38" t="s">
        <v>3361</v>
      </c>
      <c r="H371" s="38" t="s">
        <v>54</v>
      </c>
      <c r="I371" s="38" t="s">
        <v>55</v>
      </c>
      <c r="J371" s="38" t="s">
        <v>56</v>
      </c>
      <c r="K371" s="37">
        <v>1.18669E9</v>
      </c>
      <c r="L371" s="38" t="s">
        <v>52</v>
      </c>
      <c r="M371" s="38" t="s">
        <v>1776</v>
      </c>
      <c r="N371" s="38" t="s">
        <v>367</v>
      </c>
      <c r="O371" s="38" t="s">
        <v>1622</v>
      </c>
      <c r="P371" s="37">
        <v>6.0</v>
      </c>
      <c r="Q371" s="38" t="s">
        <v>4486</v>
      </c>
      <c r="R371" s="38" t="s">
        <v>174</v>
      </c>
      <c r="S371" s="38" t="s">
        <v>297</v>
      </c>
      <c r="T371" s="38" t="s">
        <v>115</v>
      </c>
      <c r="U371" s="38" t="s">
        <v>53</v>
      </c>
      <c r="V371" s="38" t="s">
        <v>3362</v>
      </c>
      <c r="W371" s="38" t="s">
        <v>54</v>
      </c>
    </row>
    <row r="372">
      <c r="A372" s="38" t="s">
        <v>477</v>
      </c>
      <c r="B372" s="38" t="s">
        <v>480</v>
      </c>
      <c r="C372" s="38" t="s">
        <v>57</v>
      </c>
      <c r="D372" s="38" t="s">
        <v>45</v>
      </c>
      <c r="E372" s="38" t="s">
        <v>2190</v>
      </c>
      <c r="F372" s="38" t="s">
        <v>2191</v>
      </c>
      <c r="G372" s="38" t="s">
        <v>2192</v>
      </c>
      <c r="H372" s="38" t="s">
        <v>54</v>
      </c>
      <c r="I372" s="38" t="s">
        <v>55</v>
      </c>
      <c r="J372" s="38" t="s">
        <v>56</v>
      </c>
      <c r="K372" s="37">
        <v>1.056393E7</v>
      </c>
      <c r="L372" s="38" t="s">
        <v>459</v>
      </c>
      <c r="M372" s="38" t="s">
        <v>1771</v>
      </c>
      <c r="N372" s="38" t="s">
        <v>45</v>
      </c>
      <c r="O372" s="38" t="s">
        <v>4489</v>
      </c>
      <c r="P372" s="37">
        <v>0.13</v>
      </c>
      <c r="Q372" s="38" t="s">
        <v>4490</v>
      </c>
      <c r="R372" s="38" t="s">
        <v>226</v>
      </c>
      <c r="S372" s="38" t="s">
        <v>190</v>
      </c>
      <c r="T372" s="38" t="s">
        <v>115</v>
      </c>
      <c r="U372" s="38" t="s">
        <v>53</v>
      </c>
      <c r="V372" s="38" t="s">
        <v>2193</v>
      </c>
      <c r="W372" s="38" t="s">
        <v>54</v>
      </c>
    </row>
    <row r="373">
      <c r="A373" s="38" t="s">
        <v>41</v>
      </c>
      <c r="B373" s="38" t="s">
        <v>44</v>
      </c>
      <c r="C373" s="38" t="s">
        <v>57</v>
      </c>
      <c r="D373" s="38" t="s">
        <v>45</v>
      </c>
      <c r="E373" s="38" t="s">
        <v>2362</v>
      </c>
      <c r="F373" s="38" t="s">
        <v>2363</v>
      </c>
      <c r="G373" s="38" t="s">
        <v>2364</v>
      </c>
      <c r="H373" s="38" t="s">
        <v>54</v>
      </c>
      <c r="I373" s="38" t="s">
        <v>55</v>
      </c>
      <c r="J373" s="38" t="s">
        <v>56</v>
      </c>
      <c r="K373" s="37">
        <v>1.76172E8</v>
      </c>
      <c r="L373" s="38" t="s">
        <v>52</v>
      </c>
      <c r="M373" s="38" t="s">
        <v>1816</v>
      </c>
      <c r="N373" s="38" t="s">
        <v>45</v>
      </c>
      <c r="O373" s="38" t="s">
        <v>4491</v>
      </c>
      <c r="P373" s="37">
        <v>0.75</v>
      </c>
      <c r="Q373" s="38" t="s">
        <v>4492</v>
      </c>
      <c r="R373" s="38" t="s">
        <v>2365</v>
      </c>
      <c r="S373" s="38" t="s">
        <v>54</v>
      </c>
      <c r="T373" s="38" t="s">
        <v>189</v>
      </c>
      <c r="U373" s="38" t="s">
        <v>53</v>
      </c>
      <c r="V373" s="38" t="s">
        <v>2366</v>
      </c>
      <c r="W373" s="37">
        <v>0.039</v>
      </c>
    </row>
    <row r="374">
      <c r="A374" s="38" t="s">
        <v>477</v>
      </c>
      <c r="B374" s="38" t="s">
        <v>480</v>
      </c>
      <c r="C374" s="38" t="s">
        <v>57</v>
      </c>
      <c r="D374" s="38" t="s">
        <v>45</v>
      </c>
      <c r="E374" s="38" t="s">
        <v>2194</v>
      </c>
      <c r="F374" s="38" t="s">
        <v>2195</v>
      </c>
      <c r="G374" s="38" t="s">
        <v>2196</v>
      </c>
      <c r="H374" s="38" t="s">
        <v>54</v>
      </c>
      <c r="I374" s="38" t="s">
        <v>55</v>
      </c>
      <c r="J374" s="38" t="s">
        <v>1806</v>
      </c>
      <c r="K374" s="37">
        <v>1.77162E7</v>
      </c>
      <c r="L374" s="38" t="s">
        <v>459</v>
      </c>
      <c r="M374" s="38" t="s">
        <v>174</v>
      </c>
      <c r="N374" s="38" t="s">
        <v>45</v>
      </c>
      <c r="O374" s="38" t="s">
        <v>4493</v>
      </c>
      <c r="P374" s="37">
        <v>0.03</v>
      </c>
      <c r="Q374" s="38" t="s">
        <v>4494</v>
      </c>
      <c r="R374" s="38" t="s">
        <v>226</v>
      </c>
      <c r="S374" s="38" t="s">
        <v>190</v>
      </c>
      <c r="T374" s="38" t="s">
        <v>115</v>
      </c>
      <c r="U374" s="38" t="s">
        <v>53</v>
      </c>
      <c r="V374" s="38" t="s">
        <v>2197</v>
      </c>
      <c r="W374" s="38" t="s">
        <v>54</v>
      </c>
    </row>
    <row r="375">
      <c r="A375" s="38" t="s">
        <v>477</v>
      </c>
      <c r="B375" s="38" t="s">
        <v>480</v>
      </c>
      <c r="C375" s="38" t="s">
        <v>57</v>
      </c>
      <c r="D375" s="38" t="s">
        <v>45</v>
      </c>
      <c r="E375" s="38" t="s">
        <v>2198</v>
      </c>
      <c r="F375" s="38" t="s">
        <v>2199</v>
      </c>
      <c r="G375" s="38" t="s">
        <v>2200</v>
      </c>
      <c r="H375" s="37">
        <v>0.055</v>
      </c>
      <c r="I375" s="38" t="s">
        <v>55</v>
      </c>
      <c r="J375" s="38" t="s">
        <v>56</v>
      </c>
      <c r="K375" s="37">
        <v>1.1719E7</v>
      </c>
      <c r="L375" s="38" t="s">
        <v>483</v>
      </c>
      <c r="M375" s="38" t="s">
        <v>1771</v>
      </c>
      <c r="N375" s="38" t="s">
        <v>45</v>
      </c>
      <c r="O375" s="38" t="s">
        <v>4495</v>
      </c>
      <c r="P375" s="37">
        <v>0.055</v>
      </c>
      <c r="Q375" s="38" t="s">
        <v>4496</v>
      </c>
      <c r="R375" s="38" t="s">
        <v>226</v>
      </c>
      <c r="S375" s="38" t="s">
        <v>484</v>
      </c>
      <c r="T375" s="38" t="s">
        <v>49</v>
      </c>
      <c r="U375" s="38" t="s">
        <v>53</v>
      </c>
      <c r="V375" s="38" t="s">
        <v>2201</v>
      </c>
      <c r="W375" s="38" t="s">
        <v>54</v>
      </c>
    </row>
    <row r="376">
      <c r="A376" s="38" t="s">
        <v>814</v>
      </c>
      <c r="B376" s="38" t="s">
        <v>817</v>
      </c>
      <c r="C376" s="38" t="s">
        <v>57</v>
      </c>
      <c r="D376" s="38" t="s">
        <v>185</v>
      </c>
      <c r="E376" s="38" t="s">
        <v>3453</v>
      </c>
      <c r="F376" s="38" t="s">
        <v>174</v>
      </c>
      <c r="G376" s="38" t="s">
        <v>3454</v>
      </c>
      <c r="H376" s="38" t="s">
        <v>54</v>
      </c>
      <c r="I376" s="38" t="s">
        <v>133</v>
      </c>
      <c r="J376" s="38" t="s">
        <v>56</v>
      </c>
      <c r="K376" s="37">
        <v>6.1760148E8</v>
      </c>
      <c r="L376" s="38" t="s">
        <v>52</v>
      </c>
      <c r="M376" s="38" t="s">
        <v>174</v>
      </c>
      <c r="N376" s="38" t="s">
        <v>185</v>
      </c>
      <c r="O376" s="38" t="s">
        <v>4166</v>
      </c>
      <c r="P376" s="37">
        <v>1.291</v>
      </c>
      <c r="Q376" s="38" t="s">
        <v>4167</v>
      </c>
      <c r="R376" s="38" t="s">
        <v>1312</v>
      </c>
      <c r="S376" s="38" t="s">
        <v>54</v>
      </c>
      <c r="T376" s="38" t="s">
        <v>49</v>
      </c>
      <c r="U376" s="38" t="s">
        <v>53</v>
      </c>
      <c r="V376" s="38" t="s">
        <v>3455</v>
      </c>
      <c r="W376" s="38" t="s">
        <v>54</v>
      </c>
    </row>
    <row r="377">
      <c r="A377" s="38" t="s">
        <v>814</v>
      </c>
      <c r="B377" s="38" t="s">
        <v>817</v>
      </c>
      <c r="C377" s="38" t="s">
        <v>57</v>
      </c>
      <c r="D377" s="38" t="s">
        <v>185</v>
      </c>
      <c r="E377" s="38" t="s">
        <v>3456</v>
      </c>
      <c r="F377" s="38" t="s">
        <v>174</v>
      </c>
      <c r="G377" s="38" t="s">
        <v>3457</v>
      </c>
      <c r="H377" s="38" t="s">
        <v>54</v>
      </c>
      <c r="I377" s="38" t="s">
        <v>133</v>
      </c>
      <c r="J377" s="38" t="s">
        <v>56</v>
      </c>
      <c r="K377" s="37">
        <v>6.1760148E8</v>
      </c>
      <c r="L377" s="38" t="s">
        <v>52</v>
      </c>
      <c r="M377" s="38" t="s">
        <v>174</v>
      </c>
      <c r="N377" s="38" t="s">
        <v>185</v>
      </c>
      <c r="O377" s="38" t="s">
        <v>4166</v>
      </c>
      <c r="P377" s="37">
        <v>0.95</v>
      </c>
      <c r="Q377" s="38" t="s">
        <v>4168</v>
      </c>
      <c r="R377" s="38" t="s">
        <v>1316</v>
      </c>
      <c r="S377" s="38" t="s">
        <v>54</v>
      </c>
      <c r="T377" s="38" t="s">
        <v>49</v>
      </c>
      <c r="U377" s="38" t="s">
        <v>53</v>
      </c>
      <c r="V377" s="38" t="s">
        <v>3458</v>
      </c>
      <c r="W377" s="38" t="s">
        <v>54</v>
      </c>
    </row>
    <row r="378">
      <c r="A378" s="38" t="s">
        <v>1626</v>
      </c>
      <c r="B378" s="38" t="s">
        <v>1629</v>
      </c>
      <c r="C378" s="38" t="s">
        <v>57</v>
      </c>
      <c r="D378" s="38" t="s">
        <v>45</v>
      </c>
      <c r="E378" s="38" t="s">
        <v>2717</v>
      </c>
      <c r="F378" s="38" t="s">
        <v>174</v>
      </c>
      <c r="G378" s="38" t="s">
        <v>2718</v>
      </c>
      <c r="H378" s="38" t="s">
        <v>54</v>
      </c>
      <c r="I378" s="38" t="s">
        <v>55</v>
      </c>
      <c r="J378" s="38" t="s">
        <v>56</v>
      </c>
      <c r="K378" s="37">
        <v>6.57498E7</v>
      </c>
      <c r="L378" s="38" t="s">
        <v>52</v>
      </c>
      <c r="M378" s="38" t="s">
        <v>174</v>
      </c>
      <c r="N378" s="38" t="s">
        <v>45</v>
      </c>
      <c r="O378" s="38" t="s">
        <v>4497</v>
      </c>
      <c r="P378" s="37">
        <v>0.0</v>
      </c>
      <c r="Q378" s="38" t="s">
        <v>4498</v>
      </c>
      <c r="R378" s="38" t="s">
        <v>69</v>
      </c>
      <c r="S378" s="38" t="s">
        <v>54</v>
      </c>
      <c r="T378" s="38" t="s">
        <v>49</v>
      </c>
      <c r="U378" s="38" t="s">
        <v>53</v>
      </c>
      <c r="V378" s="38" t="s">
        <v>2719</v>
      </c>
      <c r="W378" s="38" t="s">
        <v>54</v>
      </c>
    </row>
    <row r="379">
      <c r="A379" s="38" t="s">
        <v>1626</v>
      </c>
      <c r="B379" s="38" t="s">
        <v>1629</v>
      </c>
      <c r="C379" s="38" t="s">
        <v>57</v>
      </c>
      <c r="D379" s="38" t="s">
        <v>45</v>
      </c>
      <c r="E379" s="38" t="s">
        <v>2720</v>
      </c>
      <c r="F379" s="38" t="s">
        <v>174</v>
      </c>
      <c r="G379" s="38" t="s">
        <v>2721</v>
      </c>
      <c r="H379" s="38" t="s">
        <v>54</v>
      </c>
      <c r="I379" s="38" t="s">
        <v>55</v>
      </c>
      <c r="J379" s="38" t="s">
        <v>56</v>
      </c>
      <c r="K379" s="37">
        <v>6.57498E7</v>
      </c>
      <c r="L379" s="38" t="s">
        <v>52</v>
      </c>
      <c r="M379" s="38" t="s">
        <v>174</v>
      </c>
      <c r="N379" s="38" t="s">
        <v>45</v>
      </c>
      <c r="O379" s="38" t="s">
        <v>4497</v>
      </c>
      <c r="P379" s="37">
        <v>0.0</v>
      </c>
      <c r="Q379" s="38" t="s">
        <v>4499</v>
      </c>
      <c r="R379" s="38" t="s">
        <v>69</v>
      </c>
      <c r="S379" s="38" t="s">
        <v>54</v>
      </c>
      <c r="T379" s="38" t="s">
        <v>49</v>
      </c>
      <c r="U379" s="38" t="s">
        <v>53</v>
      </c>
      <c r="V379" s="38" t="s">
        <v>2722</v>
      </c>
      <c r="W379" s="38" t="s">
        <v>54</v>
      </c>
    </row>
    <row r="380">
      <c r="A380" s="38" t="s">
        <v>1199</v>
      </c>
      <c r="B380" s="38" t="s">
        <v>1202</v>
      </c>
      <c r="C380" s="38" t="s">
        <v>57</v>
      </c>
      <c r="D380" s="38" t="s">
        <v>1203</v>
      </c>
      <c r="E380" s="38" t="s">
        <v>2947</v>
      </c>
      <c r="F380" s="38" t="s">
        <v>2948</v>
      </c>
      <c r="G380" s="38" t="s">
        <v>2949</v>
      </c>
      <c r="H380" s="38" t="s">
        <v>54</v>
      </c>
      <c r="I380" s="38" t="s">
        <v>55</v>
      </c>
      <c r="J380" s="38" t="s">
        <v>56</v>
      </c>
      <c r="K380" s="37">
        <v>5.56995E7</v>
      </c>
      <c r="L380" s="38" t="s">
        <v>52</v>
      </c>
      <c r="M380" s="38" t="s">
        <v>174</v>
      </c>
      <c r="N380" s="38" t="s">
        <v>1203</v>
      </c>
      <c r="O380" s="38" t="s">
        <v>4500</v>
      </c>
      <c r="P380" s="37">
        <v>2.75</v>
      </c>
      <c r="Q380" s="38" t="s">
        <v>4501</v>
      </c>
      <c r="R380" s="38" t="s">
        <v>174</v>
      </c>
      <c r="S380" s="38" t="s">
        <v>54</v>
      </c>
      <c r="T380" s="38" t="s">
        <v>2950</v>
      </c>
      <c r="U380" s="38" t="s">
        <v>53</v>
      </c>
      <c r="V380" s="38" t="s">
        <v>2951</v>
      </c>
      <c r="W380" s="37">
        <v>2.553</v>
      </c>
    </row>
    <row r="381">
      <c r="A381" s="38" t="s">
        <v>1414</v>
      </c>
      <c r="B381" s="38" t="s">
        <v>1417</v>
      </c>
      <c r="C381" s="38" t="s">
        <v>57</v>
      </c>
      <c r="D381" s="38" t="s">
        <v>200</v>
      </c>
      <c r="E381" s="38" t="s">
        <v>3470</v>
      </c>
      <c r="F381" s="38" t="s">
        <v>3471</v>
      </c>
      <c r="G381" s="38" t="s">
        <v>3472</v>
      </c>
      <c r="H381" s="38" t="s">
        <v>54</v>
      </c>
      <c r="I381" s="38" t="s">
        <v>55</v>
      </c>
      <c r="J381" s="38" t="s">
        <v>56</v>
      </c>
      <c r="K381" s="37">
        <v>2.752225E8</v>
      </c>
      <c r="L381" s="38" t="s">
        <v>52</v>
      </c>
      <c r="M381" s="38" t="s">
        <v>1776</v>
      </c>
      <c r="N381" s="38" t="s">
        <v>200</v>
      </c>
      <c r="O381" s="38" t="s">
        <v>4502</v>
      </c>
      <c r="P381" s="37">
        <v>3.625</v>
      </c>
      <c r="Q381" s="38" t="s">
        <v>4503</v>
      </c>
      <c r="R381" s="38" t="s">
        <v>174</v>
      </c>
      <c r="S381" s="38" t="s">
        <v>190</v>
      </c>
      <c r="T381" s="38" t="s">
        <v>49</v>
      </c>
      <c r="U381" s="38" t="s">
        <v>53</v>
      </c>
      <c r="V381" s="38" t="s">
        <v>3473</v>
      </c>
      <c r="W381" s="37">
        <v>3.978</v>
      </c>
    </row>
    <row r="382">
      <c r="A382" s="38" t="s">
        <v>614</v>
      </c>
      <c r="B382" s="38" t="s">
        <v>617</v>
      </c>
      <c r="C382" s="38" t="s">
        <v>57</v>
      </c>
      <c r="D382" s="38" t="s">
        <v>200</v>
      </c>
      <c r="E382" s="38" t="s">
        <v>2537</v>
      </c>
      <c r="F382" s="38" t="s">
        <v>2538</v>
      </c>
      <c r="G382" s="38" t="s">
        <v>2539</v>
      </c>
      <c r="H382" s="38" t="s">
        <v>54</v>
      </c>
      <c r="I382" s="38" t="s">
        <v>117</v>
      </c>
      <c r="J382" s="38" t="s">
        <v>56</v>
      </c>
      <c r="K382" s="37">
        <v>1.1051E9</v>
      </c>
      <c r="L382" s="38" t="s">
        <v>52</v>
      </c>
      <c r="M382" s="38" t="s">
        <v>1771</v>
      </c>
      <c r="N382" s="38" t="s">
        <v>200</v>
      </c>
      <c r="O382" s="38" t="s">
        <v>4504</v>
      </c>
      <c r="P382" s="37">
        <v>0.625</v>
      </c>
      <c r="Q382" s="38" t="s">
        <v>4505</v>
      </c>
      <c r="R382" s="38" t="s">
        <v>226</v>
      </c>
      <c r="S382" s="38" t="s">
        <v>620</v>
      </c>
      <c r="T382" s="38" t="s">
        <v>49</v>
      </c>
      <c r="U382" s="38" t="s">
        <v>53</v>
      </c>
      <c r="V382" s="38" t="s">
        <v>2540</v>
      </c>
      <c r="W382" s="37">
        <v>0.542</v>
      </c>
    </row>
    <row r="383">
      <c r="A383" s="38" t="s">
        <v>477</v>
      </c>
      <c r="B383" s="38" t="s">
        <v>480</v>
      </c>
      <c r="C383" s="38" t="s">
        <v>57</v>
      </c>
      <c r="D383" s="38" t="s">
        <v>45</v>
      </c>
      <c r="E383" s="38" t="s">
        <v>2202</v>
      </c>
      <c r="F383" s="38" t="s">
        <v>2203</v>
      </c>
      <c r="G383" s="38" t="s">
        <v>2204</v>
      </c>
      <c r="H383" s="38" t="s">
        <v>54</v>
      </c>
      <c r="I383" s="38" t="s">
        <v>55</v>
      </c>
      <c r="J383" s="38" t="s">
        <v>56</v>
      </c>
      <c r="K383" s="37">
        <v>3.3153E7</v>
      </c>
      <c r="L383" s="38" t="s">
        <v>483</v>
      </c>
      <c r="M383" s="38" t="s">
        <v>174</v>
      </c>
      <c r="N383" s="38" t="s">
        <v>45</v>
      </c>
      <c r="O383" s="38" t="s">
        <v>4504</v>
      </c>
      <c r="P383" s="37">
        <v>0.089</v>
      </c>
      <c r="Q383" s="38" t="s">
        <v>4506</v>
      </c>
      <c r="R383" s="38" t="s">
        <v>226</v>
      </c>
      <c r="S383" s="38" t="s">
        <v>484</v>
      </c>
      <c r="T383" s="38" t="s">
        <v>49</v>
      </c>
      <c r="U383" s="38" t="s">
        <v>53</v>
      </c>
      <c r="V383" s="38" t="s">
        <v>2205</v>
      </c>
      <c r="W383" s="38" t="s">
        <v>54</v>
      </c>
    </row>
    <row r="384">
      <c r="A384" s="38" t="s">
        <v>477</v>
      </c>
      <c r="B384" s="38" t="s">
        <v>480</v>
      </c>
      <c r="C384" s="38" t="s">
        <v>392</v>
      </c>
      <c r="D384" s="38" t="s">
        <v>45</v>
      </c>
      <c r="E384" s="38" t="s">
        <v>2206</v>
      </c>
      <c r="F384" s="38" t="s">
        <v>2207</v>
      </c>
      <c r="G384" s="38" t="s">
        <v>2208</v>
      </c>
      <c r="H384" s="38" t="s">
        <v>54</v>
      </c>
      <c r="I384" s="38" t="s">
        <v>55</v>
      </c>
      <c r="J384" s="38" t="s">
        <v>70</v>
      </c>
      <c r="K384" s="37">
        <v>2.20178E7</v>
      </c>
      <c r="L384" s="38" t="s">
        <v>459</v>
      </c>
      <c r="M384" s="38" t="s">
        <v>1771</v>
      </c>
      <c r="N384" s="38" t="s">
        <v>45</v>
      </c>
      <c r="O384" s="38" t="s">
        <v>4502</v>
      </c>
      <c r="P384" s="37">
        <v>0.06999999999999999</v>
      </c>
      <c r="Q384" s="38" t="s">
        <v>4507</v>
      </c>
      <c r="R384" s="38" t="s">
        <v>226</v>
      </c>
      <c r="S384" s="38" t="s">
        <v>190</v>
      </c>
      <c r="T384" s="38" t="s">
        <v>49</v>
      </c>
      <c r="U384" s="38" t="s">
        <v>53</v>
      </c>
      <c r="V384" s="38" t="s">
        <v>2209</v>
      </c>
      <c r="W384" s="38" t="s">
        <v>54</v>
      </c>
    </row>
    <row r="385">
      <c r="A385" s="38" t="s">
        <v>1560</v>
      </c>
      <c r="B385" s="38" t="s">
        <v>1563</v>
      </c>
      <c r="C385" s="38" t="s">
        <v>57</v>
      </c>
      <c r="D385" s="38" t="s">
        <v>258</v>
      </c>
      <c r="E385" s="38" t="s">
        <v>2780</v>
      </c>
      <c r="F385" s="38" t="s">
        <v>2781</v>
      </c>
      <c r="G385" s="38" t="s">
        <v>2782</v>
      </c>
      <c r="H385" s="38" t="s">
        <v>54</v>
      </c>
      <c r="I385" s="38" t="s">
        <v>55</v>
      </c>
      <c r="J385" s="38" t="s">
        <v>56</v>
      </c>
      <c r="K385" s="37">
        <v>1.9395075E8</v>
      </c>
      <c r="L385" s="38" t="s">
        <v>52</v>
      </c>
      <c r="M385" s="38" t="s">
        <v>174</v>
      </c>
      <c r="N385" s="38" t="s">
        <v>367</v>
      </c>
      <c r="O385" s="38" t="s">
        <v>4508</v>
      </c>
      <c r="P385" s="37">
        <v>2.0</v>
      </c>
      <c r="Q385" s="38" t="s">
        <v>4509</v>
      </c>
      <c r="R385" s="38" t="s">
        <v>174</v>
      </c>
      <c r="S385" s="38" t="s">
        <v>54</v>
      </c>
      <c r="T385" s="38" t="s">
        <v>49</v>
      </c>
      <c r="U385" s="38" t="s">
        <v>53</v>
      </c>
      <c r="V385" s="38" t="s">
        <v>2783</v>
      </c>
      <c r="W385" s="37">
        <v>1.749</v>
      </c>
    </row>
    <row r="386">
      <c r="A386" s="38" t="s">
        <v>1336</v>
      </c>
      <c r="B386" s="38" t="s">
        <v>1339</v>
      </c>
      <c r="C386" s="38" t="s">
        <v>57</v>
      </c>
      <c r="D386" s="38" t="s">
        <v>1340</v>
      </c>
      <c r="E386" s="38" t="s">
        <v>2354</v>
      </c>
      <c r="F386" s="38" t="s">
        <v>2355</v>
      </c>
      <c r="G386" s="38" t="s">
        <v>2356</v>
      </c>
      <c r="H386" s="38" t="s">
        <v>54</v>
      </c>
      <c r="I386" s="38" t="s">
        <v>55</v>
      </c>
      <c r="J386" s="38" t="s">
        <v>56</v>
      </c>
      <c r="K386" s="37">
        <v>3.21865E7</v>
      </c>
      <c r="L386" s="38" t="s">
        <v>52</v>
      </c>
      <c r="M386" s="38" t="s">
        <v>174</v>
      </c>
      <c r="N386" s="38" t="s">
        <v>170</v>
      </c>
      <c r="O386" s="38" t="s">
        <v>4510</v>
      </c>
      <c r="P386" s="37">
        <v>3.014</v>
      </c>
      <c r="Q386" s="38" t="s">
        <v>4511</v>
      </c>
      <c r="R386" s="38" t="s">
        <v>226</v>
      </c>
      <c r="S386" s="38" t="s">
        <v>175</v>
      </c>
      <c r="T386" s="38" t="s">
        <v>49</v>
      </c>
      <c r="U386" s="38" t="s">
        <v>2331</v>
      </c>
      <c r="V386" s="38" t="s">
        <v>2357</v>
      </c>
      <c r="W386" s="38" t="s">
        <v>54</v>
      </c>
    </row>
    <row r="387">
      <c r="A387" s="38" t="s">
        <v>477</v>
      </c>
      <c r="B387" s="38" t="s">
        <v>480</v>
      </c>
      <c r="C387" s="38" t="s">
        <v>57</v>
      </c>
      <c r="D387" s="38" t="s">
        <v>45</v>
      </c>
      <c r="E387" s="38" t="s">
        <v>2210</v>
      </c>
      <c r="F387" s="38" t="s">
        <v>2211</v>
      </c>
      <c r="G387" s="38" t="s">
        <v>2212</v>
      </c>
      <c r="H387" s="38" t="s">
        <v>54</v>
      </c>
      <c r="I387" s="38" t="s">
        <v>55</v>
      </c>
      <c r="J387" s="38" t="s">
        <v>56</v>
      </c>
      <c r="K387" s="37">
        <v>5.4161E8</v>
      </c>
      <c r="L387" s="38" t="s">
        <v>459</v>
      </c>
      <c r="M387" s="38" t="s">
        <v>174</v>
      </c>
      <c r="N387" s="38" t="s">
        <v>45</v>
      </c>
      <c r="O387" s="38" t="s">
        <v>4512</v>
      </c>
      <c r="P387" s="37">
        <v>0.01</v>
      </c>
      <c r="Q387" s="38" t="s">
        <v>4513</v>
      </c>
      <c r="R387" s="38" t="s">
        <v>174</v>
      </c>
      <c r="S387" s="38" t="s">
        <v>190</v>
      </c>
      <c r="T387" s="38" t="s">
        <v>49</v>
      </c>
      <c r="U387" s="38" t="s">
        <v>53</v>
      </c>
      <c r="V387" s="38" t="s">
        <v>2213</v>
      </c>
      <c r="W387" s="37">
        <v>-0.23</v>
      </c>
    </row>
    <row r="388">
      <c r="A388" s="38" t="s">
        <v>477</v>
      </c>
      <c r="B388" s="38" t="s">
        <v>480</v>
      </c>
      <c r="C388" s="38" t="s">
        <v>57</v>
      </c>
      <c r="D388" s="38" t="s">
        <v>45</v>
      </c>
      <c r="E388" s="38" t="s">
        <v>2214</v>
      </c>
      <c r="F388" s="38" t="s">
        <v>2215</v>
      </c>
      <c r="G388" s="38" t="s">
        <v>2216</v>
      </c>
      <c r="H388" s="38" t="s">
        <v>54</v>
      </c>
      <c r="I388" s="38" t="s">
        <v>55</v>
      </c>
      <c r="J388" s="38" t="s">
        <v>56</v>
      </c>
      <c r="K388" s="37">
        <v>1.11262E8</v>
      </c>
      <c r="L388" s="38" t="s">
        <v>459</v>
      </c>
      <c r="M388" s="38" t="s">
        <v>174</v>
      </c>
      <c r="N388" s="38" t="s">
        <v>45</v>
      </c>
      <c r="O388" s="38" t="s">
        <v>1693</v>
      </c>
      <c r="P388" s="37">
        <v>0.01</v>
      </c>
      <c r="Q388" s="38" t="s">
        <v>4514</v>
      </c>
      <c r="R388" s="38" t="s">
        <v>226</v>
      </c>
      <c r="S388" s="38" t="s">
        <v>190</v>
      </c>
      <c r="T388" s="38" t="s">
        <v>49</v>
      </c>
      <c r="U388" s="38" t="s">
        <v>53</v>
      </c>
      <c r="V388" s="38" t="s">
        <v>2217</v>
      </c>
      <c r="W388" s="37">
        <v>-0.325</v>
      </c>
    </row>
    <row r="389">
      <c r="A389" s="38" t="s">
        <v>1526</v>
      </c>
      <c r="B389" s="38" t="s">
        <v>1529</v>
      </c>
      <c r="C389" s="38" t="s">
        <v>57</v>
      </c>
      <c r="D389" s="38" t="s">
        <v>185</v>
      </c>
      <c r="E389" s="38" t="s">
        <v>3030</v>
      </c>
      <c r="F389" s="38" t="s">
        <v>3031</v>
      </c>
      <c r="G389" s="38" t="s">
        <v>3032</v>
      </c>
      <c r="H389" s="38" t="s">
        <v>54</v>
      </c>
      <c r="I389" s="38" t="s">
        <v>421</v>
      </c>
      <c r="J389" s="38" t="s">
        <v>56</v>
      </c>
      <c r="K389" s="37">
        <v>5.5534E8</v>
      </c>
      <c r="L389" s="38" t="s">
        <v>52</v>
      </c>
      <c r="M389" s="38" t="s">
        <v>1771</v>
      </c>
      <c r="N389" s="38" t="s">
        <v>185</v>
      </c>
      <c r="O389" s="38" t="s">
        <v>4515</v>
      </c>
      <c r="P389" s="37">
        <v>0.0</v>
      </c>
      <c r="Q389" s="38" t="s">
        <v>4516</v>
      </c>
      <c r="R389" s="38" t="s">
        <v>174</v>
      </c>
      <c r="S389" s="38" t="s">
        <v>620</v>
      </c>
      <c r="T389" s="38" t="s">
        <v>115</v>
      </c>
      <c r="U389" s="38" t="s">
        <v>53</v>
      </c>
      <c r="V389" s="38" t="s">
        <v>3033</v>
      </c>
      <c r="W389" s="37">
        <v>-0.073</v>
      </c>
    </row>
    <row r="390">
      <c r="A390" s="38" t="s">
        <v>1526</v>
      </c>
      <c r="B390" s="38" t="s">
        <v>1529</v>
      </c>
      <c r="C390" s="38" t="s">
        <v>57</v>
      </c>
      <c r="D390" s="38" t="s">
        <v>185</v>
      </c>
      <c r="E390" s="38" t="s">
        <v>3034</v>
      </c>
      <c r="F390" s="38" t="s">
        <v>3035</v>
      </c>
      <c r="G390" s="38" t="s">
        <v>3036</v>
      </c>
      <c r="H390" s="38" t="s">
        <v>54</v>
      </c>
      <c r="I390" s="38" t="s">
        <v>421</v>
      </c>
      <c r="J390" s="38" t="s">
        <v>56</v>
      </c>
      <c r="K390" s="37">
        <v>5.5534E8</v>
      </c>
      <c r="L390" s="38" t="s">
        <v>52</v>
      </c>
      <c r="M390" s="38" t="s">
        <v>1771</v>
      </c>
      <c r="N390" s="38" t="s">
        <v>185</v>
      </c>
      <c r="O390" s="38" t="s">
        <v>4515</v>
      </c>
      <c r="P390" s="37">
        <v>0.5</v>
      </c>
      <c r="Q390" s="38" t="s">
        <v>4517</v>
      </c>
      <c r="R390" s="38" t="s">
        <v>174</v>
      </c>
      <c r="S390" s="38" t="s">
        <v>620</v>
      </c>
      <c r="T390" s="38" t="s">
        <v>115</v>
      </c>
      <c r="U390" s="38" t="s">
        <v>53</v>
      </c>
      <c r="V390" s="38" t="s">
        <v>3037</v>
      </c>
      <c r="W390" s="37">
        <v>0.38</v>
      </c>
    </row>
    <row r="391">
      <c r="A391" s="38" t="s">
        <v>1526</v>
      </c>
      <c r="B391" s="38" t="s">
        <v>1529</v>
      </c>
      <c r="C391" s="38" t="s">
        <v>57</v>
      </c>
      <c r="D391" s="38" t="s">
        <v>185</v>
      </c>
      <c r="E391" s="38" t="s">
        <v>3038</v>
      </c>
      <c r="F391" s="38" t="s">
        <v>3039</v>
      </c>
      <c r="G391" s="38" t="s">
        <v>3040</v>
      </c>
      <c r="H391" s="38" t="s">
        <v>54</v>
      </c>
      <c r="I391" s="38" t="s">
        <v>421</v>
      </c>
      <c r="J391" s="38" t="s">
        <v>56</v>
      </c>
      <c r="K391" s="37">
        <v>5.5534E8</v>
      </c>
      <c r="L391" s="38" t="s">
        <v>52</v>
      </c>
      <c r="M391" s="38" t="s">
        <v>1771</v>
      </c>
      <c r="N391" s="38" t="s">
        <v>185</v>
      </c>
      <c r="O391" s="38" t="s">
        <v>4515</v>
      </c>
      <c r="P391" s="37">
        <v>0.875</v>
      </c>
      <c r="Q391" s="38" t="s">
        <v>4518</v>
      </c>
      <c r="R391" s="38" t="s">
        <v>174</v>
      </c>
      <c r="S391" s="38" t="s">
        <v>620</v>
      </c>
      <c r="T391" s="38" t="s">
        <v>115</v>
      </c>
      <c r="U391" s="38" t="s">
        <v>53</v>
      </c>
      <c r="V391" s="38" t="s">
        <v>3041</v>
      </c>
      <c r="W391" s="37">
        <v>0.781</v>
      </c>
    </row>
    <row r="392">
      <c r="A392" s="38" t="s">
        <v>1199</v>
      </c>
      <c r="B392" s="38" t="s">
        <v>1202</v>
      </c>
      <c r="C392" s="38" t="s">
        <v>71</v>
      </c>
      <c r="D392" s="38" t="s">
        <v>1203</v>
      </c>
      <c r="E392" s="38" t="s">
        <v>2952</v>
      </c>
      <c r="F392" s="38" t="s">
        <v>2953</v>
      </c>
      <c r="G392" s="38" t="s">
        <v>2954</v>
      </c>
      <c r="H392" s="38" t="s">
        <v>54</v>
      </c>
      <c r="I392" s="38" t="s">
        <v>55</v>
      </c>
      <c r="J392" s="38" t="s">
        <v>56</v>
      </c>
      <c r="K392" s="37">
        <v>1.86756644175E8</v>
      </c>
      <c r="L392" s="38" t="s">
        <v>52</v>
      </c>
      <c r="M392" s="38" t="s">
        <v>174</v>
      </c>
      <c r="N392" s="38" t="s">
        <v>1203</v>
      </c>
      <c r="O392" s="38" t="s">
        <v>4519</v>
      </c>
      <c r="P392" s="37">
        <v>4.375</v>
      </c>
      <c r="Q392" s="38" t="s">
        <v>4520</v>
      </c>
      <c r="R392" s="38" t="s">
        <v>174</v>
      </c>
      <c r="S392" s="38" t="s">
        <v>54</v>
      </c>
      <c r="T392" s="38" t="s">
        <v>1206</v>
      </c>
      <c r="U392" s="38" t="s">
        <v>53</v>
      </c>
      <c r="V392" s="38" t="s">
        <v>2956</v>
      </c>
      <c r="W392" s="38" t="s">
        <v>54</v>
      </c>
    </row>
    <row r="393">
      <c r="A393" s="38" t="s">
        <v>1067</v>
      </c>
      <c r="B393" s="38" t="s">
        <v>1070</v>
      </c>
      <c r="C393" s="38" t="s">
        <v>174</v>
      </c>
      <c r="D393" s="38" t="s">
        <v>185</v>
      </c>
      <c r="E393" s="38" t="s">
        <v>1854</v>
      </c>
      <c r="F393" s="38" t="s">
        <v>1855</v>
      </c>
      <c r="G393" s="38" t="s">
        <v>1856</v>
      </c>
      <c r="H393" s="38" t="s">
        <v>54</v>
      </c>
      <c r="I393" s="38" t="s">
        <v>55</v>
      </c>
      <c r="J393" s="38" t="s">
        <v>676</v>
      </c>
      <c r="K393" s="37">
        <v>5.53305E8</v>
      </c>
      <c r="L393" s="38" t="s">
        <v>52</v>
      </c>
      <c r="M393" s="38" t="s">
        <v>1776</v>
      </c>
      <c r="N393" s="38" t="s">
        <v>185</v>
      </c>
      <c r="O393" s="38" t="s">
        <v>4521</v>
      </c>
      <c r="P393" s="37">
        <v>0.0</v>
      </c>
      <c r="Q393" s="38" t="s">
        <v>4522</v>
      </c>
      <c r="R393" s="38" t="s">
        <v>174</v>
      </c>
      <c r="S393" s="38" t="s">
        <v>54</v>
      </c>
      <c r="T393" s="38" t="s">
        <v>189</v>
      </c>
      <c r="U393" s="38" t="s">
        <v>53</v>
      </c>
      <c r="V393" s="38" t="s">
        <v>1857</v>
      </c>
      <c r="W393" s="37">
        <v>-2.198</v>
      </c>
    </row>
    <row r="394">
      <c r="A394" s="38" t="s">
        <v>529</v>
      </c>
      <c r="B394" s="38" t="s">
        <v>532</v>
      </c>
      <c r="C394" s="38" t="s">
        <v>57</v>
      </c>
      <c r="D394" s="38" t="s">
        <v>258</v>
      </c>
      <c r="E394" s="38" t="s">
        <v>3423</v>
      </c>
      <c r="F394" s="38" t="s">
        <v>3424</v>
      </c>
      <c r="G394" s="38" t="s">
        <v>3425</v>
      </c>
      <c r="H394" s="38" t="s">
        <v>54</v>
      </c>
      <c r="I394" s="38" t="s">
        <v>55</v>
      </c>
      <c r="J394" s="38" t="s">
        <v>56</v>
      </c>
      <c r="K394" s="37">
        <v>1.319892E8</v>
      </c>
      <c r="L394" s="38" t="s">
        <v>52</v>
      </c>
      <c r="M394" s="38" t="s">
        <v>174</v>
      </c>
      <c r="N394" s="38" t="s">
        <v>258</v>
      </c>
      <c r="O394" s="38" t="s">
        <v>4523</v>
      </c>
      <c r="P394" s="37">
        <v>2.75</v>
      </c>
      <c r="Q394" s="38" t="s">
        <v>4524</v>
      </c>
      <c r="R394" s="38" t="s">
        <v>174</v>
      </c>
      <c r="S394" s="38" t="s">
        <v>54</v>
      </c>
      <c r="T394" s="38" t="s">
        <v>49</v>
      </c>
      <c r="U394" s="38" t="s">
        <v>53</v>
      </c>
      <c r="V394" s="38" t="s">
        <v>3426</v>
      </c>
      <c r="W394" s="37">
        <v>2.131</v>
      </c>
    </row>
    <row r="395">
      <c r="A395" s="38" t="s">
        <v>1059</v>
      </c>
      <c r="B395" s="38" t="s">
        <v>1046</v>
      </c>
      <c r="C395" s="38" t="s">
        <v>71</v>
      </c>
      <c r="D395" s="38" t="s">
        <v>1047</v>
      </c>
      <c r="E395" s="38" t="s">
        <v>3403</v>
      </c>
      <c r="F395" s="38" t="s">
        <v>3404</v>
      </c>
      <c r="G395" s="38" t="s">
        <v>3405</v>
      </c>
      <c r="H395" s="37">
        <v>7.125</v>
      </c>
      <c r="I395" s="38" t="s">
        <v>55</v>
      </c>
      <c r="J395" s="38" t="s">
        <v>56</v>
      </c>
      <c r="K395" s="37">
        <v>1.0E9</v>
      </c>
      <c r="L395" s="38" t="s">
        <v>52</v>
      </c>
      <c r="M395" s="38" t="s">
        <v>1771</v>
      </c>
      <c r="N395" s="38" t="s">
        <v>367</v>
      </c>
      <c r="O395" s="38" t="s">
        <v>4525</v>
      </c>
      <c r="P395" s="37">
        <v>7.125</v>
      </c>
      <c r="Q395" s="38" t="s">
        <v>4486</v>
      </c>
      <c r="R395" s="38" t="s">
        <v>262</v>
      </c>
      <c r="S395" s="38" t="s">
        <v>297</v>
      </c>
      <c r="T395" s="38" t="s">
        <v>115</v>
      </c>
      <c r="U395" s="38" t="s">
        <v>263</v>
      </c>
      <c r="V395" s="38" t="s">
        <v>3406</v>
      </c>
      <c r="W395" s="37">
        <v>6.75</v>
      </c>
    </row>
    <row r="396">
      <c r="A396" s="38" t="s">
        <v>1059</v>
      </c>
      <c r="B396" s="38" t="s">
        <v>1046</v>
      </c>
      <c r="C396" s="38" t="s">
        <v>71</v>
      </c>
      <c r="D396" s="38" t="s">
        <v>1047</v>
      </c>
      <c r="E396" s="38" t="s">
        <v>3407</v>
      </c>
      <c r="F396" s="38" t="s">
        <v>3408</v>
      </c>
      <c r="G396" s="38" t="s">
        <v>3409</v>
      </c>
      <c r="H396" s="37">
        <v>7.125</v>
      </c>
      <c r="I396" s="38" t="s">
        <v>55</v>
      </c>
      <c r="J396" s="38" t="s">
        <v>56</v>
      </c>
      <c r="K396" s="37">
        <v>1.0E9</v>
      </c>
      <c r="L396" s="38" t="s">
        <v>52</v>
      </c>
      <c r="M396" s="38" t="s">
        <v>1771</v>
      </c>
      <c r="N396" s="38" t="s">
        <v>367</v>
      </c>
      <c r="O396" s="38" t="s">
        <v>4525</v>
      </c>
      <c r="P396" s="37">
        <v>7.125</v>
      </c>
      <c r="Q396" s="38" t="s">
        <v>4486</v>
      </c>
      <c r="R396" s="38" t="s">
        <v>271</v>
      </c>
      <c r="S396" s="38" t="s">
        <v>297</v>
      </c>
      <c r="T396" s="38" t="s">
        <v>115</v>
      </c>
      <c r="U396" s="38" t="s">
        <v>263</v>
      </c>
      <c r="V396" s="38" t="s">
        <v>3410</v>
      </c>
      <c r="W396" s="37">
        <v>6.746</v>
      </c>
    </row>
    <row r="397">
      <c r="A397" s="38" t="s">
        <v>1076</v>
      </c>
      <c r="B397" s="38" t="s">
        <v>1079</v>
      </c>
      <c r="C397" s="38" t="s">
        <v>71</v>
      </c>
      <c r="D397" s="38" t="s">
        <v>185</v>
      </c>
      <c r="E397" s="38" t="s">
        <v>2579</v>
      </c>
      <c r="F397" s="38" t="s">
        <v>2580</v>
      </c>
      <c r="G397" s="38" t="s">
        <v>2581</v>
      </c>
      <c r="H397" s="38" t="s">
        <v>54</v>
      </c>
      <c r="I397" s="38" t="s">
        <v>885</v>
      </c>
      <c r="J397" s="38" t="s">
        <v>56</v>
      </c>
      <c r="K397" s="37">
        <v>9.790178E8</v>
      </c>
      <c r="L397" s="38" t="s">
        <v>52</v>
      </c>
      <c r="M397" s="38" t="s">
        <v>1840</v>
      </c>
      <c r="N397" s="38" t="s">
        <v>185</v>
      </c>
      <c r="O397" s="38" t="s">
        <v>4526</v>
      </c>
      <c r="P397" s="37">
        <v>2.375</v>
      </c>
      <c r="Q397" s="38" t="s">
        <v>4527</v>
      </c>
      <c r="R397" s="38" t="s">
        <v>174</v>
      </c>
      <c r="S397" s="38" t="s">
        <v>885</v>
      </c>
      <c r="T397" s="38" t="s">
        <v>115</v>
      </c>
      <c r="U397" s="38" t="s">
        <v>53</v>
      </c>
      <c r="V397" s="38" t="s">
        <v>2582</v>
      </c>
      <c r="W397" s="37">
        <v>2.168</v>
      </c>
    </row>
    <row r="398">
      <c r="A398" s="38" t="s">
        <v>166</v>
      </c>
      <c r="B398" s="38" t="s">
        <v>169</v>
      </c>
      <c r="C398" s="38" t="s">
        <v>57</v>
      </c>
      <c r="D398" s="38" t="s">
        <v>171</v>
      </c>
      <c r="E398" s="38" t="s">
        <v>2679</v>
      </c>
      <c r="F398" s="38" t="s">
        <v>2680</v>
      </c>
      <c r="G398" s="38" t="s">
        <v>2681</v>
      </c>
      <c r="H398" s="38" t="s">
        <v>54</v>
      </c>
      <c r="I398" s="38" t="s">
        <v>55</v>
      </c>
      <c r="J398" s="38" t="s">
        <v>56</v>
      </c>
      <c r="K398" s="37">
        <v>5.5081E8</v>
      </c>
      <c r="L398" s="38" t="s">
        <v>52</v>
      </c>
      <c r="M398" s="38" t="s">
        <v>1771</v>
      </c>
      <c r="N398" s="38" t="s">
        <v>170</v>
      </c>
      <c r="O398" s="38" t="s">
        <v>4528</v>
      </c>
      <c r="P398" s="37">
        <v>0.5</v>
      </c>
      <c r="Q398" s="38" t="s">
        <v>4529</v>
      </c>
      <c r="R398" s="38" t="s">
        <v>226</v>
      </c>
      <c r="S398" s="38" t="s">
        <v>175</v>
      </c>
      <c r="T398" s="38" t="s">
        <v>115</v>
      </c>
      <c r="U398" s="38" t="s">
        <v>53</v>
      </c>
      <c r="V398" s="38" t="s">
        <v>2682</v>
      </c>
      <c r="W398" s="37">
        <v>0.597</v>
      </c>
    </row>
    <row r="399">
      <c r="A399" s="38" t="s">
        <v>127</v>
      </c>
      <c r="B399" s="38" t="s">
        <v>130</v>
      </c>
      <c r="C399" s="38" t="s">
        <v>57</v>
      </c>
      <c r="D399" s="38" t="s">
        <v>45</v>
      </c>
      <c r="E399" s="38" t="s">
        <v>3070</v>
      </c>
      <c r="F399" s="38" t="s">
        <v>174</v>
      </c>
      <c r="G399" s="38" t="s">
        <v>3071</v>
      </c>
      <c r="H399" s="38" t="s">
        <v>54</v>
      </c>
      <c r="I399" s="38" t="s">
        <v>133</v>
      </c>
      <c r="J399" s="38" t="s">
        <v>56</v>
      </c>
      <c r="K399" s="37">
        <v>7.79163E7</v>
      </c>
      <c r="L399" s="38" t="s">
        <v>52</v>
      </c>
      <c r="M399" s="38" t="s">
        <v>1771</v>
      </c>
      <c r="N399" s="38" t="s">
        <v>45</v>
      </c>
      <c r="O399" s="38" t="s">
        <v>4530</v>
      </c>
      <c r="P399" s="37">
        <v>0.0</v>
      </c>
      <c r="Q399" s="38" t="s">
        <v>161</v>
      </c>
      <c r="R399" s="38" t="s">
        <v>104</v>
      </c>
      <c r="S399" s="38" t="s">
        <v>54</v>
      </c>
      <c r="T399" s="38" t="s">
        <v>49</v>
      </c>
      <c r="U399" s="38" t="s">
        <v>53</v>
      </c>
      <c r="V399" s="38" t="s">
        <v>3072</v>
      </c>
      <c r="W399" s="38" t="s">
        <v>54</v>
      </c>
    </row>
    <row r="400">
      <c r="A400" s="38" t="s">
        <v>127</v>
      </c>
      <c r="B400" s="38" t="s">
        <v>130</v>
      </c>
      <c r="C400" s="38" t="s">
        <v>71</v>
      </c>
      <c r="D400" s="38" t="s">
        <v>45</v>
      </c>
      <c r="E400" s="38" t="s">
        <v>3073</v>
      </c>
      <c r="F400" s="38" t="s">
        <v>174</v>
      </c>
      <c r="G400" s="38" t="s">
        <v>3074</v>
      </c>
      <c r="H400" s="38" t="s">
        <v>54</v>
      </c>
      <c r="I400" s="38" t="s">
        <v>133</v>
      </c>
      <c r="J400" s="38" t="s">
        <v>70</v>
      </c>
      <c r="K400" s="37">
        <v>7.79163E7</v>
      </c>
      <c r="L400" s="38" t="s">
        <v>52</v>
      </c>
      <c r="M400" s="38" t="s">
        <v>1771</v>
      </c>
      <c r="N400" s="38" t="s">
        <v>45</v>
      </c>
      <c r="O400" s="38" t="s">
        <v>4530</v>
      </c>
      <c r="P400" s="37">
        <v>0.0</v>
      </c>
      <c r="Q400" s="38" t="s">
        <v>161</v>
      </c>
      <c r="R400" s="38" t="s">
        <v>94</v>
      </c>
      <c r="S400" s="38" t="s">
        <v>54</v>
      </c>
      <c r="T400" s="38" t="s">
        <v>49</v>
      </c>
      <c r="U400" s="38" t="s">
        <v>53</v>
      </c>
      <c r="V400" s="38" t="s">
        <v>3075</v>
      </c>
      <c r="W400" s="38" t="s">
        <v>54</v>
      </c>
    </row>
    <row r="401">
      <c r="A401" s="38" t="s">
        <v>477</v>
      </c>
      <c r="B401" s="38" t="s">
        <v>480</v>
      </c>
      <c r="C401" s="38" t="s">
        <v>392</v>
      </c>
      <c r="D401" s="38" t="s">
        <v>45</v>
      </c>
      <c r="E401" s="38" t="s">
        <v>2218</v>
      </c>
      <c r="F401" s="38" t="s">
        <v>2219</v>
      </c>
      <c r="G401" s="38" t="s">
        <v>2220</v>
      </c>
      <c r="H401" s="38" t="s">
        <v>54</v>
      </c>
      <c r="I401" s="38" t="s">
        <v>55</v>
      </c>
      <c r="J401" s="38" t="s">
        <v>70</v>
      </c>
      <c r="K401" s="37">
        <v>4.6774225E8</v>
      </c>
      <c r="L401" s="38" t="s">
        <v>459</v>
      </c>
      <c r="M401" s="38" t="s">
        <v>174</v>
      </c>
      <c r="N401" s="38" t="s">
        <v>45</v>
      </c>
      <c r="O401" s="38" t="s">
        <v>4525</v>
      </c>
      <c r="P401" s="37">
        <v>0.0</v>
      </c>
      <c r="Q401" s="38" t="s">
        <v>4531</v>
      </c>
      <c r="R401" s="38" t="s">
        <v>226</v>
      </c>
      <c r="S401" s="38" t="s">
        <v>190</v>
      </c>
      <c r="T401" s="38" t="s">
        <v>49</v>
      </c>
      <c r="U401" s="38" t="s">
        <v>53</v>
      </c>
      <c r="V401" s="38" t="s">
        <v>2221</v>
      </c>
      <c r="W401" s="37">
        <v>-0.005</v>
      </c>
    </row>
    <row r="402">
      <c r="A402" s="38" t="s">
        <v>477</v>
      </c>
      <c r="B402" s="38" t="s">
        <v>480</v>
      </c>
      <c r="C402" s="38" t="s">
        <v>57</v>
      </c>
      <c r="D402" s="38" t="s">
        <v>45</v>
      </c>
      <c r="E402" s="38" t="s">
        <v>2222</v>
      </c>
      <c r="F402" s="38" t="s">
        <v>2223</v>
      </c>
      <c r="G402" s="38" t="s">
        <v>2224</v>
      </c>
      <c r="H402" s="38" t="s">
        <v>54</v>
      </c>
      <c r="I402" s="38" t="s">
        <v>55</v>
      </c>
      <c r="J402" s="38" t="s">
        <v>56</v>
      </c>
      <c r="K402" s="37">
        <v>4.975605E7</v>
      </c>
      <c r="L402" s="38" t="s">
        <v>2012</v>
      </c>
      <c r="M402" s="38" t="s">
        <v>2013</v>
      </c>
      <c r="N402" s="38" t="s">
        <v>45</v>
      </c>
      <c r="O402" s="38" t="s">
        <v>1708</v>
      </c>
      <c r="P402" s="37">
        <v>1.157</v>
      </c>
      <c r="Q402" s="38" t="s">
        <v>4532</v>
      </c>
      <c r="R402" s="38" t="s">
        <v>174</v>
      </c>
      <c r="S402" s="38" t="s">
        <v>117</v>
      </c>
      <c r="T402" s="38" t="s">
        <v>49</v>
      </c>
      <c r="U402" s="38" t="s">
        <v>53</v>
      </c>
      <c r="V402" s="38" t="s">
        <v>2225</v>
      </c>
      <c r="W402" s="38" t="s">
        <v>54</v>
      </c>
    </row>
    <row r="403">
      <c r="A403" s="38" t="s">
        <v>1560</v>
      </c>
      <c r="B403" s="38" t="s">
        <v>1563</v>
      </c>
      <c r="C403" s="38" t="s">
        <v>57</v>
      </c>
      <c r="D403" s="38" t="s">
        <v>258</v>
      </c>
      <c r="E403" s="38" t="s">
        <v>2784</v>
      </c>
      <c r="F403" s="38" t="s">
        <v>2785</v>
      </c>
      <c r="G403" s="38" t="s">
        <v>2786</v>
      </c>
      <c r="H403" s="38" t="s">
        <v>54</v>
      </c>
      <c r="I403" s="38" t="s">
        <v>55</v>
      </c>
      <c r="J403" s="38" t="s">
        <v>56</v>
      </c>
      <c r="K403" s="37">
        <v>8.338725E8</v>
      </c>
      <c r="L403" s="38" t="s">
        <v>52</v>
      </c>
      <c r="M403" s="38" t="s">
        <v>1776</v>
      </c>
      <c r="N403" s="38" t="s">
        <v>367</v>
      </c>
      <c r="O403" s="38" t="s">
        <v>4533</v>
      </c>
      <c r="P403" s="37">
        <v>1.0</v>
      </c>
      <c r="Q403" s="38" t="s">
        <v>4534</v>
      </c>
      <c r="R403" s="38" t="s">
        <v>174</v>
      </c>
      <c r="S403" s="38" t="s">
        <v>175</v>
      </c>
      <c r="T403" s="38" t="s">
        <v>49</v>
      </c>
      <c r="U403" s="38" t="s">
        <v>53</v>
      </c>
      <c r="V403" s="38" t="s">
        <v>2787</v>
      </c>
      <c r="W403" s="37">
        <v>0.9</v>
      </c>
    </row>
    <row r="404">
      <c r="A404" s="38" t="s">
        <v>1560</v>
      </c>
      <c r="B404" s="38" t="s">
        <v>1563</v>
      </c>
      <c r="C404" s="38" t="s">
        <v>57</v>
      </c>
      <c r="D404" s="38" t="s">
        <v>258</v>
      </c>
      <c r="E404" s="38" t="s">
        <v>2788</v>
      </c>
      <c r="F404" s="38" t="s">
        <v>2789</v>
      </c>
      <c r="G404" s="38" t="s">
        <v>2790</v>
      </c>
      <c r="H404" s="38" t="s">
        <v>54</v>
      </c>
      <c r="I404" s="38" t="s">
        <v>55</v>
      </c>
      <c r="J404" s="38" t="s">
        <v>56</v>
      </c>
      <c r="K404" s="37">
        <v>8.338725E8</v>
      </c>
      <c r="L404" s="38" t="s">
        <v>52</v>
      </c>
      <c r="M404" s="38" t="s">
        <v>1771</v>
      </c>
      <c r="N404" s="38" t="s">
        <v>367</v>
      </c>
      <c r="O404" s="38" t="s">
        <v>4533</v>
      </c>
      <c r="P404" s="37">
        <v>2.25</v>
      </c>
      <c r="Q404" s="38" t="s">
        <v>4509</v>
      </c>
      <c r="R404" s="38" t="s">
        <v>174</v>
      </c>
      <c r="S404" s="38" t="s">
        <v>175</v>
      </c>
      <c r="T404" s="38" t="s">
        <v>49</v>
      </c>
      <c r="U404" s="38" t="s">
        <v>53</v>
      </c>
      <c r="V404" s="38" t="s">
        <v>2791</v>
      </c>
      <c r="W404" s="37">
        <v>2.181</v>
      </c>
    </row>
    <row r="405">
      <c r="A405" s="38" t="s">
        <v>477</v>
      </c>
      <c r="B405" s="38" t="s">
        <v>480</v>
      </c>
      <c r="C405" s="38" t="s">
        <v>57</v>
      </c>
      <c r="D405" s="38" t="s">
        <v>45</v>
      </c>
      <c r="E405" s="38" t="s">
        <v>2226</v>
      </c>
      <c r="F405" s="38" t="s">
        <v>2227</v>
      </c>
      <c r="G405" s="38" t="s">
        <v>2228</v>
      </c>
      <c r="H405" s="38" t="s">
        <v>54</v>
      </c>
      <c r="I405" s="38" t="s">
        <v>55</v>
      </c>
      <c r="J405" s="38" t="s">
        <v>56</v>
      </c>
      <c r="K405" s="37">
        <v>1.10967E9</v>
      </c>
      <c r="L405" s="38" t="s">
        <v>459</v>
      </c>
      <c r="M405" s="38" t="s">
        <v>1771</v>
      </c>
      <c r="N405" s="38" t="s">
        <v>45</v>
      </c>
      <c r="O405" s="38" t="s">
        <v>4535</v>
      </c>
      <c r="P405" s="37">
        <v>0.01</v>
      </c>
      <c r="Q405" s="38" t="s">
        <v>4536</v>
      </c>
      <c r="R405" s="38" t="s">
        <v>226</v>
      </c>
      <c r="S405" s="38" t="s">
        <v>190</v>
      </c>
      <c r="T405" s="38" t="s">
        <v>49</v>
      </c>
      <c r="U405" s="38" t="s">
        <v>53</v>
      </c>
      <c r="V405" s="38" t="s">
        <v>2229</v>
      </c>
      <c r="W405" s="37">
        <v>-0.581</v>
      </c>
    </row>
    <row r="406">
      <c r="A406" s="38" t="s">
        <v>671</v>
      </c>
      <c r="B406" s="38" t="s">
        <v>674</v>
      </c>
      <c r="C406" s="38" t="s">
        <v>174</v>
      </c>
      <c r="D406" s="38" t="s">
        <v>185</v>
      </c>
      <c r="E406" s="38" t="s">
        <v>2383</v>
      </c>
      <c r="F406" s="38" t="s">
        <v>2384</v>
      </c>
      <c r="G406" s="38" t="s">
        <v>2385</v>
      </c>
      <c r="H406" s="38" t="s">
        <v>54</v>
      </c>
      <c r="I406" s="38" t="s">
        <v>421</v>
      </c>
      <c r="J406" s="38" t="s">
        <v>676</v>
      </c>
      <c r="K406" s="37">
        <v>5.5177E8</v>
      </c>
      <c r="L406" s="38" t="s">
        <v>52</v>
      </c>
      <c r="M406" s="38" t="s">
        <v>1771</v>
      </c>
      <c r="N406" s="38" t="s">
        <v>185</v>
      </c>
      <c r="O406" s="38" t="s">
        <v>4537</v>
      </c>
      <c r="P406" s="37">
        <v>0.0</v>
      </c>
      <c r="Q406" s="38" t="s">
        <v>4538</v>
      </c>
      <c r="R406" s="38" t="s">
        <v>675</v>
      </c>
      <c r="S406" s="38" t="s">
        <v>54</v>
      </c>
      <c r="T406" s="38" t="s">
        <v>189</v>
      </c>
      <c r="U406" s="38" t="s">
        <v>53</v>
      </c>
      <c r="V406" s="38" t="s">
        <v>2386</v>
      </c>
      <c r="W406" s="37">
        <v>-1.604</v>
      </c>
    </row>
    <row r="407">
      <c r="A407" s="38" t="s">
        <v>1360</v>
      </c>
      <c r="B407" s="38" t="s">
        <v>1363</v>
      </c>
      <c r="C407" s="38" t="s">
        <v>57</v>
      </c>
      <c r="D407" s="38" t="s">
        <v>200</v>
      </c>
      <c r="E407" s="38" t="s">
        <v>3262</v>
      </c>
      <c r="F407" s="38" t="s">
        <v>3263</v>
      </c>
      <c r="G407" s="38" t="s">
        <v>3264</v>
      </c>
      <c r="H407" s="38" t="s">
        <v>54</v>
      </c>
      <c r="I407" s="38" t="s">
        <v>117</v>
      </c>
      <c r="J407" s="38" t="s">
        <v>56</v>
      </c>
      <c r="K407" s="37">
        <v>7.74753E8</v>
      </c>
      <c r="L407" s="38" t="s">
        <v>52</v>
      </c>
      <c r="M407" s="38" t="s">
        <v>1771</v>
      </c>
      <c r="N407" s="38" t="s">
        <v>200</v>
      </c>
      <c r="O407" s="38" t="s">
        <v>4539</v>
      </c>
      <c r="P407" s="37">
        <v>0.0</v>
      </c>
      <c r="Q407" s="38" t="s">
        <v>4540</v>
      </c>
      <c r="R407" s="38" t="s">
        <v>174</v>
      </c>
      <c r="S407" s="38" t="s">
        <v>175</v>
      </c>
      <c r="T407" s="38" t="s">
        <v>115</v>
      </c>
      <c r="U407" s="38" t="s">
        <v>53</v>
      </c>
      <c r="V407" s="38" t="s">
        <v>3265</v>
      </c>
      <c r="W407" s="37">
        <v>0.141</v>
      </c>
    </row>
    <row r="408">
      <c r="A408" s="38" t="s">
        <v>1360</v>
      </c>
      <c r="B408" s="38" t="s">
        <v>1363</v>
      </c>
      <c r="C408" s="38" t="s">
        <v>57</v>
      </c>
      <c r="D408" s="38" t="s">
        <v>200</v>
      </c>
      <c r="E408" s="38" t="s">
        <v>3266</v>
      </c>
      <c r="F408" s="38" t="s">
        <v>3267</v>
      </c>
      <c r="G408" s="38" t="s">
        <v>3268</v>
      </c>
      <c r="H408" s="38" t="s">
        <v>54</v>
      </c>
      <c r="I408" s="38" t="s">
        <v>117</v>
      </c>
      <c r="J408" s="38" t="s">
        <v>56</v>
      </c>
      <c r="K408" s="37">
        <v>6.64074E8</v>
      </c>
      <c r="L408" s="38" t="s">
        <v>52</v>
      </c>
      <c r="M408" s="38" t="s">
        <v>1771</v>
      </c>
      <c r="N408" s="38" t="s">
        <v>200</v>
      </c>
      <c r="O408" s="38" t="s">
        <v>4539</v>
      </c>
      <c r="P408" s="37">
        <v>1.0</v>
      </c>
      <c r="Q408" s="38" t="s">
        <v>4541</v>
      </c>
      <c r="R408" s="38" t="s">
        <v>226</v>
      </c>
      <c r="S408" s="38" t="s">
        <v>175</v>
      </c>
      <c r="T408" s="38" t="s">
        <v>115</v>
      </c>
      <c r="U408" s="38" t="s">
        <v>53</v>
      </c>
      <c r="V408" s="38" t="s">
        <v>3269</v>
      </c>
      <c r="W408" s="37">
        <v>1.112</v>
      </c>
    </row>
    <row r="409">
      <c r="A409" s="38" t="s">
        <v>1209</v>
      </c>
      <c r="B409" s="38" t="s">
        <v>1212</v>
      </c>
      <c r="C409" s="38" t="s">
        <v>392</v>
      </c>
      <c r="D409" s="38" t="s">
        <v>368</v>
      </c>
      <c r="E409" s="38" t="s">
        <v>2930</v>
      </c>
      <c r="F409" s="38" t="s">
        <v>2931</v>
      </c>
      <c r="G409" s="38" t="s">
        <v>2932</v>
      </c>
      <c r="H409" s="38" t="s">
        <v>54</v>
      </c>
      <c r="I409" s="38" t="s">
        <v>55</v>
      </c>
      <c r="J409" s="38" t="s">
        <v>70</v>
      </c>
      <c r="K409" s="37">
        <v>1.805055E8</v>
      </c>
      <c r="L409" s="38" t="s">
        <v>52</v>
      </c>
      <c r="M409" s="38" t="s">
        <v>1771</v>
      </c>
      <c r="N409" s="38" t="s">
        <v>368</v>
      </c>
      <c r="O409" s="38" t="s">
        <v>4542</v>
      </c>
      <c r="P409" s="37">
        <v>1.23</v>
      </c>
      <c r="Q409" s="38" t="s">
        <v>4122</v>
      </c>
      <c r="R409" s="38" t="s">
        <v>686</v>
      </c>
      <c r="S409" s="38" t="s">
        <v>54</v>
      </c>
      <c r="T409" s="38" t="s">
        <v>49</v>
      </c>
      <c r="U409" s="38" t="s">
        <v>687</v>
      </c>
      <c r="V409" s="38" t="s">
        <v>2933</v>
      </c>
      <c r="W409" s="38" t="s">
        <v>54</v>
      </c>
    </row>
    <row r="410">
      <c r="A410" s="38" t="s">
        <v>1225</v>
      </c>
      <c r="B410" s="38" t="s">
        <v>1228</v>
      </c>
      <c r="C410" s="38" t="s">
        <v>57</v>
      </c>
      <c r="D410" s="38" t="s">
        <v>595</v>
      </c>
      <c r="E410" s="38" t="s">
        <v>2819</v>
      </c>
      <c r="F410" s="38" t="s">
        <v>2820</v>
      </c>
      <c r="G410" s="38" t="s">
        <v>2821</v>
      </c>
      <c r="H410" s="38" t="s">
        <v>54</v>
      </c>
      <c r="I410" s="38" t="s">
        <v>55</v>
      </c>
      <c r="J410" s="38" t="s">
        <v>56</v>
      </c>
      <c r="K410" s="37">
        <v>8.255475E8</v>
      </c>
      <c r="L410" s="38" t="s">
        <v>52</v>
      </c>
      <c r="M410" s="38" t="s">
        <v>174</v>
      </c>
      <c r="N410" s="38" t="s">
        <v>595</v>
      </c>
      <c r="O410" s="38" t="s">
        <v>4543</v>
      </c>
      <c r="P410" s="37">
        <v>0.625</v>
      </c>
      <c r="Q410" s="38" t="s">
        <v>4544</v>
      </c>
      <c r="R410" s="38" t="s">
        <v>174</v>
      </c>
      <c r="S410" s="38" t="s">
        <v>175</v>
      </c>
      <c r="T410" s="38" t="s">
        <v>115</v>
      </c>
      <c r="U410" s="38" t="s">
        <v>53</v>
      </c>
      <c r="V410" s="38" t="s">
        <v>2822</v>
      </c>
      <c r="W410" s="37">
        <v>0.688</v>
      </c>
    </row>
    <row r="411">
      <c r="A411" s="38" t="s">
        <v>1133</v>
      </c>
      <c r="B411" s="38" t="s">
        <v>1136</v>
      </c>
      <c r="C411" s="38" t="s">
        <v>57</v>
      </c>
      <c r="D411" s="38" t="s">
        <v>45</v>
      </c>
      <c r="E411" s="38" t="s">
        <v>2611</v>
      </c>
      <c r="F411" s="38" t="s">
        <v>2612</v>
      </c>
      <c r="G411" s="38" t="s">
        <v>2613</v>
      </c>
      <c r="H411" s="38" t="s">
        <v>54</v>
      </c>
      <c r="I411" s="38" t="s">
        <v>421</v>
      </c>
      <c r="J411" s="38" t="s">
        <v>56</v>
      </c>
      <c r="K411" s="37">
        <v>6.14495E8</v>
      </c>
      <c r="L411" s="38" t="s">
        <v>52</v>
      </c>
      <c r="M411" s="38" t="s">
        <v>1771</v>
      </c>
      <c r="N411" s="38" t="s">
        <v>45</v>
      </c>
      <c r="O411" s="38" t="s">
        <v>4545</v>
      </c>
      <c r="P411" s="37">
        <v>1.0</v>
      </c>
      <c r="Q411" s="38" t="s">
        <v>4546</v>
      </c>
      <c r="R411" s="38" t="s">
        <v>174</v>
      </c>
      <c r="S411" s="38" t="s">
        <v>117</v>
      </c>
      <c r="T411" s="38" t="s">
        <v>115</v>
      </c>
      <c r="U411" s="38" t="s">
        <v>1548</v>
      </c>
      <c r="V411" s="38" t="s">
        <v>2614</v>
      </c>
      <c r="W411" s="37">
        <v>0.868</v>
      </c>
    </row>
    <row r="412">
      <c r="A412" s="38" t="s">
        <v>1133</v>
      </c>
      <c r="B412" s="38" t="s">
        <v>1136</v>
      </c>
      <c r="C412" s="38" t="s">
        <v>57</v>
      </c>
      <c r="D412" s="38" t="s">
        <v>45</v>
      </c>
      <c r="E412" s="38" t="s">
        <v>2615</v>
      </c>
      <c r="F412" s="38" t="s">
        <v>2616</v>
      </c>
      <c r="G412" s="38" t="s">
        <v>2617</v>
      </c>
      <c r="H412" s="38" t="s">
        <v>54</v>
      </c>
      <c r="I412" s="38" t="s">
        <v>421</v>
      </c>
      <c r="J412" s="38" t="s">
        <v>56</v>
      </c>
      <c r="K412" s="37">
        <v>4.301465E8</v>
      </c>
      <c r="L412" s="38" t="s">
        <v>52</v>
      </c>
      <c r="M412" s="38" t="s">
        <v>1771</v>
      </c>
      <c r="N412" s="38" t="s">
        <v>45</v>
      </c>
      <c r="O412" s="38" t="s">
        <v>4545</v>
      </c>
      <c r="P412" s="37">
        <v>1.25</v>
      </c>
      <c r="Q412" s="38" t="s">
        <v>4547</v>
      </c>
      <c r="R412" s="38" t="s">
        <v>174</v>
      </c>
      <c r="S412" s="38" t="s">
        <v>117</v>
      </c>
      <c r="T412" s="38" t="s">
        <v>115</v>
      </c>
      <c r="U412" s="38" t="s">
        <v>1548</v>
      </c>
      <c r="V412" s="38" t="s">
        <v>2618</v>
      </c>
      <c r="W412" s="37">
        <v>1.147</v>
      </c>
    </row>
    <row r="413">
      <c r="A413" s="38" t="s">
        <v>947</v>
      </c>
      <c r="B413" s="38" t="s">
        <v>950</v>
      </c>
      <c r="C413" s="38" t="s">
        <v>57</v>
      </c>
      <c r="D413" s="38" t="s">
        <v>367</v>
      </c>
      <c r="E413" s="38" t="s">
        <v>2965</v>
      </c>
      <c r="F413" s="38" t="s">
        <v>2966</v>
      </c>
      <c r="G413" s="38" t="s">
        <v>2967</v>
      </c>
      <c r="H413" s="38" t="s">
        <v>54</v>
      </c>
      <c r="I413" s="38" t="s">
        <v>55</v>
      </c>
      <c r="J413" s="38" t="s">
        <v>56</v>
      </c>
      <c r="K413" s="37">
        <v>5.4914E8</v>
      </c>
      <c r="L413" s="38" t="s">
        <v>52</v>
      </c>
      <c r="M413" s="38" t="s">
        <v>1771</v>
      </c>
      <c r="N413" s="38" t="s">
        <v>367</v>
      </c>
      <c r="O413" s="38" t="s">
        <v>4548</v>
      </c>
      <c r="P413" s="37">
        <v>0.375</v>
      </c>
      <c r="Q413" s="38" t="s">
        <v>4549</v>
      </c>
      <c r="R413" s="38" t="s">
        <v>226</v>
      </c>
      <c r="S413" s="38" t="s">
        <v>190</v>
      </c>
      <c r="T413" s="38" t="s">
        <v>115</v>
      </c>
      <c r="U413" s="38" t="s">
        <v>53</v>
      </c>
      <c r="V413" s="38" t="s">
        <v>2968</v>
      </c>
      <c r="W413" s="37">
        <v>0.36</v>
      </c>
    </row>
    <row r="414">
      <c r="A414" s="38" t="s">
        <v>477</v>
      </c>
      <c r="B414" s="38" t="s">
        <v>480</v>
      </c>
      <c r="C414" s="38" t="s">
        <v>392</v>
      </c>
      <c r="D414" s="38" t="s">
        <v>45</v>
      </c>
      <c r="E414" s="38" t="s">
        <v>2230</v>
      </c>
      <c r="F414" s="38" t="s">
        <v>2231</v>
      </c>
      <c r="G414" s="38" t="s">
        <v>2232</v>
      </c>
      <c r="H414" s="38" t="s">
        <v>54</v>
      </c>
      <c r="I414" s="38" t="s">
        <v>55</v>
      </c>
      <c r="J414" s="38" t="s">
        <v>70</v>
      </c>
      <c r="K414" s="37">
        <v>1.635465E8</v>
      </c>
      <c r="L414" s="38" t="s">
        <v>459</v>
      </c>
      <c r="M414" s="38" t="s">
        <v>174</v>
      </c>
      <c r="N414" s="38" t="s">
        <v>45</v>
      </c>
      <c r="O414" s="38" t="s">
        <v>4545</v>
      </c>
      <c r="P414" s="37">
        <v>0.0</v>
      </c>
      <c r="Q414" s="38" t="s">
        <v>4550</v>
      </c>
      <c r="R414" s="38" t="s">
        <v>226</v>
      </c>
      <c r="S414" s="38" t="s">
        <v>190</v>
      </c>
      <c r="T414" s="38" t="s">
        <v>49</v>
      </c>
      <c r="U414" s="38" t="s">
        <v>53</v>
      </c>
      <c r="V414" s="38" t="s">
        <v>2233</v>
      </c>
      <c r="W414" s="38" t="s">
        <v>54</v>
      </c>
    </row>
    <row r="415">
      <c r="A415" s="38" t="s">
        <v>614</v>
      </c>
      <c r="B415" s="38" t="s">
        <v>617</v>
      </c>
      <c r="C415" s="38" t="s">
        <v>57</v>
      </c>
      <c r="D415" s="38" t="s">
        <v>200</v>
      </c>
      <c r="E415" s="38" t="s">
        <v>2541</v>
      </c>
      <c r="F415" s="38" t="s">
        <v>2542</v>
      </c>
      <c r="G415" s="38" t="s">
        <v>2543</v>
      </c>
      <c r="H415" s="38" t="s">
        <v>54</v>
      </c>
      <c r="I415" s="38" t="s">
        <v>117</v>
      </c>
      <c r="J415" s="38" t="s">
        <v>56</v>
      </c>
      <c r="K415" s="37">
        <v>8.28795E8</v>
      </c>
      <c r="L415" s="38" t="s">
        <v>52</v>
      </c>
      <c r="M415" s="38" t="s">
        <v>1771</v>
      </c>
      <c r="N415" s="38" t="s">
        <v>200</v>
      </c>
      <c r="O415" s="38" t="s">
        <v>4551</v>
      </c>
      <c r="P415" s="37">
        <v>1.0</v>
      </c>
      <c r="Q415" s="38" t="s">
        <v>4552</v>
      </c>
      <c r="R415" s="38" t="s">
        <v>226</v>
      </c>
      <c r="S415" s="38" t="s">
        <v>620</v>
      </c>
      <c r="T415" s="38" t="s">
        <v>49</v>
      </c>
      <c r="U415" s="38" t="s">
        <v>53</v>
      </c>
      <c r="V415" s="38" t="s">
        <v>2544</v>
      </c>
      <c r="W415" s="37">
        <v>1.054</v>
      </c>
    </row>
    <row r="416">
      <c r="A416" s="38" t="s">
        <v>1067</v>
      </c>
      <c r="B416" s="38" t="s">
        <v>1070</v>
      </c>
      <c r="C416" s="38" t="s">
        <v>57</v>
      </c>
      <c r="D416" s="38" t="s">
        <v>185</v>
      </c>
      <c r="E416" s="38" t="s">
        <v>1858</v>
      </c>
      <c r="F416" s="38" t="s">
        <v>1859</v>
      </c>
      <c r="G416" s="38" t="s">
        <v>1860</v>
      </c>
      <c r="H416" s="38" t="s">
        <v>54</v>
      </c>
      <c r="I416" s="38" t="s">
        <v>55</v>
      </c>
      <c r="J416" s="38" t="s">
        <v>56</v>
      </c>
      <c r="K416" s="37">
        <v>5.64815E7</v>
      </c>
      <c r="L416" s="38" t="s">
        <v>52</v>
      </c>
      <c r="M416" s="38" t="s">
        <v>174</v>
      </c>
      <c r="N416" s="38" t="s">
        <v>185</v>
      </c>
      <c r="O416" s="38" t="s">
        <v>4553</v>
      </c>
      <c r="P416" s="37">
        <v>1.125</v>
      </c>
      <c r="Q416" s="38" t="s">
        <v>4273</v>
      </c>
      <c r="R416" s="38" t="s">
        <v>174</v>
      </c>
      <c r="S416" s="38" t="s">
        <v>54</v>
      </c>
      <c r="T416" s="38" t="s">
        <v>49</v>
      </c>
      <c r="U416" s="38" t="s">
        <v>53</v>
      </c>
      <c r="V416" s="38" t="s">
        <v>1861</v>
      </c>
      <c r="W416" s="38" t="s">
        <v>54</v>
      </c>
    </row>
    <row r="417">
      <c r="A417" s="38" t="s">
        <v>614</v>
      </c>
      <c r="B417" s="38" t="s">
        <v>617</v>
      </c>
      <c r="C417" s="38" t="s">
        <v>71</v>
      </c>
      <c r="D417" s="38" t="s">
        <v>200</v>
      </c>
      <c r="E417" s="38" t="s">
        <v>2545</v>
      </c>
      <c r="F417" s="38" t="s">
        <v>2546</v>
      </c>
      <c r="G417" s="38" t="s">
        <v>2547</v>
      </c>
      <c r="H417" s="37">
        <v>4.282</v>
      </c>
      <c r="I417" s="38" t="s">
        <v>117</v>
      </c>
      <c r="J417" s="38" t="s">
        <v>56</v>
      </c>
      <c r="K417" s="37">
        <v>1.0E9</v>
      </c>
      <c r="L417" s="38" t="s">
        <v>52</v>
      </c>
      <c r="M417" s="38" t="s">
        <v>1776</v>
      </c>
      <c r="N417" s="38" t="s">
        <v>200</v>
      </c>
      <c r="O417" s="38" t="s">
        <v>4554</v>
      </c>
      <c r="P417" s="37">
        <v>4.25</v>
      </c>
      <c r="Q417" s="38" t="s">
        <v>1062</v>
      </c>
      <c r="R417" s="38" t="s">
        <v>262</v>
      </c>
      <c r="S417" s="38" t="s">
        <v>620</v>
      </c>
      <c r="T417" s="38" t="s">
        <v>115</v>
      </c>
      <c r="U417" s="38" t="s">
        <v>263</v>
      </c>
      <c r="V417" s="38" t="s">
        <v>2548</v>
      </c>
      <c r="W417" s="38" t="s">
        <v>54</v>
      </c>
    </row>
    <row r="418">
      <c r="A418" s="38" t="s">
        <v>614</v>
      </c>
      <c r="B418" s="38" t="s">
        <v>617</v>
      </c>
      <c r="C418" s="38" t="s">
        <v>71</v>
      </c>
      <c r="D418" s="38" t="s">
        <v>200</v>
      </c>
      <c r="E418" s="38" t="s">
        <v>2549</v>
      </c>
      <c r="F418" s="38" t="s">
        <v>2550</v>
      </c>
      <c r="G418" s="38" t="s">
        <v>2551</v>
      </c>
      <c r="H418" s="37">
        <v>4.282</v>
      </c>
      <c r="I418" s="38" t="s">
        <v>117</v>
      </c>
      <c r="J418" s="38" t="s">
        <v>56</v>
      </c>
      <c r="K418" s="37">
        <v>1.0E9</v>
      </c>
      <c r="L418" s="38" t="s">
        <v>52</v>
      </c>
      <c r="M418" s="38" t="s">
        <v>1776</v>
      </c>
      <c r="N418" s="38" t="s">
        <v>200</v>
      </c>
      <c r="O418" s="38" t="s">
        <v>4554</v>
      </c>
      <c r="P418" s="37">
        <v>4.25</v>
      </c>
      <c r="Q418" s="38" t="s">
        <v>1062</v>
      </c>
      <c r="R418" s="38" t="s">
        <v>271</v>
      </c>
      <c r="S418" s="38" t="s">
        <v>620</v>
      </c>
      <c r="T418" s="38" t="s">
        <v>115</v>
      </c>
      <c r="U418" s="38" t="s">
        <v>263</v>
      </c>
      <c r="V418" s="38" t="s">
        <v>2552</v>
      </c>
      <c r="W418" s="38" t="s">
        <v>54</v>
      </c>
    </row>
    <row r="419">
      <c r="A419" s="38" t="s">
        <v>1487</v>
      </c>
      <c r="B419" s="38" t="s">
        <v>1490</v>
      </c>
      <c r="C419" s="38" t="s">
        <v>57</v>
      </c>
      <c r="D419" s="38" t="s">
        <v>185</v>
      </c>
      <c r="E419" s="38" t="s">
        <v>2284</v>
      </c>
      <c r="F419" s="38" t="s">
        <v>2285</v>
      </c>
      <c r="G419" s="38" t="s">
        <v>2286</v>
      </c>
      <c r="H419" s="38" t="s">
        <v>54</v>
      </c>
      <c r="I419" s="38" t="s">
        <v>117</v>
      </c>
      <c r="J419" s="38" t="s">
        <v>56</v>
      </c>
      <c r="K419" s="37">
        <v>5.6032E8</v>
      </c>
      <c r="L419" s="38" t="s">
        <v>52</v>
      </c>
      <c r="M419" s="38" t="s">
        <v>1771</v>
      </c>
      <c r="N419" s="38" t="s">
        <v>185</v>
      </c>
      <c r="O419" s="38" t="s">
        <v>4555</v>
      </c>
      <c r="P419" s="37">
        <v>1.0</v>
      </c>
      <c r="Q419" s="38" t="s">
        <v>4556</v>
      </c>
      <c r="R419" s="38" t="s">
        <v>226</v>
      </c>
      <c r="S419" s="38" t="s">
        <v>190</v>
      </c>
      <c r="T419" s="38" t="s">
        <v>115</v>
      </c>
      <c r="U419" s="38" t="s">
        <v>53</v>
      </c>
      <c r="V419" s="38" t="s">
        <v>2287</v>
      </c>
      <c r="W419" s="37">
        <v>1.032</v>
      </c>
    </row>
    <row r="420">
      <c r="A420" s="38" t="s">
        <v>614</v>
      </c>
      <c r="B420" s="38" t="s">
        <v>617</v>
      </c>
      <c r="C420" s="38" t="s">
        <v>71</v>
      </c>
      <c r="D420" s="38" t="s">
        <v>200</v>
      </c>
      <c r="E420" s="38" t="s">
        <v>2553</v>
      </c>
      <c r="F420" s="38" t="s">
        <v>2554</v>
      </c>
      <c r="G420" s="38" t="s">
        <v>2555</v>
      </c>
      <c r="H420" s="37">
        <v>4.282</v>
      </c>
      <c r="I420" s="38" t="s">
        <v>117</v>
      </c>
      <c r="J420" s="38" t="s">
        <v>56</v>
      </c>
      <c r="K420" s="37">
        <v>1.0E9</v>
      </c>
      <c r="L420" s="38" t="s">
        <v>52</v>
      </c>
      <c r="M420" s="38" t="s">
        <v>1776</v>
      </c>
      <c r="N420" s="38" t="s">
        <v>200</v>
      </c>
      <c r="O420" s="38" t="s">
        <v>4554</v>
      </c>
      <c r="P420" s="37">
        <v>4.25</v>
      </c>
      <c r="Q420" s="38" t="s">
        <v>1062</v>
      </c>
      <c r="R420" s="38" t="s">
        <v>1334</v>
      </c>
      <c r="S420" s="38" t="s">
        <v>620</v>
      </c>
      <c r="T420" s="38" t="s">
        <v>115</v>
      </c>
      <c r="U420" s="38" t="s">
        <v>263</v>
      </c>
      <c r="V420" s="38" t="s">
        <v>2556</v>
      </c>
      <c r="W420" s="38" t="s">
        <v>54</v>
      </c>
    </row>
    <row r="421">
      <c r="A421" s="38" t="s">
        <v>1432</v>
      </c>
      <c r="B421" s="38" t="s">
        <v>1435</v>
      </c>
      <c r="C421" s="38" t="s">
        <v>392</v>
      </c>
      <c r="D421" s="38" t="s">
        <v>368</v>
      </c>
      <c r="E421" s="38" t="s">
        <v>1878</v>
      </c>
      <c r="F421" s="38" t="s">
        <v>1879</v>
      </c>
      <c r="G421" s="38" t="s">
        <v>1880</v>
      </c>
      <c r="H421" s="38" t="s">
        <v>54</v>
      </c>
      <c r="I421" s="38" t="s">
        <v>55</v>
      </c>
      <c r="J421" s="38" t="s">
        <v>70</v>
      </c>
      <c r="K421" s="37">
        <v>5.17825E7</v>
      </c>
      <c r="L421" s="38" t="s">
        <v>52</v>
      </c>
      <c r="M421" s="38" t="s">
        <v>174</v>
      </c>
      <c r="N421" s="38" t="s">
        <v>368</v>
      </c>
      <c r="O421" s="38" t="s">
        <v>4557</v>
      </c>
      <c r="P421" s="37">
        <v>0.906</v>
      </c>
      <c r="Q421" s="38" t="s">
        <v>4558</v>
      </c>
      <c r="R421" s="38" t="s">
        <v>686</v>
      </c>
      <c r="S421" s="38" t="s">
        <v>54</v>
      </c>
      <c r="T421" s="38" t="s">
        <v>49</v>
      </c>
      <c r="U421" s="38" t="s">
        <v>687</v>
      </c>
      <c r="V421" s="38" t="s">
        <v>1881</v>
      </c>
      <c r="W421" s="37">
        <v>0.874</v>
      </c>
    </row>
    <row r="422">
      <c r="A422" s="38" t="s">
        <v>1011</v>
      </c>
      <c r="B422" s="38" t="s">
        <v>1014</v>
      </c>
      <c r="C422" s="38" t="s">
        <v>71</v>
      </c>
      <c r="D422" s="38" t="s">
        <v>185</v>
      </c>
      <c r="E422" s="38" t="s">
        <v>3205</v>
      </c>
      <c r="F422" s="38" t="s">
        <v>3206</v>
      </c>
      <c r="G422" s="38" t="s">
        <v>3207</v>
      </c>
      <c r="H422" s="38" t="s">
        <v>54</v>
      </c>
      <c r="I422" s="38" t="s">
        <v>55</v>
      </c>
      <c r="J422" s="38" t="s">
        <v>56</v>
      </c>
      <c r="K422" s="37">
        <v>6.6942E7</v>
      </c>
      <c r="L422" s="38" t="s">
        <v>52</v>
      </c>
      <c r="M422" s="38" t="s">
        <v>174</v>
      </c>
      <c r="N422" s="38" t="s">
        <v>185</v>
      </c>
      <c r="O422" s="38" t="s">
        <v>4559</v>
      </c>
      <c r="P422" s="37">
        <v>2.9</v>
      </c>
      <c r="Q422" s="38" t="s">
        <v>4560</v>
      </c>
      <c r="R422" s="38" t="s">
        <v>174</v>
      </c>
      <c r="S422" s="38" t="s">
        <v>54</v>
      </c>
      <c r="T422" s="38" t="s">
        <v>49</v>
      </c>
      <c r="U422" s="38" t="s">
        <v>53</v>
      </c>
      <c r="V422" s="38" t="s">
        <v>3208</v>
      </c>
      <c r="W422" s="37">
        <v>2.817</v>
      </c>
    </row>
    <row r="423">
      <c r="A423" s="38" t="s">
        <v>755</v>
      </c>
      <c r="B423" s="38" t="s">
        <v>758</v>
      </c>
      <c r="C423" s="38" t="s">
        <v>71</v>
      </c>
      <c r="D423" s="38" t="s">
        <v>259</v>
      </c>
      <c r="E423" s="38" t="s">
        <v>3319</v>
      </c>
      <c r="F423" s="38" t="s">
        <v>3320</v>
      </c>
      <c r="G423" s="38" t="s">
        <v>3321</v>
      </c>
      <c r="H423" s="37">
        <v>5.18</v>
      </c>
      <c r="I423" s="38" t="s">
        <v>55</v>
      </c>
      <c r="J423" s="38" t="s">
        <v>56</v>
      </c>
      <c r="K423" s="37">
        <v>1.0E9</v>
      </c>
      <c r="L423" s="38" t="s">
        <v>52</v>
      </c>
      <c r="M423" s="38" t="s">
        <v>1776</v>
      </c>
      <c r="N423" s="38" t="s">
        <v>258</v>
      </c>
      <c r="O423" s="38" t="s">
        <v>4561</v>
      </c>
      <c r="P423" s="37">
        <v>5.0</v>
      </c>
      <c r="Q423" s="38" t="s">
        <v>4185</v>
      </c>
      <c r="R423" s="38" t="s">
        <v>262</v>
      </c>
      <c r="S423" s="38" t="s">
        <v>497</v>
      </c>
      <c r="T423" s="38" t="s">
        <v>115</v>
      </c>
      <c r="U423" s="38" t="s">
        <v>263</v>
      </c>
      <c r="V423" s="38" t="s">
        <v>3322</v>
      </c>
      <c r="W423" s="37">
        <v>5.268</v>
      </c>
    </row>
    <row r="424">
      <c r="A424" s="38" t="s">
        <v>755</v>
      </c>
      <c r="B424" s="38" t="s">
        <v>758</v>
      </c>
      <c r="C424" s="38" t="s">
        <v>71</v>
      </c>
      <c r="D424" s="38" t="s">
        <v>259</v>
      </c>
      <c r="E424" s="38" t="s">
        <v>3323</v>
      </c>
      <c r="F424" s="38" t="s">
        <v>3324</v>
      </c>
      <c r="G424" s="38" t="s">
        <v>3325</v>
      </c>
      <c r="H424" s="37">
        <v>5.18</v>
      </c>
      <c r="I424" s="38" t="s">
        <v>55</v>
      </c>
      <c r="J424" s="38" t="s">
        <v>56</v>
      </c>
      <c r="K424" s="37">
        <v>1.0E9</v>
      </c>
      <c r="L424" s="38" t="s">
        <v>52</v>
      </c>
      <c r="M424" s="38" t="s">
        <v>1776</v>
      </c>
      <c r="N424" s="38" t="s">
        <v>258</v>
      </c>
      <c r="O424" s="38" t="s">
        <v>4561</v>
      </c>
      <c r="P424" s="37">
        <v>5.0</v>
      </c>
      <c r="Q424" s="38" t="s">
        <v>4185</v>
      </c>
      <c r="R424" s="38" t="s">
        <v>271</v>
      </c>
      <c r="S424" s="38" t="s">
        <v>497</v>
      </c>
      <c r="T424" s="38" t="s">
        <v>115</v>
      </c>
      <c r="U424" s="38" t="s">
        <v>263</v>
      </c>
      <c r="V424" s="38" t="s">
        <v>3326</v>
      </c>
      <c r="W424" s="37">
        <v>5.271</v>
      </c>
    </row>
    <row r="425">
      <c r="A425" s="38" t="s">
        <v>477</v>
      </c>
      <c r="B425" s="38" t="s">
        <v>480</v>
      </c>
      <c r="C425" s="38" t="s">
        <v>57</v>
      </c>
      <c r="D425" s="38" t="s">
        <v>45</v>
      </c>
      <c r="E425" s="38" t="s">
        <v>2234</v>
      </c>
      <c r="F425" s="38" t="s">
        <v>2235</v>
      </c>
      <c r="G425" s="38" t="s">
        <v>2236</v>
      </c>
      <c r="H425" s="38" t="s">
        <v>54</v>
      </c>
      <c r="I425" s="38" t="s">
        <v>55</v>
      </c>
      <c r="J425" s="38" t="s">
        <v>56</v>
      </c>
      <c r="K425" s="37">
        <v>5.5669E8</v>
      </c>
      <c r="L425" s="38" t="s">
        <v>459</v>
      </c>
      <c r="M425" s="38" t="s">
        <v>174</v>
      </c>
      <c r="N425" s="38" t="s">
        <v>45</v>
      </c>
      <c r="O425" s="38" t="s">
        <v>4561</v>
      </c>
      <c r="P425" s="37">
        <v>0.375</v>
      </c>
      <c r="Q425" s="38" t="s">
        <v>4562</v>
      </c>
      <c r="R425" s="38" t="s">
        <v>174</v>
      </c>
      <c r="S425" s="38" t="s">
        <v>190</v>
      </c>
      <c r="T425" s="38" t="s">
        <v>49</v>
      </c>
      <c r="U425" s="38" t="s">
        <v>53</v>
      </c>
      <c r="V425" s="38" t="s">
        <v>2237</v>
      </c>
      <c r="W425" s="37">
        <v>0.317</v>
      </c>
    </row>
    <row r="426">
      <c r="A426" s="38" t="s">
        <v>1360</v>
      </c>
      <c r="B426" s="38" t="s">
        <v>1363</v>
      </c>
      <c r="C426" s="38" t="s">
        <v>57</v>
      </c>
      <c r="D426" s="38" t="s">
        <v>200</v>
      </c>
      <c r="E426" s="38" t="s">
        <v>3270</v>
      </c>
      <c r="F426" s="38" t="s">
        <v>3271</v>
      </c>
      <c r="G426" s="38" t="s">
        <v>3272</v>
      </c>
      <c r="H426" s="38" t="s">
        <v>54</v>
      </c>
      <c r="I426" s="38" t="s">
        <v>117</v>
      </c>
      <c r="J426" s="38" t="s">
        <v>56</v>
      </c>
      <c r="K426" s="37">
        <v>2.835E8</v>
      </c>
      <c r="L426" s="38" t="s">
        <v>52</v>
      </c>
      <c r="M426" s="38" t="s">
        <v>1771</v>
      </c>
      <c r="N426" s="38" t="s">
        <v>200</v>
      </c>
      <c r="O426" s="38" t="s">
        <v>4563</v>
      </c>
      <c r="P426" s="37">
        <v>1.625</v>
      </c>
      <c r="Q426" s="38" t="s">
        <v>4564</v>
      </c>
      <c r="R426" s="38" t="s">
        <v>226</v>
      </c>
      <c r="S426" s="38" t="s">
        <v>175</v>
      </c>
      <c r="T426" s="38" t="s">
        <v>115</v>
      </c>
      <c r="U426" s="38" t="s">
        <v>53</v>
      </c>
      <c r="V426" s="38" t="s">
        <v>3273</v>
      </c>
      <c r="W426" s="37">
        <v>1.483</v>
      </c>
    </row>
    <row r="427">
      <c r="A427" s="38" t="s">
        <v>1336</v>
      </c>
      <c r="B427" s="38" t="s">
        <v>1339</v>
      </c>
      <c r="C427" s="38" t="s">
        <v>57</v>
      </c>
      <c r="D427" s="38" t="s">
        <v>1340</v>
      </c>
      <c r="E427" s="38" t="s">
        <v>2358</v>
      </c>
      <c r="F427" s="38" t="s">
        <v>2359</v>
      </c>
      <c r="G427" s="38" t="s">
        <v>2360</v>
      </c>
      <c r="H427" s="38" t="s">
        <v>54</v>
      </c>
      <c r="I427" s="38" t="s">
        <v>55</v>
      </c>
      <c r="J427" s="38" t="s">
        <v>56</v>
      </c>
      <c r="K427" s="37">
        <v>3.609665E7</v>
      </c>
      <c r="L427" s="38" t="s">
        <v>52</v>
      </c>
      <c r="M427" s="38" t="s">
        <v>174</v>
      </c>
      <c r="N427" s="38" t="s">
        <v>170</v>
      </c>
      <c r="O427" s="38" t="s">
        <v>4565</v>
      </c>
      <c r="P427" s="37">
        <v>4.45</v>
      </c>
      <c r="Q427" s="38" t="s">
        <v>4566</v>
      </c>
      <c r="R427" s="38" t="s">
        <v>226</v>
      </c>
      <c r="S427" s="38" t="s">
        <v>175</v>
      </c>
      <c r="T427" s="38" t="s">
        <v>49</v>
      </c>
      <c r="U427" s="38" t="s">
        <v>2331</v>
      </c>
      <c r="V427" s="38" t="s">
        <v>2361</v>
      </c>
      <c r="W427" s="38" t="s">
        <v>54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9" t="s">
        <v>4567</v>
      </c>
      <c r="B1" s="39" t="s">
        <v>5</v>
      </c>
      <c r="C1" s="39" t="s">
        <v>4568</v>
      </c>
      <c r="D1" s="39" t="s">
        <v>11</v>
      </c>
      <c r="E1" s="39" t="s">
        <v>10</v>
      </c>
      <c r="F1" s="39" t="s">
        <v>2</v>
      </c>
      <c r="G1" s="39" t="s">
        <v>4569</v>
      </c>
      <c r="H1" s="39" t="s">
        <v>4570</v>
      </c>
      <c r="I1" s="39" t="s">
        <v>4571</v>
      </c>
      <c r="J1" s="39" t="s">
        <v>4572</v>
      </c>
      <c r="K1" s="39" t="s">
        <v>4573</v>
      </c>
      <c r="L1" s="39" t="s">
        <v>20</v>
      </c>
      <c r="M1" s="39" t="s">
        <v>4574</v>
      </c>
      <c r="N1" s="39" t="s">
        <v>4575</v>
      </c>
      <c r="O1" s="39" t="s">
        <v>4576</v>
      </c>
      <c r="P1" s="39" t="s">
        <v>4577</v>
      </c>
      <c r="Q1" s="39" t="s">
        <v>4578</v>
      </c>
      <c r="R1" s="39" t="s">
        <v>4579</v>
      </c>
      <c r="S1" s="3" t="s">
        <v>4580</v>
      </c>
    </row>
    <row r="2">
      <c r="A2" s="38" t="s">
        <v>336</v>
      </c>
      <c r="B2" s="38" t="s">
        <v>4581</v>
      </c>
      <c r="C2" s="38" t="s">
        <v>4582</v>
      </c>
      <c r="D2" s="38"/>
      <c r="E2" s="38" t="s">
        <v>340</v>
      </c>
      <c r="F2" s="38" t="s">
        <v>3546</v>
      </c>
      <c r="G2" s="38" t="s">
        <v>4583</v>
      </c>
      <c r="H2" s="38" t="s">
        <v>4584</v>
      </c>
      <c r="I2" s="38" t="s">
        <v>4585</v>
      </c>
      <c r="J2" s="38" t="s">
        <v>60</v>
      </c>
      <c r="K2" s="38" t="s">
        <v>4586</v>
      </c>
      <c r="L2" s="38" t="s">
        <v>4587</v>
      </c>
      <c r="M2" s="40" t="s">
        <v>4588</v>
      </c>
      <c r="N2" s="38"/>
      <c r="O2" s="38" t="s">
        <v>4589</v>
      </c>
      <c r="P2" s="37">
        <v>44299.0</v>
      </c>
      <c r="Q2" s="37">
        <v>3.121</v>
      </c>
      <c r="R2" s="37">
        <v>-49.0</v>
      </c>
      <c r="S2" s="4" t="str">
        <f t="shared" ref="S2:S179" si="1">IF(R2&lt;&gt;0,"",Q2)</f>
        <v/>
      </c>
    </row>
    <row r="3">
      <c r="A3" s="38" t="s">
        <v>529</v>
      </c>
      <c r="B3" s="38" t="s">
        <v>4590</v>
      </c>
      <c r="C3" s="38" t="s">
        <v>4591</v>
      </c>
      <c r="D3" s="38"/>
      <c r="E3" s="38" t="s">
        <v>553</v>
      </c>
      <c r="F3" s="38" t="s">
        <v>3606</v>
      </c>
      <c r="G3" s="38" t="s">
        <v>4592</v>
      </c>
      <c r="H3" s="38" t="s">
        <v>4584</v>
      </c>
      <c r="I3" s="38" t="s">
        <v>4593</v>
      </c>
      <c r="J3" s="38" t="s">
        <v>60</v>
      </c>
      <c r="K3" s="38" t="s">
        <v>4586</v>
      </c>
      <c r="L3" s="38" t="s">
        <v>4594</v>
      </c>
      <c r="M3" s="40" t="s">
        <v>4595</v>
      </c>
      <c r="N3" s="38"/>
      <c r="O3" s="38" t="s">
        <v>4596</v>
      </c>
      <c r="P3" s="37">
        <v>44365.0</v>
      </c>
      <c r="Q3" s="37">
        <v>5.586</v>
      </c>
      <c r="R3" s="37">
        <v>0.0</v>
      </c>
      <c r="S3" s="4">
        <f t="shared" si="1"/>
        <v>5.586</v>
      </c>
    </row>
    <row r="4">
      <c r="A4" s="38" t="s">
        <v>4597</v>
      </c>
      <c r="B4" s="38" t="s">
        <v>4598</v>
      </c>
      <c r="C4" s="38" t="s">
        <v>4599</v>
      </c>
      <c r="D4" s="38" t="s">
        <v>1694</v>
      </c>
      <c r="E4" s="38" t="s">
        <v>1693</v>
      </c>
      <c r="F4" s="38" t="s">
        <v>3943</v>
      </c>
      <c r="G4" s="38" t="s">
        <v>4600</v>
      </c>
      <c r="H4" s="38" t="s">
        <v>4584</v>
      </c>
      <c r="I4" s="38" t="s">
        <v>4601</v>
      </c>
      <c r="J4" s="38" t="s">
        <v>60</v>
      </c>
      <c r="K4" s="38" t="s">
        <v>4602</v>
      </c>
      <c r="L4" s="38" t="s">
        <v>4603</v>
      </c>
      <c r="M4" s="38" t="s">
        <v>4604</v>
      </c>
      <c r="N4" s="38" t="s">
        <v>4605</v>
      </c>
      <c r="O4" s="38" t="s">
        <v>4606</v>
      </c>
      <c r="P4" s="37">
        <v>43755.0</v>
      </c>
      <c r="Q4" s="37">
        <v>0.196</v>
      </c>
      <c r="R4" s="37">
        <v>0.0</v>
      </c>
      <c r="S4" s="4">
        <f t="shared" si="1"/>
        <v>0.196</v>
      </c>
    </row>
    <row r="5">
      <c r="A5" s="38" t="s">
        <v>4597</v>
      </c>
      <c r="B5" s="38" t="s">
        <v>4598</v>
      </c>
      <c r="C5" s="38" t="s">
        <v>4607</v>
      </c>
      <c r="D5" s="38" t="s">
        <v>1739</v>
      </c>
      <c r="E5" s="38" t="s">
        <v>1738</v>
      </c>
      <c r="F5" s="38" t="s">
        <v>3956</v>
      </c>
      <c r="G5" s="38" t="s">
        <v>4608</v>
      </c>
      <c r="H5" s="38" t="s">
        <v>4609</v>
      </c>
      <c r="I5" s="38" t="s">
        <v>4610</v>
      </c>
      <c r="J5" s="38" t="s">
        <v>60</v>
      </c>
      <c r="K5" s="38" t="s">
        <v>4611</v>
      </c>
      <c r="L5" s="38" t="s">
        <v>4603</v>
      </c>
      <c r="M5" s="38" t="s">
        <v>4612</v>
      </c>
      <c r="N5" s="38" t="s">
        <v>4605</v>
      </c>
      <c r="O5" s="38" t="s">
        <v>4613</v>
      </c>
      <c r="P5" s="37">
        <v>43718.0</v>
      </c>
      <c r="Q5" s="37">
        <v>2.673</v>
      </c>
      <c r="R5" s="37">
        <v>0.0</v>
      </c>
      <c r="S5" s="4">
        <f t="shared" si="1"/>
        <v>2.673</v>
      </c>
    </row>
    <row r="6">
      <c r="A6" s="38" t="s">
        <v>4597</v>
      </c>
      <c r="B6" s="38" t="s">
        <v>4598</v>
      </c>
      <c r="C6" s="38" t="s">
        <v>4607</v>
      </c>
      <c r="D6" s="38" t="s">
        <v>1739</v>
      </c>
      <c r="E6" s="38" t="s">
        <v>1738</v>
      </c>
      <c r="F6" s="38" t="s">
        <v>3958</v>
      </c>
      <c r="G6" s="38" t="s">
        <v>4614</v>
      </c>
      <c r="H6" s="38" t="s">
        <v>4609</v>
      </c>
      <c r="I6" s="38" t="s">
        <v>4601</v>
      </c>
      <c r="J6" s="38" t="s">
        <v>60</v>
      </c>
      <c r="K6" s="38" t="s">
        <v>4611</v>
      </c>
      <c r="L6" s="38" t="s">
        <v>4603</v>
      </c>
      <c r="M6" s="38" t="s">
        <v>4612</v>
      </c>
      <c r="N6" s="38" t="s">
        <v>4605</v>
      </c>
      <c r="O6" s="38" t="s">
        <v>4615</v>
      </c>
      <c r="P6" s="37">
        <v>43724.0</v>
      </c>
      <c r="Q6" s="37">
        <v>2.707</v>
      </c>
      <c r="R6" s="37">
        <v>-6.0</v>
      </c>
      <c r="S6" s="4" t="str">
        <f t="shared" si="1"/>
        <v/>
      </c>
    </row>
    <row r="7">
      <c r="A7" s="38" t="s">
        <v>1277</v>
      </c>
      <c r="B7" s="38" t="s">
        <v>4616</v>
      </c>
      <c r="C7" s="38" t="s">
        <v>4617</v>
      </c>
      <c r="D7" s="38" t="s">
        <v>1282</v>
      </c>
      <c r="E7" s="38" t="s">
        <v>1281</v>
      </c>
      <c r="F7" s="38" t="s">
        <v>3824</v>
      </c>
      <c r="G7" s="38" t="s">
        <v>4618</v>
      </c>
      <c r="H7" s="38" t="s">
        <v>4619</v>
      </c>
      <c r="I7" s="38" t="s">
        <v>4620</v>
      </c>
      <c r="J7" s="38" t="s">
        <v>60</v>
      </c>
      <c r="K7" s="38" t="s">
        <v>4602</v>
      </c>
      <c r="L7" s="38" t="s">
        <v>4621</v>
      </c>
      <c r="M7" s="40" t="s">
        <v>4622</v>
      </c>
      <c r="N7" s="38"/>
      <c r="O7" s="38" t="s">
        <v>4589</v>
      </c>
      <c r="P7" s="41" t="e">
        <v>#N/A</v>
      </c>
      <c r="Q7" s="38"/>
      <c r="R7" s="41" t="e">
        <v>#N/A</v>
      </c>
      <c r="S7" s="4" t="str">
        <f t="shared" si="1"/>
        <v>#N/A</v>
      </c>
    </row>
    <row r="8">
      <c r="A8" s="38" t="s">
        <v>4623</v>
      </c>
      <c r="B8" s="38" t="s">
        <v>4624</v>
      </c>
      <c r="C8" s="38" t="s">
        <v>4582</v>
      </c>
      <c r="D8" s="38" t="s">
        <v>361</v>
      </c>
      <c r="E8" s="38" t="s">
        <v>360</v>
      </c>
      <c r="F8" s="38" t="s">
        <v>3552</v>
      </c>
      <c r="G8" s="38" t="s">
        <v>4625</v>
      </c>
      <c r="H8" s="38" t="s">
        <v>4584</v>
      </c>
      <c r="I8" s="38" t="s">
        <v>4626</v>
      </c>
      <c r="J8" s="38" t="s">
        <v>60</v>
      </c>
      <c r="K8" s="38" t="s">
        <v>4602</v>
      </c>
      <c r="L8" s="38" t="s">
        <v>4627</v>
      </c>
      <c r="M8" s="40" t="s">
        <v>4628</v>
      </c>
      <c r="N8" s="38"/>
      <c r="O8" s="38" t="s">
        <v>4589</v>
      </c>
      <c r="P8" s="41" t="e">
        <v>#N/A</v>
      </c>
      <c r="Q8" s="38"/>
      <c r="R8" s="41" t="e">
        <v>#N/A</v>
      </c>
      <c r="S8" s="4" t="str">
        <f t="shared" si="1"/>
        <v>#N/A</v>
      </c>
    </row>
    <row r="9">
      <c r="A9" s="38" t="s">
        <v>4629</v>
      </c>
      <c r="B9" s="38" t="s">
        <v>4630</v>
      </c>
      <c r="C9" s="38" t="s">
        <v>4631</v>
      </c>
      <c r="D9" s="38" t="s">
        <v>609</v>
      </c>
      <c r="E9" s="38" t="s">
        <v>608</v>
      </c>
      <c r="F9" s="38" t="s">
        <v>3620</v>
      </c>
      <c r="G9" s="38" t="s">
        <v>4632</v>
      </c>
      <c r="H9" s="38" t="s">
        <v>4633</v>
      </c>
      <c r="I9" s="38" t="s">
        <v>4634</v>
      </c>
      <c r="J9" s="38" t="s">
        <v>60</v>
      </c>
      <c r="K9" s="38" t="s">
        <v>4602</v>
      </c>
      <c r="L9" s="38" t="s">
        <v>4621</v>
      </c>
      <c r="M9" s="40" t="s">
        <v>4635</v>
      </c>
      <c r="N9" s="38"/>
      <c r="O9" s="38" t="s">
        <v>4589</v>
      </c>
      <c r="P9" s="37">
        <v>44358.0</v>
      </c>
      <c r="Q9" s="37">
        <v>5.342</v>
      </c>
      <c r="R9" s="37">
        <v>-2.0</v>
      </c>
      <c r="S9" s="4" t="str">
        <f t="shared" si="1"/>
        <v/>
      </c>
    </row>
    <row r="10">
      <c r="A10" s="38" t="s">
        <v>4636</v>
      </c>
      <c r="B10" s="38" t="s">
        <v>4637</v>
      </c>
      <c r="C10" s="38" t="s">
        <v>4638</v>
      </c>
      <c r="D10" s="38" t="s">
        <v>845</v>
      </c>
      <c r="E10" s="38" t="s">
        <v>844</v>
      </c>
      <c r="F10" s="38" t="s">
        <v>3695</v>
      </c>
      <c r="G10" s="38" t="s">
        <v>4639</v>
      </c>
      <c r="H10" s="38" t="s">
        <v>4584</v>
      </c>
      <c r="I10" s="38" t="s">
        <v>4601</v>
      </c>
      <c r="J10" s="38" t="s">
        <v>60</v>
      </c>
      <c r="K10" s="38" t="s">
        <v>4611</v>
      </c>
      <c r="L10" s="38" t="s">
        <v>4603</v>
      </c>
      <c r="M10" s="38" t="s">
        <v>4640</v>
      </c>
      <c r="N10" s="38" t="s">
        <v>4605</v>
      </c>
      <c r="O10" s="38" t="s">
        <v>4641</v>
      </c>
      <c r="P10" s="37">
        <v>44455.0</v>
      </c>
      <c r="Q10" s="37">
        <v>0.03</v>
      </c>
      <c r="R10" s="37">
        <v>0.0</v>
      </c>
      <c r="S10" s="4">
        <f t="shared" si="1"/>
        <v>0.03</v>
      </c>
    </row>
    <row r="11">
      <c r="A11" s="38" t="s">
        <v>108</v>
      </c>
      <c r="B11" s="38" t="s">
        <v>4642</v>
      </c>
      <c r="C11" s="38" t="s">
        <v>4643</v>
      </c>
      <c r="D11" s="38" t="s">
        <v>114</v>
      </c>
      <c r="E11" s="38" t="s">
        <v>113</v>
      </c>
      <c r="F11" s="38" t="s">
        <v>3502</v>
      </c>
      <c r="G11" s="38" t="s">
        <v>4644</v>
      </c>
      <c r="H11" s="38" t="s">
        <v>4645</v>
      </c>
      <c r="I11" s="38" t="s">
        <v>4646</v>
      </c>
      <c r="J11" s="38" t="s">
        <v>60</v>
      </c>
      <c r="K11" s="38" t="s">
        <v>4602</v>
      </c>
      <c r="L11" s="38" t="s">
        <v>4621</v>
      </c>
      <c r="M11" s="40" t="s">
        <v>4647</v>
      </c>
      <c r="N11" s="38"/>
      <c r="O11" s="38" t="s">
        <v>4648</v>
      </c>
      <c r="P11" s="37">
        <v>44292.0</v>
      </c>
      <c r="Q11" s="37">
        <v>0.953</v>
      </c>
      <c r="R11" s="37">
        <v>-158.0</v>
      </c>
      <c r="S11" s="4" t="str">
        <f t="shared" si="1"/>
        <v/>
      </c>
    </row>
    <row r="12">
      <c r="A12" s="38" t="s">
        <v>1019</v>
      </c>
      <c r="B12" s="38" t="s">
        <v>4649</v>
      </c>
      <c r="C12" s="38" t="s">
        <v>4650</v>
      </c>
      <c r="D12" s="38" t="s">
        <v>1023</v>
      </c>
      <c r="E12" s="38" t="s">
        <v>1015</v>
      </c>
      <c r="F12" s="38" t="s">
        <v>3747</v>
      </c>
      <c r="G12" s="38" t="s">
        <v>4651</v>
      </c>
      <c r="H12" s="38" t="s">
        <v>4619</v>
      </c>
      <c r="I12" s="38" t="s">
        <v>4620</v>
      </c>
      <c r="J12" s="38" t="s">
        <v>60</v>
      </c>
      <c r="K12" s="38" t="s">
        <v>4602</v>
      </c>
      <c r="L12" s="38" t="s">
        <v>4621</v>
      </c>
      <c r="M12" s="40" t="s">
        <v>4652</v>
      </c>
      <c r="N12" s="38"/>
      <c r="O12" s="38" t="s">
        <v>4653</v>
      </c>
      <c r="P12" s="37">
        <v>44683.0</v>
      </c>
      <c r="Q12" s="37">
        <v>7.863</v>
      </c>
      <c r="R12" s="37">
        <v>-179.0</v>
      </c>
      <c r="S12" s="4" t="str">
        <f t="shared" si="1"/>
        <v/>
      </c>
    </row>
    <row r="13">
      <c r="A13" s="38" t="s">
        <v>4597</v>
      </c>
      <c r="B13" s="38" t="s">
        <v>4598</v>
      </c>
      <c r="C13" s="38" t="s">
        <v>4654</v>
      </c>
      <c r="D13" s="38" t="s">
        <v>1348</v>
      </c>
      <c r="E13" s="38" t="s">
        <v>1347</v>
      </c>
      <c r="F13" s="38" t="s">
        <v>3845</v>
      </c>
      <c r="G13" s="38" t="s">
        <v>4655</v>
      </c>
      <c r="H13" s="38" t="s">
        <v>4584</v>
      </c>
      <c r="I13" s="38" t="s">
        <v>4601</v>
      </c>
      <c r="J13" s="38" t="s">
        <v>60</v>
      </c>
      <c r="K13" s="38" t="s">
        <v>4611</v>
      </c>
      <c r="L13" s="38" t="s">
        <v>4603</v>
      </c>
      <c r="M13" s="38" t="s">
        <v>4656</v>
      </c>
      <c r="N13" s="38" t="s">
        <v>4605</v>
      </c>
      <c r="O13" s="38" t="s">
        <v>4657</v>
      </c>
      <c r="P13" s="37">
        <v>44578.0</v>
      </c>
      <c r="Q13" s="37">
        <v>0.222</v>
      </c>
      <c r="R13" s="37">
        <v>0.0</v>
      </c>
      <c r="S13" s="4">
        <f t="shared" si="1"/>
        <v>0.222</v>
      </c>
    </row>
    <row r="14">
      <c r="A14" s="38" t="s">
        <v>4658</v>
      </c>
      <c r="B14" s="38" t="s">
        <v>4659</v>
      </c>
      <c r="C14" s="38" t="s">
        <v>4660</v>
      </c>
      <c r="D14" s="38" t="s">
        <v>212</v>
      </c>
      <c r="E14" s="38" t="s">
        <v>211</v>
      </c>
      <c r="F14" s="38" t="s">
        <v>3517</v>
      </c>
      <c r="G14" s="38" t="s">
        <v>4661</v>
      </c>
      <c r="H14" s="38" t="s">
        <v>4645</v>
      </c>
      <c r="I14" s="38" t="s">
        <v>4646</v>
      </c>
      <c r="J14" s="38" t="s">
        <v>60</v>
      </c>
      <c r="K14" s="38" t="s">
        <v>4602</v>
      </c>
      <c r="L14" s="38" t="s">
        <v>4621</v>
      </c>
      <c r="M14" s="38" t="s">
        <v>4647</v>
      </c>
      <c r="N14" s="38" t="s">
        <v>4605</v>
      </c>
      <c r="O14" s="38" t="s">
        <v>4662</v>
      </c>
      <c r="P14" s="37">
        <v>44203.0</v>
      </c>
      <c r="Q14" s="37">
        <v>1.032</v>
      </c>
      <c r="R14" s="37">
        <v>-16.0</v>
      </c>
      <c r="S14" s="4" t="str">
        <f t="shared" si="1"/>
        <v/>
      </c>
    </row>
    <row r="15">
      <c r="A15" s="38" t="s">
        <v>4663</v>
      </c>
      <c r="B15" s="38" t="s">
        <v>4664</v>
      </c>
      <c r="C15" s="38" t="s">
        <v>4665</v>
      </c>
      <c r="D15" s="38" t="s">
        <v>410</v>
      </c>
      <c r="E15" s="38" t="s">
        <v>409</v>
      </c>
      <c r="F15" s="38" t="s">
        <v>3564</v>
      </c>
      <c r="G15" s="38" t="s">
        <v>4666</v>
      </c>
      <c r="H15" s="38" t="s">
        <v>4584</v>
      </c>
      <c r="I15" s="38" t="s">
        <v>4601</v>
      </c>
      <c r="J15" s="38" t="s">
        <v>60</v>
      </c>
      <c r="K15" s="38" t="s">
        <v>4611</v>
      </c>
      <c r="L15" s="38" t="s">
        <v>4603</v>
      </c>
      <c r="M15" s="38" t="s">
        <v>4667</v>
      </c>
      <c r="N15" s="38" t="s">
        <v>4668</v>
      </c>
      <c r="O15" s="38" t="s">
        <v>4669</v>
      </c>
      <c r="P15" s="37">
        <v>44273.0</v>
      </c>
      <c r="Q15" s="37">
        <v>3.335</v>
      </c>
      <c r="R15" s="37">
        <v>0.0</v>
      </c>
      <c r="S15" s="4">
        <f t="shared" si="1"/>
        <v>3.335</v>
      </c>
    </row>
    <row r="16">
      <c r="A16" s="38" t="s">
        <v>453</v>
      </c>
      <c r="B16" s="38" t="s">
        <v>4670</v>
      </c>
      <c r="C16" s="38" t="s">
        <v>4671</v>
      </c>
      <c r="D16" s="38" t="s">
        <v>458</v>
      </c>
      <c r="E16" s="38" t="s">
        <v>457</v>
      </c>
      <c r="F16" s="38" t="s">
        <v>3580</v>
      </c>
      <c r="G16" s="38" t="s">
        <v>4672</v>
      </c>
      <c r="H16" s="38" t="s">
        <v>4584</v>
      </c>
      <c r="I16" s="38" t="s">
        <v>4601</v>
      </c>
      <c r="J16" s="38" t="s">
        <v>60</v>
      </c>
      <c r="K16" s="38" t="s">
        <v>4611</v>
      </c>
      <c r="L16" s="38" t="s">
        <v>4603</v>
      </c>
      <c r="M16" s="38" t="s">
        <v>4673</v>
      </c>
      <c r="N16" s="38" t="s">
        <v>4668</v>
      </c>
      <c r="O16" s="38" t="s">
        <v>4674</v>
      </c>
      <c r="P16" s="37">
        <v>44308.0</v>
      </c>
      <c r="Q16" s="37">
        <v>4.551</v>
      </c>
      <c r="R16" s="37">
        <v>0.0</v>
      </c>
      <c r="S16" s="4">
        <f t="shared" si="1"/>
        <v>4.551</v>
      </c>
    </row>
    <row r="17">
      <c r="A17" s="38" t="s">
        <v>453</v>
      </c>
      <c r="B17" s="38" t="s">
        <v>4670</v>
      </c>
      <c r="C17" s="38" t="s">
        <v>4671</v>
      </c>
      <c r="D17" s="38" t="s">
        <v>458</v>
      </c>
      <c r="E17" s="38" t="s">
        <v>457</v>
      </c>
      <c r="F17" s="38" t="s">
        <v>3582</v>
      </c>
      <c r="G17" s="38" t="s">
        <v>4675</v>
      </c>
      <c r="H17" s="38" t="s">
        <v>4584</v>
      </c>
      <c r="I17" s="38" t="s">
        <v>4601</v>
      </c>
      <c r="J17" s="38" t="s">
        <v>60</v>
      </c>
      <c r="K17" s="38" t="s">
        <v>4611</v>
      </c>
      <c r="L17" s="38" t="s">
        <v>4621</v>
      </c>
      <c r="M17" s="38" t="s">
        <v>4676</v>
      </c>
      <c r="N17" s="38" t="s">
        <v>4668</v>
      </c>
      <c r="O17" s="38" t="s">
        <v>4677</v>
      </c>
      <c r="P17" s="37">
        <v>44308.0</v>
      </c>
      <c r="Q17" s="37">
        <v>4.283</v>
      </c>
      <c r="R17" s="37">
        <v>0.0</v>
      </c>
      <c r="S17" s="4">
        <f t="shared" si="1"/>
        <v>4.283</v>
      </c>
    </row>
    <row r="18">
      <c r="A18" s="38" t="s">
        <v>453</v>
      </c>
      <c r="B18" s="38" t="s">
        <v>4670</v>
      </c>
      <c r="C18" s="38" t="s">
        <v>4671</v>
      </c>
      <c r="D18" s="38" t="s">
        <v>458</v>
      </c>
      <c r="E18" s="38" t="s">
        <v>457</v>
      </c>
      <c r="F18" s="38" t="s">
        <v>3576</v>
      </c>
      <c r="G18" s="38" t="s">
        <v>4678</v>
      </c>
      <c r="H18" s="38" t="s">
        <v>4584</v>
      </c>
      <c r="I18" s="38" t="s">
        <v>4610</v>
      </c>
      <c r="J18" s="38" t="s">
        <v>60</v>
      </c>
      <c r="K18" s="38" t="s">
        <v>4611</v>
      </c>
      <c r="L18" s="38" t="s">
        <v>4603</v>
      </c>
      <c r="M18" s="38" t="s">
        <v>4673</v>
      </c>
      <c r="N18" s="38" t="s">
        <v>4668</v>
      </c>
      <c r="O18" s="38" t="s">
        <v>4679</v>
      </c>
      <c r="P18" s="37">
        <v>44308.0</v>
      </c>
      <c r="Q18" s="37">
        <v>4.535825</v>
      </c>
      <c r="R18" s="37">
        <v>0.0</v>
      </c>
      <c r="S18" s="4">
        <f t="shared" si="1"/>
        <v>4.535825</v>
      </c>
    </row>
    <row r="19">
      <c r="A19" s="38" t="s">
        <v>453</v>
      </c>
      <c r="B19" s="38" t="s">
        <v>4670</v>
      </c>
      <c r="C19" s="38" t="s">
        <v>4671</v>
      </c>
      <c r="D19" s="38" t="s">
        <v>458</v>
      </c>
      <c r="E19" s="38" t="s">
        <v>457</v>
      </c>
      <c r="F19" s="38" t="s">
        <v>3578</v>
      </c>
      <c r="G19" s="38" t="s">
        <v>4680</v>
      </c>
      <c r="H19" s="38" t="s">
        <v>4584</v>
      </c>
      <c r="I19" s="38" t="s">
        <v>4610</v>
      </c>
      <c r="J19" s="38" t="s">
        <v>60</v>
      </c>
      <c r="K19" s="38" t="s">
        <v>4611</v>
      </c>
      <c r="L19" s="38" t="s">
        <v>4621</v>
      </c>
      <c r="M19" s="38" t="s">
        <v>4676</v>
      </c>
      <c r="N19" s="38" t="s">
        <v>4668</v>
      </c>
      <c r="O19" s="38" t="s">
        <v>4681</v>
      </c>
      <c r="P19" s="37">
        <v>44308.0</v>
      </c>
      <c r="Q19" s="37">
        <v>4.551057</v>
      </c>
      <c r="R19" s="37">
        <v>0.0</v>
      </c>
      <c r="S19" s="4">
        <f t="shared" si="1"/>
        <v>4.551057</v>
      </c>
    </row>
    <row r="20">
      <c r="A20" s="38" t="s">
        <v>1499</v>
      </c>
      <c r="B20" s="38" t="s">
        <v>4682</v>
      </c>
      <c r="C20" s="38" t="s">
        <v>4683</v>
      </c>
      <c r="D20" s="38" t="s">
        <v>1504</v>
      </c>
      <c r="E20" s="38" t="s">
        <v>1503</v>
      </c>
      <c r="F20" s="38" t="s">
        <v>3890</v>
      </c>
      <c r="G20" s="38" t="s">
        <v>4684</v>
      </c>
      <c r="H20" s="38" t="s">
        <v>4619</v>
      </c>
      <c r="I20" s="38" t="s">
        <v>4620</v>
      </c>
      <c r="J20" s="38" t="s">
        <v>60</v>
      </c>
      <c r="K20" s="38" t="s">
        <v>4602</v>
      </c>
      <c r="L20" s="38" t="s">
        <v>4621</v>
      </c>
      <c r="M20" s="40" t="s">
        <v>4685</v>
      </c>
      <c r="N20" s="38"/>
      <c r="O20" s="38" t="s">
        <v>4686</v>
      </c>
      <c r="P20" s="37">
        <v>44677.0</v>
      </c>
      <c r="Q20" s="37">
        <v>9.266</v>
      </c>
      <c r="R20" s="37">
        <v>-7.0</v>
      </c>
      <c r="S20" s="4" t="str">
        <f t="shared" si="1"/>
        <v/>
      </c>
    </row>
    <row r="21">
      <c r="A21" s="38" t="s">
        <v>166</v>
      </c>
      <c r="B21" s="38" t="s">
        <v>4687</v>
      </c>
      <c r="C21" s="38" t="s">
        <v>4688</v>
      </c>
      <c r="D21" s="38" t="s">
        <v>1541</v>
      </c>
      <c r="E21" s="38" t="s">
        <v>1540</v>
      </c>
      <c r="F21" s="38" t="s">
        <v>3902</v>
      </c>
      <c r="G21" s="38" t="s">
        <v>4689</v>
      </c>
      <c r="H21" s="38" t="s">
        <v>4584</v>
      </c>
      <c r="I21" s="38" t="s">
        <v>4601</v>
      </c>
      <c r="J21" s="38" t="s">
        <v>60</v>
      </c>
      <c r="K21" s="38" t="s">
        <v>4611</v>
      </c>
      <c r="L21" s="38" t="s">
        <v>4603</v>
      </c>
      <c r="M21" s="38" t="s">
        <v>4588</v>
      </c>
      <c r="N21" s="38" t="s">
        <v>4605</v>
      </c>
      <c r="O21" s="38" t="s">
        <v>4589</v>
      </c>
      <c r="P21" s="41" t="e">
        <v>#N/A</v>
      </c>
      <c r="Q21" s="38"/>
      <c r="R21" s="41" t="e">
        <v>#N/A</v>
      </c>
      <c r="S21" s="4" t="str">
        <f t="shared" si="1"/>
        <v>#N/A</v>
      </c>
    </row>
    <row r="22">
      <c r="A22" s="38" t="s">
        <v>529</v>
      </c>
      <c r="B22" s="38" t="s">
        <v>4590</v>
      </c>
      <c r="C22" s="38" t="s">
        <v>4690</v>
      </c>
      <c r="D22" s="38" t="s">
        <v>534</v>
      </c>
      <c r="E22" s="38" t="s">
        <v>533</v>
      </c>
      <c r="F22" s="38" t="s">
        <v>3600</v>
      </c>
      <c r="G22" s="38" t="s">
        <v>4691</v>
      </c>
      <c r="H22" s="38" t="s">
        <v>4584</v>
      </c>
      <c r="I22" s="38" t="s">
        <v>4593</v>
      </c>
      <c r="J22" s="38" t="s">
        <v>60</v>
      </c>
      <c r="K22" s="38" t="s">
        <v>4586</v>
      </c>
      <c r="L22" s="38" t="s">
        <v>4603</v>
      </c>
      <c r="M22" s="40" t="s">
        <v>4692</v>
      </c>
      <c r="N22" s="38"/>
      <c r="O22" s="38" t="s">
        <v>4693</v>
      </c>
      <c r="P22" s="41" t="e">
        <v>#N/A</v>
      </c>
      <c r="Q22" s="38"/>
      <c r="R22" s="41" t="e">
        <v>#N/A</v>
      </c>
      <c r="S22" s="4" t="str">
        <f t="shared" si="1"/>
        <v>#N/A</v>
      </c>
    </row>
    <row r="23">
      <c r="A23" s="38" t="s">
        <v>4597</v>
      </c>
      <c r="B23" s="38" t="s">
        <v>4598</v>
      </c>
      <c r="C23" s="38" t="s">
        <v>4599</v>
      </c>
      <c r="D23" s="38" t="s">
        <v>905</v>
      </c>
      <c r="E23" s="38" t="s">
        <v>904</v>
      </c>
      <c r="F23" s="38" t="s">
        <v>3713</v>
      </c>
      <c r="G23" s="38" t="s">
        <v>4694</v>
      </c>
      <c r="H23" s="38" t="s">
        <v>4584</v>
      </c>
      <c r="I23" s="38" t="s">
        <v>4601</v>
      </c>
      <c r="J23" s="38" t="s">
        <v>60</v>
      </c>
      <c r="K23" s="38" t="s">
        <v>4611</v>
      </c>
      <c r="L23" s="38" t="s">
        <v>4603</v>
      </c>
      <c r="M23" s="38" t="s">
        <v>4656</v>
      </c>
      <c r="N23" s="38" t="s">
        <v>4605</v>
      </c>
      <c r="O23" s="38" t="s">
        <v>4695</v>
      </c>
      <c r="P23" s="37">
        <v>44467.0</v>
      </c>
      <c r="Q23" s="37">
        <v>0.048</v>
      </c>
      <c r="R23" s="37">
        <v>0.0</v>
      </c>
      <c r="S23" s="4">
        <f t="shared" si="1"/>
        <v>0.048</v>
      </c>
    </row>
    <row r="24">
      <c r="A24" s="38" t="s">
        <v>4696</v>
      </c>
      <c r="B24" s="38" t="s">
        <v>4697</v>
      </c>
      <c r="C24" s="38" t="s">
        <v>4599</v>
      </c>
      <c r="D24" s="38" t="s">
        <v>188</v>
      </c>
      <c r="E24" s="38" t="s">
        <v>187</v>
      </c>
      <c r="F24" s="38" t="s">
        <v>3513</v>
      </c>
      <c r="G24" s="38" t="s">
        <v>4698</v>
      </c>
      <c r="H24" s="38" t="s">
        <v>4584</v>
      </c>
      <c r="I24" s="38" t="s">
        <v>4699</v>
      </c>
      <c r="J24" s="38" t="s">
        <v>60</v>
      </c>
      <c r="K24" s="38" t="s">
        <v>4602</v>
      </c>
      <c r="L24" s="38" t="s">
        <v>4700</v>
      </c>
      <c r="M24" s="38" t="s">
        <v>4701</v>
      </c>
      <c r="N24" s="38" t="s">
        <v>4605</v>
      </c>
      <c r="O24" s="38" t="s">
        <v>4702</v>
      </c>
      <c r="P24" s="37">
        <v>44685.0</v>
      </c>
      <c r="Q24" s="41" t="e">
        <v>#N/A</v>
      </c>
      <c r="R24" s="37">
        <v>-526.0</v>
      </c>
      <c r="S24" s="4" t="str">
        <f t="shared" si="1"/>
        <v/>
      </c>
    </row>
    <row r="25">
      <c r="A25" s="38" t="s">
        <v>680</v>
      </c>
      <c r="B25" s="38" t="s">
        <v>4703</v>
      </c>
      <c r="C25" s="38" t="s">
        <v>4704</v>
      </c>
      <c r="D25" s="38" t="s">
        <v>685</v>
      </c>
      <c r="E25" s="38" t="s">
        <v>684</v>
      </c>
      <c r="F25" s="38" t="s">
        <v>3640</v>
      </c>
      <c r="G25" s="38" t="s">
        <v>4705</v>
      </c>
      <c r="H25" s="38" t="s">
        <v>4619</v>
      </c>
      <c r="I25" s="38" t="s">
        <v>4601</v>
      </c>
      <c r="J25" s="38" t="s">
        <v>60</v>
      </c>
      <c r="K25" s="38" t="s">
        <v>4611</v>
      </c>
      <c r="L25" s="38" t="s">
        <v>4621</v>
      </c>
      <c r="M25" s="40" t="s">
        <v>4706</v>
      </c>
      <c r="N25" s="38"/>
      <c r="O25" s="38" t="s">
        <v>4707</v>
      </c>
      <c r="P25" s="37">
        <v>44363.0</v>
      </c>
      <c r="Q25" s="37">
        <v>1.733</v>
      </c>
      <c r="R25" s="37">
        <v>0.0</v>
      </c>
      <c r="S25" s="4">
        <f t="shared" si="1"/>
        <v>1.733</v>
      </c>
    </row>
    <row r="26">
      <c r="A26" s="38" t="s">
        <v>1474</v>
      </c>
      <c r="B26" s="38" t="s">
        <v>4708</v>
      </c>
      <c r="C26" s="38" t="s">
        <v>4709</v>
      </c>
      <c r="D26" s="38" t="s">
        <v>1479</v>
      </c>
      <c r="E26" s="38" t="s">
        <v>1478</v>
      </c>
      <c r="F26" s="38" t="s">
        <v>3883</v>
      </c>
      <c r="G26" s="38" t="s">
        <v>4710</v>
      </c>
      <c r="H26" s="38" t="s">
        <v>4584</v>
      </c>
      <c r="I26" s="38" t="s">
        <v>4699</v>
      </c>
      <c r="J26" s="38" t="s">
        <v>60</v>
      </c>
      <c r="K26" s="38" t="s">
        <v>4602</v>
      </c>
      <c r="L26" s="38" t="s">
        <v>4603</v>
      </c>
      <c r="M26" s="38" t="s">
        <v>4656</v>
      </c>
      <c r="N26" s="38" t="s">
        <v>4605</v>
      </c>
      <c r="O26" s="38" t="s">
        <v>4711</v>
      </c>
      <c r="P26" s="37">
        <v>44649.0</v>
      </c>
      <c r="Q26" s="37">
        <v>0.943</v>
      </c>
      <c r="R26" s="37">
        <v>0.0</v>
      </c>
      <c r="S26" s="4">
        <f t="shared" si="1"/>
        <v>0.943</v>
      </c>
    </row>
    <row r="27">
      <c r="A27" s="38" t="s">
        <v>4712</v>
      </c>
      <c r="B27" s="38" t="s">
        <v>4713</v>
      </c>
      <c r="C27" s="38" t="s">
        <v>4582</v>
      </c>
      <c r="D27" s="38" t="s">
        <v>732</v>
      </c>
      <c r="E27" s="38" t="s">
        <v>731</v>
      </c>
      <c r="F27" s="38" t="s">
        <v>3659</v>
      </c>
      <c r="G27" s="38" t="s">
        <v>4714</v>
      </c>
      <c r="H27" s="38" t="s">
        <v>4584</v>
      </c>
      <c r="I27" s="38" t="s">
        <v>4601</v>
      </c>
      <c r="J27" s="38" t="s">
        <v>60</v>
      </c>
      <c r="K27" s="38" t="s">
        <v>4611</v>
      </c>
      <c r="L27" s="38" t="s">
        <v>4621</v>
      </c>
      <c r="M27" s="38" t="s">
        <v>4715</v>
      </c>
      <c r="N27" s="38" t="s">
        <v>4668</v>
      </c>
      <c r="O27" s="38" t="s">
        <v>4716</v>
      </c>
      <c r="P27" s="37">
        <v>44389.0</v>
      </c>
      <c r="Q27" s="37">
        <v>3.322</v>
      </c>
      <c r="R27" s="37">
        <v>-5.0</v>
      </c>
      <c r="S27" s="4" t="str">
        <f t="shared" si="1"/>
        <v/>
      </c>
    </row>
    <row r="28">
      <c r="A28" s="38" t="s">
        <v>727</v>
      </c>
      <c r="B28" s="38" t="s">
        <v>4717</v>
      </c>
      <c r="C28" s="38" t="s">
        <v>4665</v>
      </c>
      <c r="D28" s="38" t="s">
        <v>732</v>
      </c>
      <c r="E28" s="38" t="s">
        <v>731</v>
      </c>
      <c r="F28" s="38" t="s">
        <v>3657</v>
      </c>
      <c r="G28" s="38" t="s">
        <v>4718</v>
      </c>
      <c r="H28" s="38" t="s">
        <v>4584</v>
      </c>
      <c r="I28" s="38" t="s">
        <v>4601</v>
      </c>
      <c r="J28" s="38" t="s">
        <v>60</v>
      </c>
      <c r="K28" s="38" t="s">
        <v>4611</v>
      </c>
      <c r="L28" s="38" t="s">
        <v>4603</v>
      </c>
      <c r="M28" s="38" t="s">
        <v>4719</v>
      </c>
      <c r="N28" s="38" t="s">
        <v>4668</v>
      </c>
      <c r="O28" s="38" t="s">
        <v>4720</v>
      </c>
      <c r="P28" s="37">
        <v>44384.0</v>
      </c>
      <c r="Q28" s="37">
        <v>3.653</v>
      </c>
      <c r="R28" s="37">
        <v>0.0</v>
      </c>
      <c r="S28" s="4">
        <f t="shared" si="1"/>
        <v>3.653</v>
      </c>
    </row>
    <row r="29">
      <c r="A29" s="38" t="s">
        <v>727</v>
      </c>
      <c r="B29" s="38" t="s">
        <v>4717</v>
      </c>
      <c r="C29" s="38" t="s">
        <v>4665</v>
      </c>
      <c r="D29" s="38" t="s">
        <v>732</v>
      </c>
      <c r="E29" s="38" t="s">
        <v>731</v>
      </c>
      <c r="F29" s="38" t="s">
        <v>3651</v>
      </c>
      <c r="G29" s="38" t="s">
        <v>4721</v>
      </c>
      <c r="H29" s="38" t="s">
        <v>4584</v>
      </c>
      <c r="I29" s="38" t="s">
        <v>4610</v>
      </c>
      <c r="J29" s="38" t="s">
        <v>60</v>
      </c>
      <c r="K29" s="38" t="s">
        <v>4611</v>
      </c>
      <c r="L29" s="38" t="s">
        <v>4603</v>
      </c>
      <c r="M29" s="38" t="s">
        <v>4719</v>
      </c>
      <c r="N29" s="38" t="s">
        <v>4668</v>
      </c>
      <c r="O29" s="38" t="s">
        <v>4722</v>
      </c>
      <c r="P29" s="37">
        <v>44384.0</v>
      </c>
      <c r="Q29" s="37">
        <v>3.657027</v>
      </c>
      <c r="R29" s="37">
        <v>0.0</v>
      </c>
      <c r="S29" s="4">
        <f t="shared" si="1"/>
        <v>3.657027</v>
      </c>
    </row>
    <row r="30">
      <c r="A30" s="38" t="s">
        <v>4712</v>
      </c>
      <c r="B30" s="38" t="s">
        <v>4713</v>
      </c>
      <c r="C30" s="38" t="s">
        <v>4582</v>
      </c>
      <c r="D30" s="38" t="s">
        <v>732</v>
      </c>
      <c r="E30" s="38" t="s">
        <v>731</v>
      </c>
      <c r="F30" s="38" t="s">
        <v>3653</v>
      </c>
      <c r="G30" s="38" t="s">
        <v>4723</v>
      </c>
      <c r="H30" s="38" t="s">
        <v>4584</v>
      </c>
      <c r="I30" s="38" t="s">
        <v>4610</v>
      </c>
      <c r="J30" s="38" t="s">
        <v>60</v>
      </c>
      <c r="K30" s="38" t="s">
        <v>4611</v>
      </c>
      <c r="L30" s="38" t="s">
        <v>4621</v>
      </c>
      <c r="M30" s="38" t="s">
        <v>4715</v>
      </c>
      <c r="N30" s="38" t="s">
        <v>4668</v>
      </c>
      <c r="O30" s="38" t="s">
        <v>4716</v>
      </c>
      <c r="P30" s="37">
        <v>44392.0</v>
      </c>
      <c r="Q30" s="37">
        <v>3.632185</v>
      </c>
      <c r="R30" s="37">
        <v>-8.0</v>
      </c>
      <c r="S30" s="4" t="str">
        <f t="shared" si="1"/>
        <v/>
      </c>
    </row>
    <row r="31">
      <c r="A31" s="38" t="s">
        <v>4597</v>
      </c>
      <c r="B31" s="38" t="s">
        <v>4598</v>
      </c>
      <c r="C31" s="38" t="s">
        <v>4724</v>
      </c>
      <c r="D31" s="38" t="s">
        <v>785</v>
      </c>
      <c r="E31" s="38" t="s">
        <v>784</v>
      </c>
      <c r="F31" s="38" t="s">
        <v>3671</v>
      </c>
      <c r="G31" s="38" t="s">
        <v>4725</v>
      </c>
      <c r="H31" s="38" t="s">
        <v>4609</v>
      </c>
      <c r="I31" s="38" t="s">
        <v>4610</v>
      </c>
      <c r="J31" s="38" t="s">
        <v>60</v>
      </c>
      <c r="K31" s="38" t="s">
        <v>4611</v>
      </c>
      <c r="L31" s="38" t="s">
        <v>4603</v>
      </c>
      <c r="M31" s="38" t="s">
        <v>4726</v>
      </c>
      <c r="N31" s="38" t="s">
        <v>4605</v>
      </c>
      <c r="O31" s="38" t="s">
        <v>4727</v>
      </c>
      <c r="P31" s="37">
        <v>44389.0</v>
      </c>
      <c r="Q31" s="37">
        <v>1.366</v>
      </c>
      <c r="R31" s="37">
        <v>0.0</v>
      </c>
      <c r="S31" s="4">
        <f t="shared" si="1"/>
        <v>1.366</v>
      </c>
    </row>
    <row r="32">
      <c r="A32" s="38" t="s">
        <v>4597</v>
      </c>
      <c r="B32" s="38" t="s">
        <v>4598</v>
      </c>
      <c r="C32" s="38" t="s">
        <v>4724</v>
      </c>
      <c r="D32" s="38" t="s">
        <v>785</v>
      </c>
      <c r="E32" s="38" t="s">
        <v>784</v>
      </c>
      <c r="F32" s="38" t="s">
        <v>3679</v>
      </c>
      <c r="G32" s="38" t="s">
        <v>4728</v>
      </c>
      <c r="H32" s="38" t="s">
        <v>4609</v>
      </c>
      <c r="I32" s="38" t="s">
        <v>4601</v>
      </c>
      <c r="J32" s="38" t="s">
        <v>60</v>
      </c>
      <c r="K32" s="38" t="s">
        <v>4611</v>
      </c>
      <c r="L32" s="38" t="s">
        <v>4603</v>
      </c>
      <c r="M32" s="38" t="s">
        <v>4726</v>
      </c>
      <c r="N32" s="38" t="s">
        <v>4605</v>
      </c>
      <c r="O32" s="38" t="s">
        <v>4727</v>
      </c>
      <c r="P32" s="37">
        <v>44390.0</v>
      </c>
      <c r="Q32" s="37">
        <v>1.464</v>
      </c>
      <c r="R32" s="37">
        <v>-1.0</v>
      </c>
      <c r="S32" s="4" t="str">
        <f t="shared" si="1"/>
        <v/>
      </c>
    </row>
    <row r="33">
      <c r="A33" s="38" t="s">
        <v>704</v>
      </c>
      <c r="B33" s="38" t="s">
        <v>4729</v>
      </c>
      <c r="C33" s="38" t="s">
        <v>4730</v>
      </c>
      <c r="D33" s="38" t="s">
        <v>709</v>
      </c>
      <c r="E33" s="38" t="s">
        <v>708</v>
      </c>
      <c r="F33" s="38" t="s">
        <v>3647</v>
      </c>
      <c r="G33" s="38" t="s">
        <v>4731</v>
      </c>
      <c r="H33" s="38" t="s">
        <v>4584</v>
      </c>
      <c r="I33" s="38" t="s">
        <v>4601</v>
      </c>
      <c r="J33" s="38" t="s">
        <v>60</v>
      </c>
      <c r="K33" s="38" t="s">
        <v>4611</v>
      </c>
      <c r="L33" s="38" t="s">
        <v>4603</v>
      </c>
      <c r="M33" s="38" t="s">
        <v>4732</v>
      </c>
      <c r="N33" s="38" t="s">
        <v>4668</v>
      </c>
      <c r="O33" s="38" t="s">
        <v>4733</v>
      </c>
      <c r="P33" s="37">
        <v>44378.0</v>
      </c>
      <c r="Q33" s="37">
        <v>3.408</v>
      </c>
      <c r="R33" s="37">
        <v>0.0</v>
      </c>
      <c r="S33" s="4">
        <f t="shared" si="1"/>
        <v>3.408</v>
      </c>
    </row>
    <row r="34">
      <c r="A34" s="38" t="s">
        <v>704</v>
      </c>
      <c r="B34" s="38" t="s">
        <v>4729</v>
      </c>
      <c r="C34" s="38" t="s">
        <v>4730</v>
      </c>
      <c r="D34" s="38" t="s">
        <v>709</v>
      </c>
      <c r="E34" s="38" t="s">
        <v>708</v>
      </c>
      <c r="F34" s="38" t="s">
        <v>3645</v>
      </c>
      <c r="G34" s="38" t="s">
        <v>4734</v>
      </c>
      <c r="H34" s="38" t="s">
        <v>4584</v>
      </c>
      <c r="I34" s="38" t="s">
        <v>4610</v>
      </c>
      <c r="J34" s="38" t="s">
        <v>60</v>
      </c>
      <c r="K34" s="38" t="s">
        <v>4611</v>
      </c>
      <c r="L34" s="38" t="s">
        <v>4603</v>
      </c>
      <c r="M34" s="38" t="s">
        <v>4732</v>
      </c>
      <c r="N34" s="38" t="s">
        <v>4668</v>
      </c>
      <c r="O34" s="38" t="s">
        <v>4735</v>
      </c>
      <c r="P34" s="37">
        <v>44378.0</v>
      </c>
      <c r="Q34" s="37">
        <v>3.455965</v>
      </c>
      <c r="R34" s="37">
        <v>0.0</v>
      </c>
      <c r="S34" s="4">
        <f t="shared" si="1"/>
        <v>3.455965</v>
      </c>
    </row>
    <row r="35">
      <c r="A35" s="38" t="s">
        <v>1414</v>
      </c>
      <c r="B35" s="38" t="s">
        <v>4736</v>
      </c>
      <c r="C35" s="38" t="s">
        <v>4665</v>
      </c>
      <c r="D35" s="38" t="s">
        <v>1419</v>
      </c>
      <c r="E35" s="38" t="s">
        <v>1418</v>
      </c>
      <c r="F35" s="38" t="s">
        <v>3865</v>
      </c>
      <c r="G35" s="38" t="s">
        <v>4737</v>
      </c>
      <c r="H35" s="38" t="s">
        <v>4584</v>
      </c>
      <c r="I35" s="38" t="s">
        <v>4601</v>
      </c>
      <c r="J35" s="38" t="s">
        <v>60</v>
      </c>
      <c r="K35" s="38" t="s">
        <v>4611</v>
      </c>
      <c r="L35" s="38" t="s">
        <v>4603</v>
      </c>
      <c r="M35" s="38" t="s">
        <v>4673</v>
      </c>
      <c r="N35" s="38" t="s">
        <v>4668</v>
      </c>
      <c r="O35" s="38" t="s">
        <v>4738</v>
      </c>
      <c r="P35" s="37">
        <v>44589.0</v>
      </c>
      <c r="Q35" s="37">
        <v>3.996</v>
      </c>
      <c r="R35" s="37">
        <v>0.0</v>
      </c>
      <c r="S35" s="4">
        <f t="shared" si="1"/>
        <v>3.996</v>
      </c>
    </row>
    <row r="36">
      <c r="A36" s="38" t="s">
        <v>894</v>
      </c>
      <c r="B36" s="38" t="s">
        <v>4739</v>
      </c>
      <c r="C36" s="38" t="s">
        <v>4740</v>
      </c>
      <c r="D36" s="38" t="s">
        <v>899</v>
      </c>
      <c r="E36" s="38" t="s">
        <v>898</v>
      </c>
      <c r="F36" s="38" t="s">
        <v>3711</v>
      </c>
      <c r="G36" s="38" t="s">
        <v>4741</v>
      </c>
      <c r="H36" s="38" t="s">
        <v>4619</v>
      </c>
      <c r="I36" s="38" t="s">
        <v>4620</v>
      </c>
      <c r="J36" s="38" t="s">
        <v>60</v>
      </c>
      <c r="K36" s="38" t="s">
        <v>4602</v>
      </c>
      <c r="L36" s="38" t="s">
        <v>4621</v>
      </c>
      <c r="M36" s="40" t="s">
        <v>4742</v>
      </c>
      <c r="N36" s="38"/>
      <c r="O36" s="38" t="s">
        <v>4743</v>
      </c>
      <c r="P36" s="37">
        <v>44468.0</v>
      </c>
      <c r="Q36" s="37">
        <v>1.027</v>
      </c>
      <c r="R36" s="37">
        <v>0.0</v>
      </c>
      <c r="S36" s="4">
        <f t="shared" si="1"/>
        <v>1.027</v>
      </c>
    </row>
    <row r="37">
      <c r="A37" s="38" t="s">
        <v>859</v>
      </c>
      <c r="B37" s="38" t="s">
        <v>4744</v>
      </c>
      <c r="C37" s="38" t="s">
        <v>4745</v>
      </c>
      <c r="D37" s="38" t="s">
        <v>864</v>
      </c>
      <c r="E37" s="38" t="s">
        <v>863</v>
      </c>
      <c r="F37" s="38" t="s">
        <v>3701</v>
      </c>
      <c r="G37" s="38" t="s">
        <v>4746</v>
      </c>
      <c r="H37" s="38" t="s">
        <v>4584</v>
      </c>
      <c r="I37" s="38" t="s">
        <v>4610</v>
      </c>
      <c r="J37" s="38" t="s">
        <v>60</v>
      </c>
      <c r="K37" s="38" t="s">
        <v>4611</v>
      </c>
      <c r="L37" s="38" t="s">
        <v>4603</v>
      </c>
      <c r="M37" s="38" t="s">
        <v>4747</v>
      </c>
      <c r="N37" s="38" t="s">
        <v>4668</v>
      </c>
      <c r="O37" s="38" t="s">
        <v>4748</v>
      </c>
      <c r="P37" s="37">
        <v>44470.0</v>
      </c>
      <c r="Q37" s="37">
        <v>4.148978</v>
      </c>
      <c r="R37" s="37">
        <v>0.0</v>
      </c>
      <c r="S37" s="4">
        <f t="shared" si="1"/>
        <v>4.148978</v>
      </c>
    </row>
    <row r="38">
      <c r="A38" s="38" t="s">
        <v>859</v>
      </c>
      <c r="B38" s="38" t="s">
        <v>4744</v>
      </c>
      <c r="C38" s="38" t="s">
        <v>4745</v>
      </c>
      <c r="D38" s="38" t="s">
        <v>864</v>
      </c>
      <c r="E38" s="38" t="s">
        <v>863</v>
      </c>
      <c r="F38" s="38" t="s">
        <v>3703</v>
      </c>
      <c r="G38" s="38" t="s">
        <v>4749</v>
      </c>
      <c r="H38" s="38" t="s">
        <v>4584</v>
      </c>
      <c r="I38" s="38" t="s">
        <v>4601</v>
      </c>
      <c r="J38" s="38" t="s">
        <v>60</v>
      </c>
      <c r="K38" s="38" t="s">
        <v>4611</v>
      </c>
      <c r="L38" s="38" t="s">
        <v>4603</v>
      </c>
      <c r="M38" s="38" t="s">
        <v>4747</v>
      </c>
      <c r="N38" s="38" t="s">
        <v>4668</v>
      </c>
      <c r="O38" s="38" t="s">
        <v>4750</v>
      </c>
      <c r="P38" s="37">
        <v>44470.0</v>
      </c>
      <c r="Q38" s="37">
        <v>4.081</v>
      </c>
      <c r="R38" s="37">
        <v>0.0</v>
      </c>
      <c r="S38" s="4">
        <f t="shared" si="1"/>
        <v>4.081</v>
      </c>
    </row>
    <row r="39">
      <c r="A39" s="38" t="s">
        <v>4751</v>
      </c>
      <c r="B39" s="38" t="s">
        <v>4752</v>
      </c>
      <c r="C39" s="38" t="s">
        <v>4745</v>
      </c>
      <c r="D39" s="38" t="s">
        <v>960</v>
      </c>
      <c r="E39" s="38" t="s">
        <v>959</v>
      </c>
      <c r="F39" s="38" t="s">
        <v>3732</v>
      </c>
      <c r="G39" s="38" t="s">
        <v>4753</v>
      </c>
      <c r="H39" s="38" t="s">
        <v>4584</v>
      </c>
      <c r="I39" s="38" t="s">
        <v>4601</v>
      </c>
      <c r="J39" s="38" t="s">
        <v>60</v>
      </c>
      <c r="K39" s="38" t="s">
        <v>4611</v>
      </c>
      <c r="L39" s="38" t="s">
        <v>4603</v>
      </c>
      <c r="M39" s="38" t="s">
        <v>4754</v>
      </c>
      <c r="N39" s="38" t="s">
        <v>4668</v>
      </c>
      <c r="O39" s="38" t="s">
        <v>4755</v>
      </c>
      <c r="P39" s="37">
        <v>44481.0</v>
      </c>
      <c r="Q39" s="37">
        <v>4.537</v>
      </c>
      <c r="R39" s="37">
        <v>0.0</v>
      </c>
      <c r="S39" s="4">
        <f t="shared" si="1"/>
        <v>4.537</v>
      </c>
    </row>
    <row r="40">
      <c r="A40" s="38" t="s">
        <v>4751</v>
      </c>
      <c r="B40" s="38" t="s">
        <v>4752</v>
      </c>
      <c r="C40" s="38" t="s">
        <v>4671</v>
      </c>
      <c r="D40" s="38" t="s">
        <v>960</v>
      </c>
      <c r="E40" s="38" t="s">
        <v>959</v>
      </c>
      <c r="F40" s="38" t="s">
        <v>3734</v>
      </c>
      <c r="G40" s="38" t="s">
        <v>4756</v>
      </c>
      <c r="H40" s="38" t="s">
        <v>4584</v>
      </c>
      <c r="I40" s="38" t="s">
        <v>4601</v>
      </c>
      <c r="J40" s="38" t="s">
        <v>60</v>
      </c>
      <c r="K40" s="38" t="s">
        <v>4611</v>
      </c>
      <c r="L40" s="38" t="s">
        <v>4621</v>
      </c>
      <c r="M40" s="38" t="s">
        <v>4757</v>
      </c>
      <c r="N40" s="38" t="s">
        <v>4668</v>
      </c>
      <c r="O40" s="38" t="s">
        <v>4758</v>
      </c>
      <c r="P40" s="37">
        <v>44482.0</v>
      </c>
      <c r="Q40" s="37">
        <v>3.985</v>
      </c>
      <c r="R40" s="37">
        <v>-1.0</v>
      </c>
      <c r="S40" s="4" t="str">
        <f t="shared" si="1"/>
        <v/>
      </c>
    </row>
    <row r="41">
      <c r="A41" s="38" t="s">
        <v>4751</v>
      </c>
      <c r="B41" s="38" t="s">
        <v>4752</v>
      </c>
      <c r="C41" s="38" t="s">
        <v>4745</v>
      </c>
      <c r="D41" s="38" t="s">
        <v>960</v>
      </c>
      <c r="E41" s="38" t="s">
        <v>959</v>
      </c>
      <c r="F41" s="38" t="s">
        <v>3728</v>
      </c>
      <c r="G41" s="38" t="s">
        <v>4759</v>
      </c>
      <c r="H41" s="38" t="s">
        <v>4584</v>
      </c>
      <c r="I41" s="38" t="s">
        <v>4610</v>
      </c>
      <c r="J41" s="38" t="s">
        <v>60</v>
      </c>
      <c r="K41" s="38" t="s">
        <v>4611</v>
      </c>
      <c r="L41" s="38" t="s">
        <v>4603</v>
      </c>
      <c r="M41" s="38" t="s">
        <v>4754</v>
      </c>
      <c r="N41" s="38" t="s">
        <v>4668</v>
      </c>
      <c r="O41" s="38" t="s">
        <v>4760</v>
      </c>
      <c r="P41" s="37">
        <v>44481.0</v>
      </c>
      <c r="Q41" s="37">
        <v>4.588035</v>
      </c>
      <c r="R41" s="37">
        <v>0.0</v>
      </c>
      <c r="S41" s="4">
        <f t="shared" si="1"/>
        <v>4.588035</v>
      </c>
    </row>
    <row r="42">
      <c r="A42" s="38" t="s">
        <v>4751</v>
      </c>
      <c r="B42" s="38" t="s">
        <v>4752</v>
      </c>
      <c r="C42" s="38" t="s">
        <v>4671</v>
      </c>
      <c r="D42" s="38" t="s">
        <v>960</v>
      </c>
      <c r="E42" s="38" t="s">
        <v>959</v>
      </c>
      <c r="F42" s="38" t="s">
        <v>3730</v>
      </c>
      <c r="G42" s="38" t="s">
        <v>4761</v>
      </c>
      <c r="H42" s="38" t="s">
        <v>4584</v>
      </c>
      <c r="I42" s="38" t="s">
        <v>4610</v>
      </c>
      <c r="J42" s="38" t="s">
        <v>60</v>
      </c>
      <c r="K42" s="38" t="s">
        <v>4611</v>
      </c>
      <c r="L42" s="38" t="s">
        <v>4621</v>
      </c>
      <c r="M42" s="38" t="s">
        <v>4762</v>
      </c>
      <c r="N42" s="38" t="s">
        <v>4668</v>
      </c>
      <c r="O42" s="38" t="s">
        <v>4589</v>
      </c>
      <c r="P42" s="37">
        <v>44685.0</v>
      </c>
      <c r="Q42" s="41" t="e">
        <v>#N/A</v>
      </c>
      <c r="R42" s="37">
        <v>-204.0</v>
      </c>
      <c r="S42" s="4" t="str">
        <f t="shared" si="1"/>
        <v/>
      </c>
    </row>
    <row r="43">
      <c r="A43" s="38" t="s">
        <v>1487</v>
      </c>
      <c r="B43" s="38" t="s">
        <v>4763</v>
      </c>
      <c r="C43" s="38" t="s">
        <v>4764</v>
      </c>
      <c r="D43" s="38" t="s">
        <v>1491</v>
      </c>
      <c r="E43" s="38" t="s">
        <v>1455</v>
      </c>
      <c r="F43" s="38" t="s">
        <v>3886</v>
      </c>
      <c r="G43" s="38" t="s">
        <v>4765</v>
      </c>
      <c r="H43" s="38" t="s">
        <v>4584</v>
      </c>
      <c r="I43" s="38" t="s">
        <v>4699</v>
      </c>
      <c r="J43" s="38" t="s">
        <v>60</v>
      </c>
      <c r="K43" s="38" t="s">
        <v>4602</v>
      </c>
      <c r="L43" s="38" t="s">
        <v>4603</v>
      </c>
      <c r="M43" s="38" t="s">
        <v>4719</v>
      </c>
      <c r="N43" s="38" t="s">
        <v>4605</v>
      </c>
      <c r="O43" s="38" t="s">
        <v>4766</v>
      </c>
      <c r="P43" s="37">
        <v>44650.0</v>
      </c>
      <c r="Q43" s="37">
        <v>1.867</v>
      </c>
      <c r="R43" s="37">
        <v>0.0</v>
      </c>
      <c r="S43" s="4">
        <f t="shared" si="1"/>
        <v>1.867</v>
      </c>
    </row>
    <row r="44">
      <c r="A44" s="38" t="s">
        <v>1133</v>
      </c>
      <c r="B44" s="38" t="s">
        <v>4767</v>
      </c>
      <c r="C44" s="38" t="s">
        <v>4768</v>
      </c>
      <c r="D44" s="38" t="s">
        <v>1143</v>
      </c>
      <c r="E44" s="38" t="s">
        <v>1137</v>
      </c>
      <c r="F44" s="38" t="s">
        <v>3781</v>
      </c>
      <c r="G44" s="38" t="s">
        <v>4769</v>
      </c>
      <c r="H44" s="38" t="s">
        <v>4609</v>
      </c>
      <c r="I44" s="38" t="s">
        <v>4601</v>
      </c>
      <c r="J44" s="38" t="s">
        <v>60</v>
      </c>
      <c r="K44" s="38" t="s">
        <v>4611</v>
      </c>
      <c r="L44" s="38" t="s">
        <v>4603</v>
      </c>
      <c r="M44" s="38" t="s">
        <v>4770</v>
      </c>
      <c r="N44" s="38" t="s">
        <v>4605</v>
      </c>
      <c r="O44" s="38" t="s">
        <v>4771</v>
      </c>
      <c r="P44" s="37">
        <v>44517.0</v>
      </c>
      <c r="Q44" s="37">
        <v>1.838</v>
      </c>
      <c r="R44" s="37">
        <v>0.0</v>
      </c>
      <c r="S44" s="4">
        <f t="shared" si="1"/>
        <v>1.838</v>
      </c>
    </row>
    <row r="45">
      <c r="A45" s="38" t="s">
        <v>1146</v>
      </c>
      <c r="B45" s="38" t="s">
        <v>4772</v>
      </c>
      <c r="C45" s="38" t="s">
        <v>4773</v>
      </c>
      <c r="D45" s="38" t="s">
        <v>1151</v>
      </c>
      <c r="E45" s="38" t="s">
        <v>1150</v>
      </c>
      <c r="F45" s="38" t="s">
        <v>3783</v>
      </c>
      <c r="G45" s="38" t="s">
        <v>4774</v>
      </c>
      <c r="H45" s="38" t="s">
        <v>4619</v>
      </c>
      <c r="I45" s="38" t="s">
        <v>4620</v>
      </c>
      <c r="J45" s="38" t="s">
        <v>60</v>
      </c>
      <c r="K45" s="38" t="s">
        <v>4602</v>
      </c>
      <c r="L45" s="38" t="s">
        <v>4621</v>
      </c>
      <c r="M45" s="40" t="s">
        <v>4775</v>
      </c>
      <c r="N45" s="38"/>
      <c r="O45" s="38" t="s">
        <v>4776</v>
      </c>
      <c r="P45" s="37">
        <v>44523.0</v>
      </c>
      <c r="Q45" s="37">
        <v>0.517</v>
      </c>
      <c r="R45" s="37">
        <v>0.0</v>
      </c>
      <c r="S45" s="4">
        <f t="shared" si="1"/>
        <v>0.517</v>
      </c>
    </row>
    <row r="46">
      <c r="A46" s="38" t="s">
        <v>1167</v>
      </c>
      <c r="B46" s="38" t="s">
        <v>4777</v>
      </c>
      <c r="C46" s="38" t="s">
        <v>4778</v>
      </c>
      <c r="D46" s="38" t="s">
        <v>1172</v>
      </c>
      <c r="E46" s="38" t="s">
        <v>1171</v>
      </c>
      <c r="F46" s="38" t="s">
        <v>3789</v>
      </c>
      <c r="G46" s="38" t="s">
        <v>4779</v>
      </c>
      <c r="H46" s="38" t="s">
        <v>4584</v>
      </c>
      <c r="I46" s="38" t="s">
        <v>4601</v>
      </c>
      <c r="J46" s="38" t="s">
        <v>60</v>
      </c>
      <c r="K46" s="38" t="s">
        <v>4611</v>
      </c>
      <c r="L46" s="38" t="s">
        <v>4603</v>
      </c>
      <c r="M46" s="38" t="s">
        <v>4719</v>
      </c>
      <c r="N46" s="38" t="s">
        <v>4605</v>
      </c>
      <c r="O46" s="38" t="s">
        <v>4780</v>
      </c>
      <c r="P46" s="37">
        <v>44525.0</v>
      </c>
      <c r="Q46" s="37">
        <v>0.919</v>
      </c>
      <c r="R46" s="37">
        <v>0.0</v>
      </c>
      <c r="S46" s="4">
        <f t="shared" si="1"/>
        <v>0.919</v>
      </c>
    </row>
    <row r="47">
      <c r="A47" s="38" t="s">
        <v>1209</v>
      </c>
      <c r="B47" s="38" t="s">
        <v>4781</v>
      </c>
      <c r="C47" s="38" t="s">
        <v>4782</v>
      </c>
      <c r="D47" s="38" t="s">
        <v>1214</v>
      </c>
      <c r="E47" s="38" t="s">
        <v>1213</v>
      </c>
      <c r="F47" s="38" t="s">
        <v>3803</v>
      </c>
      <c r="G47" s="38" t="s">
        <v>4783</v>
      </c>
      <c r="H47" s="38" t="s">
        <v>4619</v>
      </c>
      <c r="I47" s="38" t="s">
        <v>4620</v>
      </c>
      <c r="J47" s="38" t="s">
        <v>60</v>
      </c>
      <c r="K47" s="38" t="s">
        <v>4602</v>
      </c>
      <c r="L47" s="38" t="s">
        <v>4621</v>
      </c>
      <c r="M47" s="40" t="s">
        <v>4775</v>
      </c>
      <c r="N47" s="38"/>
      <c r="O47" s="38" t="s">
        <v>4784</v>
      </c>
      <c r="P47" s="37">
        <v>44594.0</v>
      </c>
      <c r="Q47" s="37">
        <v>1.213</v>
      </c>
      <c r="R47" s="37">
        <v>-64.0</v>
      </c>
      <c r="S47" s="4" t="str">
        <f t="shared" si="1"/>
        <v/>
      </c>
    </row>
    <row r="48">
      <c r="A48" s="38" t="s">
        <v>4785</v>
      </c>
      <c r="B48" s="38" t="s">
        <v>4786</v>
      </c>
      <c r="C48" s="38" t="s">
        <v>4787</v>
      </c>
      <c r="D48" s="38" t="s">
        <v>1205</v>
      </c>
      <c r="E48" s="38" t="s">
        <v>1204</v>
      </c>
      <c r="F48" s="38" t="s">
        <v>3801</v>
      </c>
      <c r="G48" s="38" t="s">
        <v>4788</v>
      </c>
      <c r="H48" s="38" t="s">
        <v>4584</v>
      </c>
      <c r="I48" s="38" t="s">
        <v>4789</v>
      </c>
      <c r="J48" s="38" t="s">
        <v>60</v>
      </c>
      <c r="K48" s="38" t="s">
        <v>4602</v>
      </c>
      <c r="L48" s="38" t="s">
        <v>4603</v>
      </c>
      <c r="M48" s="40" t="s">
        <v>4790</v>
      </c>
      <c r="N48" s="38"/>
      <c r="O48" s="38" t="s">
        <v>4791</v>
      </c>
      <c r="P48" s="37">
        <v>44536.0</v>
      </c>
      <c r="Q48" s="37">
        <v>4.136</v>
      </c>
      <c r="R48" s="37">
        <v>-4.0</v>
      </c>
      <c r="S48" s="4" t="str">
        <f t="shared" si="1"/>
        <v/>
      </c>
    </row>
    <row r="49">
      <c r="A49" s="38" t="s">
        <v>4792</v>
      </c>
      <c r="B49" s="38" t="s">
        <v>4793</v>
      </c>
      <c r="C49" s="38" t="s">
        <v>4794</v>
      </c>
      <c r="D49" s="38" t="s">
        <v>1236</v>
      </c>
      <c r="E49" s="38" t="s">
        <v>1029</v>
      </c>
      <c r="F49" s="38" t="s">
        <v>3809</v>
      </c>
      <c r="G49" s="38" t="s">
        <v>4795</v>
      </c>
      <c r="H49" s="38" t="s">
        <v>4619</v>
      </c>
      <c r="I49" s="38" t="s">
        <v>4620</v>
      </c>
      <c r="J49" s="38" t="s">
        <v>60</v>
      </c>
      <c r="K49" s="38" t="s">
        <v>4602</v>
      </c>
      <c r="L49" s="38" t="s">
        <v>4621</v>
      </c>
      <c r="M49" s="40" t="s">
        <v>4796</v>
      </c>
      <c r="N49" s="38"/>
      <c r="O49" s="38" t="s">
        <v>4797</v>
      </c>
      <c r="P49" s="37">
        <v>44649.0</v>
      </c>
      <c r="Q49" s="37">
        <v>6.944</v>
      </c>
      <c r="R49" s="37">
        <v>-112.0</v>
      </c>
      <c r="S49" s="4" t="str">
        <f t="shared" si="1"/>
        <v/>
      </c>
    </row>
    <row r="50">
      <c r="A50" s="38" t="s">
        <v>4798</v>
      </c>
      <c r="B50" s="38" t="s">
        <v>4799</v>
      </c>
      <c r="C50" s="38" t="s">
        <v>4800</v>
      </c>
      <c r="D50" s="38" t="s">
        <v>225</v>
      </c>
      <c r="E50" s="38" t="s">
        <v>1244</v>
      </c>
      <c r="F50" s="38" t="s">
        <v>3811</v>
      </c>
      <c r="G50" s="38" t="s">
        <v>4801</v>
      </c>
      <c r="H50" s="38" t="s">
        <v>4584</v>
      </c>
      <c r="I50" s="38" t="s">
        <v>4610</v>
      </c>
      <c r="J50" s="38" t="s">
        <v>60</v>
      </c>
      <c r="K50" s="38" t="s">
        <v>4611</v>
      </c>
      <c r="L50" s="38" t="s">
        <v>4621</v>
      </c>
      <c r="M50" s="38" t="s">
        <v>4802</v>
      </c>
      <c r="N50" s="38" t="s">
        <v>4668</v>
      </c>
      <c r="O50" s="38" t="s">
        <v>4803</v>
      </c>
      <c r="P50" s="37">
        <v>44545.0</v>
      </c>
      <c r="Q50" s="37">
        <v>5.542872</v>
      </c>
      <c r="R50" s="37">
        <v>-1.0</v>
      </c>
      <c r="S50" s="4" t="str">
        <f t="shared" si="1"/>
        <v/>
      </c>
    </row>
    <row r="51">
      <c r="A51" s="38" t="s">
        <v>4798</v>
      </c>
      <c r="B51" s="38" t="s">
        <v>4799</v>
      </c>
      <c r="C51" s="38" t="s">
        <v>4800</v>
      </c>
      <c r="D51" s="38" t="s">
        <v>225</v>
      </c>
      <c r="E51" s="38" t="s">
        <v>1244</v>
      </c>
      <c r="F51" s="38" t="s">
        <v>3813</v>
      </c>
      <c r="G51" s="38" t="s">
        <v>4804</v>
      </c>
      <c r="H51" s="38" t="s">
        <v>4584</v>
      </c>
      <c r="I51" s="38" t="s">
        <v>4601</v>
      </c>
      <c r="J51" s="38" t="s">
        <v>60</v>
      </c>
      <c r="K51" s="38" t="s">
        <v>4611</v>
      </c>
      <c r="L51" s="38" t="s">
        <v>4621</v>
      </c>
      <c r="M51" s="38" t="s">
        <v>4802</v>
      </c>
      <c r="N51" s="38" t="s">
        <v>4668</v>
      </c>
      <c r="O51" s="38" t="s">
        <v>4805</v>
      </c>
      <c r="P51" s="37">
        <v>44544.0</v>
      </c>
      <c r="Q51" s="37">
        <v>4.902</v>
      </c>
      <c r="R51" s="37">
        <v>0.0</v>
      </c>
      <c r="S51" s="4">
        <f t="shared" si="1"/>
        <v>4.902</v>
      </c>
    </row>
    <row r="52">
      <c r="A52" s="38" t="s">
        <v>4623</v>
      </c>
      <c r="B52" s="38" t="s">
        <v>4624</v>
      </c>
      <c r="C52" s="38" t="s">
        <v>4806</v>
      </c>
      <c r="D52" s="38" t="s">
        <v>225</v>
      </c>
      <c r="E52" s="38" t="s">
        <v>249</v>
      </c>
      <c r="F52" s="38" t="s">
        <v>3519</v>
      </c>
      <c r="G52" s="38" t="s">
        <v>4807</v>
      </c>
      <c r="H52" s="38" t="s">
        <v>4584</v>
      </c>
      <c r="I52" s="38" t="s">
        <v>4626</v>
      </c>
      <c r="J52" s="38" t="s">
        <v>60</v>
      </c>
      <c r="K52" s="38" t="s">
        <v>4602</v>
      </c>
      <c r="L52" s="38" t="s">
        <v>4627</v>
      </c>
      <c r="M52" s="40" t="s">
        <v>4808</v>
      </c>
      <c r="N52" s="38"/>
      <c r="O52" s="38" t="s">
        <v>4589</v>
      </c>
      <c r="P52" s="41" t="e">
        <v>#N/A</v>
      </c>
      <c r="Q52" s="38"/>
      <c r="R52" s="41" t="e">
        <v>#N/A</v>
      </c>
      <c r="S52" s="4" t="str">
        <f t="shared" si="1"/>
        <v>#N/A</v>
      </c>
    </row>
    <row r="53">
      <c r="A53" s="38" t="s">
        <v>4809</v>
      </c>
      <c r="B53" s="38" t="s">
        <v>4810</v>
      </c>
      <c r="C53" s="38" t="s">
        <v>4811</v>
      </c>
      <c r="D53" s="38" t="s">
        <v>225</v>
      </c>
      <c r="E53" s="38" t="s">
        <v>1244</v>
      </c>
      <c r="F53" s="38" t="s">
        <v>3815</v>
      </c>
      <c r="G53" s="38" t="s">
        <v>4812</v>
      </c>
      <c r="H53" s="38" t="s">
        <v>4619</v>
      </c>
      <c r="I53" s="38" t="s">
        <v>4620</v>
      </c>
      <c r="J53" s="38" t="s">
        <v>60</v>
      </c>
      <c r="K53" s="38" t="s">
        <v>4602</v>
      </c>
      <c r="L53" s="38" t="s">
        <v>4621</v>
      </c>
      <c r="M53" s="40" t="s">
        <v>4813</v>
      </c>
      <c r="N53" s="38"/>
      <c r="O53" s="38" t="s">
        <v>4814</v>
      </c>
      <c r="P53" s="37">
        <v>44544.0</v>
      </c>
      <c r="Q53" s="37">
        <v>0.737</v>
      </c>
      <c r="R53" s="37">
        <v>0.0</v>
      </c>
      <c r="S53" s="4">
        <f t="shared" si="1"/>
        <v>0.737</v>
      </c>
    </row>
    <row r="54">
      <c r="A54" s="38" t="s">
        <v>1076</v>
      </c>
      <c r="B54" s="38" t="s">
        <v>4815</v>
      </c>
      <c r="C54" s="38" t="s">
        <v>4816</v>
      </c>
      <c r="D54" s="38" t="s">
        <v>1115</v>
      </c>
      <c r="E54" s="38" t="s">
        <v>937</v>
      </c>
      <c r="F54" s="38" t="s">
        <v>3773</v>
      </c>
      <c r="G54" s="38" t="s">
        <v>4817</v>
      </c>
      <c r="H54" s="38" t="s">
        <v>4584</v>
      </c>
      <c r="I54" s="38" t="s">
        <v>4601</v>
      </c>
      <c r="J54" s="38" t="s">
        <v>60</v>
      </c>
      <c r="K54" s="38" t="s">
        <v>4611</v>
      </c>
      <c r="L54" s="38" t="s">
        <v>4603</v>
      </c>
      <c r="M54" s="38" t="s">
        <v>4818</v>
      </c>
      <c r="N54" s="38" t="s">
        <v>4668</v>
      </c>
      <c r="O54" s="38" t="s">
        <v>4819</v>
      </c>
      <c r="P54" s="37">
        <v>44510.0</v>
      </c>
      <c r="Q54" s="37">
        <v>2.389</v>
      </c>
      <c r="R54" s="37">
        <v>0.0</v>
      </c>
      <c r="S54" s="4">
        <f t="shared" si="1"/>
        <v>2.389</v>
      </c>
    </row>
    <row r="55">
      <c r="A55" s="38" t="s">
        <v>1432</v>
      </c>
      <c r="B55" s="38" t="s">
        <v>4820</v>
      </c>
      <c r="C55" s="38" t="s">
        <v>4821</v>
      </c>
      <c r="D55" s="38" t="s">
        <v>1437</v>
      </c>
      <c r="E55" s="38" t="s">
        <v>1436</v>
      </c>
      <c r="F55" s="38" t="s">
        <v>3871</v>
      </c>
      <c r="G55" s="38" t="s">
        <v>4822</v>
      </c>
      <c r="H55" s="38" t="s">
        <v>4619</v>
      </c>
      <c r="I55" s="38" t="s">
        <v>4620</v>
      </c>
      <c r="J55" s="38" t="s">
        <v>60</v>
      </c>
      <c r="K55" s="38" t="s">
        <v>4602</v>
      </c>
      <c r="L55" s="38" t="s">
        <v>4621</v>
      </c>
      <c r="M55" s="40" t="s">
        <v>4823</v>
      </c>
      <c r="N55" s="38"/>
      <c r="O55" s="38" t="s">
        <v>4824</v>
      </c>
      <c r="P55" s="37">
        <v>44614.0</v>
      </c>
      <c r="Q55" s="37">
        <v>1.328</v>
      </c>
      <c r="R55" s="37">
        <v>0.0</v>
      </c>
      <c r="S55" s="4">
        <f t="shared" si="1"/>
        <v>1.328</v>
      </c>
    </row>
    <row r="56">
      <c r="A56" s="38" t="s">
        <v>4825</v>
      </c>
      <c r="B56" s="38" t="s">
        <v>4826</v>
      </c>
      <c r="C56" s="38" t="s">
        <v>4827</v>
      </c>
      <c r="D56" s="38" t="s">
        <v>68</v>
      </c>
      <c r="E56" s="38" t="s">
        <v>1509</v>
      </c>
      <c r="F56" s="38" t="s">
        <v>3894</v>
      </c>
      <c r="G56" s="38" t="s">
        <v>4828</v>
      </c>
      <c r="H56" s="38" t="s">
        <v>4584</v>
      </c>
      <c r="I56" s="38" t="s">
        <v>4601</v>
      </c>
      <c r="J56" s="38" t="s">
        <v>60</v>
      </c>
      <c r="K56" s="38" t="s">
        <v>4611</v>
      </c>
      <c r="L56" s="38" t="s">
        <v>4594</v>
      </c>
      <c r="M56" s="38" t="s">
        <v>4829</v>
      </c>
      <c r="N56" s="38" t="s">
        <v>4605</v>
      </c>
      <c r="O56" s="38" t="s">
        <v>4830</v>
      </c>
      <c r="P56" s="37">
        <v>44657.0</v>
      </c>
      <c r="Q56" s="37">
        <v>2.236</v>
      </c>
      <c r="R56" s="37">
        <v>0.0</v>
      </c>
      <c r="S56" s="4">
        <f t="shared" si="1"/>
        <v>2.236</v>
      </c>
    </row>
    <row r="57">
      <c r="A57" s="38" t="s">
        <v>1551</v>
      </c>
      <c r="B57" s="38" t="s">
        <v>4831</v>
      </c>
      <c r="C57" s="38" t="s">
        <v>4832</v>
      </c>
      <c r="D57" s="38" t="s">
        <v>1557</v>
      </c>
      <c r="E57" s="38" t="s">
        <v>1556</v>
      </c>
      <c r="F57" s="38" t="s">
        <v>3906</v>
      </c>
      <c r="G57" s="38" t="s">
        <v>4833</v>
      </c>
      <c r="H57" s="38" t="s">
        <v>4584</v>
      </c>
      <c r="I57" s="38" t="s">
        <v>4834</v>
      </c>
      <c r="J57" s="38" t="s">
        <v>60</v>
      </c>
      <c r="K57" s="38" t="s">
        <v>4602</v>
      </c>
      <c r="L57" s="38" t="s">
        <v>4603</v>
      </c>
      <c r="M57" s="40" t="s">
        <v>4835</v>
      </c>
      <c r="N57" s="38"/>
      <c r="O57" s="38" t="s">
        <v>4589</v>
      </c>
      <c r="P57" s="40" t="s">
        <v>4836</v>
      </c>
      <c r="Q57" s="38"/>
      <c r="R57" s="41" t="e">
        <v>#VALUE!</v>
      </c>
      <c r="S57" s="4" t="str">
        <f t="shared" si="1"/>
        <v>#VALUE!</v>
      </c>
    </row>
    <row r="58">
      <c r="A58" s="38" t="s">
        <v>1059</v>
      </c>
      <c r="B58" s="38" t="s">
        <v>4837</v>
      </c>
      <c r="C58" s="38" t="s">
        <v>4671</v>
      </c>
      <c r="D58" s="38" t="s">
        <v>1049</v>
      </c>
      <c r="E58" s="38" t="s">
        <v>1048</v>
      </c>
      <c r="F58" s="38" t="s">
        <v>3759</v>
      </c>
      <c r="G58" s="38" t="s">
        <v>4838</v>
      </c>
      <c r="H58" s="38" t="s">
        <v>4609</v>
      </c>
      <c r="I58" s="38" t="s">
        <v>4610</v>
      </c>
      <c r="J58" s="38" t="s">
        <v>60</v>
      </c>
      <c r="K58" s="38" t="s">
        <v>4611</v>
      </c>
      <c r="L58" s="38" t="s">
        <v>4603</v>
      </c>
      <c r="M58" s="38" t="s">
        <v>4839</v>
      </c>
      <c r="N58" s="38" t="s">
        <v>4668</v>
      </c>
      <c r="O58" s="38" t="s">
        <v>4840</v>
      </c>
      <c r="P58" s="37">
        <v>44509.0</v>
      </c>
      <c r="Q58" s="37">
        <v>4.4272</v>
      </c>
      <c r="R58" s="37">
        <v>0.0</v>
      </c>
      <c r="S58" s="4">
        <f t="shared" si="1"/>
        <v>4.4272</v>
      </c>
    </row>
    <row r="59">
      <c r="A59" s="38" t="s">
        <v>1043</v>
      </c>
      <c r="B59" s="38" t="s">
        <v>4841</v>
      </c>
      <c r="C59" s="38" t="s">
        <v>4842</v>
      </c>
      <c r="D59" s="38" t="s">
        <v>1049</v>
      </c>
      <c r="E59" s="38" t="s">
        <v>1048</v>
      </c>
      <c r="F59" s="38" t="s">
        <v>3753</v>
      </c>
      <c r="G59" s="38" t="s">
        <v>4843</v>
      </c>
      <c r="H59" s="38" t="s">
        <v>4584</v>
      </c>
      <c r="I59" s="38" t="s">
        <v>4601</v>
      </c>
      <c r="J59" s="38" t="s">
        <v>60</v>
      </c>
      <c r="K59" s="38" t="s">
        <v>4611</v>
      </c>
      <c r="L59" s="38" t="s">
        <v>4603</v>
      </c>
      <c r="M59" s="38" t="s">
        <v>4844</v>
      </c>
      <c r="N59" s="38" t="s">
        <v>4668</v>
      </c>
      <c r="O59" s="38" t="s">
        <v>4845</v>
      </c>
      <c r="P59" s="37">
        <v>44509.0</v>
      </c>
      <c r="Q59" s="37">
        <v>3.719</v>
      </c>
      <c r="R59" s="37">
        <v>0.0</v>
      </c>
      <c r="S59" s="4">
        <f t="shared" si="1"/>
        <v>3.719</v>
      </c>
    </row>
    <row r="60">
      <c r="A60" s="38" t="s">
        <v>591</v>
      </c>
      <c r="B60" s="38" t="s">
        <v>4846</v>
      </c>
      <c r="C60" s="38" t="s">
        <v>4768</v>
      </c>
      <c r="D60" s="38" t="s">
        <v>598</v>
      </c>
      <c r="E60" s="38" t="s">
        <v>597</v>
      </c>
      <c r="F60" s="38" t="s">
        <v>3618</v>
      </c>
      <c r="G60" s="38" t="s">
        <v>4847</v>
      </c>
      <c r="H60" s="38" t="s">
        <v>4584</v>
      </c>
      <c r="I60" s="38" t="s">
        <v>4601</v>
      </c>
      <c r="J60" s="38" t="s">
        <v>60</v>
      </c>
      <c r="K60" s="38" t="s">
        <v>4611</v>
      </c>
      <c r="L60" s="38" t="s">
        <v>4603</v>
      </c>
      <c r="M60" s="38" t="s">
        <v>4848</v>
      </c>
      <c r="N60" s="38" t="s">
        <v>4605</v>
      </c>
      <c r="O60" s="38" t="s">
        <v>4849</v>
      </c>
      <c r="P60" s="37">
        <v>44350.0</v>
      </c>
      <c r="Q60" s="37">
        <v>1.821</v>
      </c>
      <c r="R60" s="37">
        <v>0.0</v>
      </c>
      <c r="S60" s="4">
        <f t="shared" si="1"/>
        <v>1.821</v>
      </c>
    </row>
    <row r="61">
      <c r="A61" s="38" t="s">
        <v>4597</v>
      </c>
      <c r="B61" s="38" t="s">
        <v>4598</v>
      </c>
      <c r="C61" s="38" t="s">
        <v>4850</v>
      </c>
      <c r="D61" s="38" t="s">
        <v>647</v>
      </c>
      <c r="E61" s="38" t="s">
        <v>1693</v>
      </c>
      <c r="F61" s="38" t="s">
        <v>3945</v>
      </c>
      <c r="G61" s="38" t="s">
        <v>4851</v>
      </c>
      <c r="H61" s="38" t="s">
        <v>4584</v>
      </c>
      <c r="I61" s="38" t="s">
        <v>4601</v>
      </c>
      <c r="J61" s="38" t="s">
        <v>60</v>
      </c>
      <c r="K61" s="38" t="s">
        <v>4611</v>
      </c>
      <c r="L61" s="38" t="s">
        <v>4603</v>
      </c>
      <c r="M61" s="38" t="s">
        <v>4604</v>
      </c>
      <c r="N61" s="38" t="s">
        <v>4605</v>
      </c>
      <c r="O61" s="38" t="s">
        <v>4852</v>
      </c>
      <c r="P61" s="37">
        <v>43755.0</v>
      </c>
      <c r="Q61" s="37">
        <v>0.506</v>
      </c>
      <c r="R61" s="37">
        <v>0.0</v>
      </c>
      <c r="S61" s="4">
        <f t="shared" si="1"/>
        <v>0.506</v>
      </c>
    </row>
    <row r="62">
      <c r="A62" s="38" t="s">
        <v>4597</v>
      </c>
      <c r="B62" s="38" t="s">
        <v>4598</v>
      </c>
      <c r="C62" s="38" t="s">
        <v>4599</v>
      </c>
      <c r="D62" s="38" t="s">
        <v>647</v>
      </c>
      <c r="E62" s="38" t="s">
        <v>646</v>
      </c>
      <c r="F62" s="38" t="s">
        <v>3628</v>
      </c>
      <c r="G62" s="38" t="s">
        <v>4853</v>
      </c>
      <c r="H62" s="38" t="s">
        <v>4584</v>
      </c>
      <c r="I62" s="38" t="s">
        <v>4601</v>
      </c>
      <c r="J62" s="38" t="s">
        <v>60</v>
      </c>
      <c r="K62" s="38" t="s">
        <v>4611</v>
      </c>
      <c r="L62" s="38" t="s">
        <v>4603</v>
      </c>
      <c r="M62" s="38" t="s">
        <v>4604</v>
      </c>
      <c r="N62" s="38" t="s">
        <v>4605</v>
      </c>
      <c r="O62" s="38" t="s">
        <v>4854</v>
      </c>
      <c r="P62" s="37">
        <v>44364.0</v>
      </c>
      <c r="Q62" s="37">
        <v>0.119</v>
      </c>
      <c r="R62" s="37">
        <v>0.0</v>
      </c>
      <c r="S62" s="4">
        <f t="shared" si="1"/>
        <v>0.119</v>
      </c>
    </row>
    <row r="63">
      <c r="A63" s="38" t="s">
        <v>741</v>
      </c>
      <c r="B63" s="38" t="s">
        <v>4855</v>
      </c>
      <c r="C63" s="38" t="s">
        <v>4856</v>
      </c>
      <c r="D63" s="38" t="s">
        <v>744</v>
      </c>
      <c r="E63" s="38" t="s">
        <v>731</v>
      </c>
      <c r="F63" s="38" t="s">
        <v>3661</v>
      </c>
      <c r="G63" s="38" t="s">
        <v>4857</v>
      </c>
      <c r="H63" s="38" t="s">
        <v>4584</v>
      </c>
      <c r="I63" s="38" t="s">
        <v>4601</v>
      </c>
      <c r="J63" s="38" t="s">
        <v>60</v>
      </c>
      <c r="K63" s="38" t="s">
        <v>4611</v>
      </c>
      <c r="L63" s="38" t="s">
        <v>4603</v>
      </c>
      <c r="M63" s="38" t="s">
        <v>4858</v>
      </c>
      <c r="N63" s="38" t="s">
        <v>4668</v>
      </c>
      <c r="O63" s="38" t="s">
        <v>4859</v>
      </c>
      <c r="P63" s="37">
        <v>44384.0</v>
      </c>
      <c r="Q63" s="37">
        <v>5.261</v>
      </c>
      <c r="R63" s="37">
        <v>0.0</v>
      </c>
      <c r="S63" s="4">
        <f t="shared" si="1"/>
        <v>5.261</v>
      </c>
    </row>
    <row r="64">
      <c r="A64" s="38" t="s">
        <v>741</v>
      </c>
      <c r="B64" s="38" t="s">
        <v>4855</v>
      </c>
      <c r="C64" s="38" t="s">
        <v>4856</v>
      </c>
      <c r="D64" s="38" t="s">
        <v>744</v>
      </c>
      <c r="E64" s="38" t="s">
        <v>731</v>
      </c>
      <c r="F64" s="38" t="s">
        <v>3655</v>
      </c>
      <c r="G64" s="38" t="s">
        <v>4860</v>
      </c>
      <c r="H64" s="38" t="s">
        <v>4584</v>
      </c>
      <c r="I64" s="38" t="s">
        <v>4610</v>
      </c>
      <c r="J64" s="38" t="s">
        <v>60</v>
      </c>
      <c r="K64" s="38" t="s">
        <v>4611</v>
      </c>
      <c r="L64" s="38" t="s">
        <v>4603</v>
      </c>
      <c r="M64" s="38" t="s">
        <v>4858</v>
      </c>
      <c r="N64" s="38" t="s">
        <v>4668</v>
      </c>
      <c r="O64" s="38" t="s">
        <v>4861</v>
      </c>
      <c r="P64" s="37">
        <v>44384.0</v>
      </c>
      <c r="Q64" s="37">
        <v>5.189</v>
      </c>
      <c r="R64" s="37">
        <v>0.0</v>
      </c>
      <c r="S64" s="4">
        <f t="shared" si="1"/>
        <v>5.189</v>
      </c>
    </row>
    <row r="65">
      <c r="A65" s="38" t="s">
        <v>1422</v>
      </c>
      <c r="B65" s="38" t="s">
        <v>4862</v>
      </c>
      <c r="C65" s="38" t="s">
        <v>4863</v>
      </c>
      <c r="D65" s="38" t="s">
        <v>1427</v>
      </c>
      <c r="E65" s="38" t="s">
        <v>1426</v>
      </c>
      <c r="F65" s="38" t="s">
        <v>3867</v>
      </c>
      <c r="G65" s="38" t="s">
        <v>4864</v>
      </c>
      <c r="H65" s="38" t="s">
        <v>4584</v>
      </c>
      <c r="I65" s="38" t="s">
        <v>4601</v>
      </c>
      <c r="J65" s="38" t="s">
        <v>60</v>
      </c>
      <c r="K65" s="38" t="s">
        <v>4611</v>
      </c>
      <c r="L65" s="38" t="s">
        <v>4603</v>
      </c>
      <c r="M65" s="38" t="s">
        <v>4676</v>
      </c>
      <c r="N65" s="38" t="s">
        <v>4668</v>
      </c>
      <c r="O65" s="38" t="s">
        <v>4865</v>
      </c>
      <c r="P65" s="37">
        <v>44602.0</v>
      </c>
      <c r="Q65" s="37">
        <v>5.946</v>
      </c>
      <c r="R65" s="37">
        <v>0.0</v>
      </c>
      <c r="S65" s="4">
        <f t="shared" si="1"/>
        <v>5.946</v>
      </c>
    </row>
    <row r="66">
      <c r="A66" s="38" t="s">
        <v>1422</v>
      </c>
      <c r="B66" s="38" t="s">
        <v>4862</v>
      </c>
      <c r="C66" s="38" t="s">
        <v>4863</v>
      </c>
      <c r="D66" s="38" t="s">
        <v>1427</v>
      </c>
      <c r="E66" s="38" t="s">
        <v>1426</v>
      </c>
      <c r="F66" s="38" t="s">
        <v>3869</v>
      </c>
      <c r="G66" s="38" t="s">
        <v>4866</v>
      </c>
      <c r="H66" s="38" t="s">
        <v>4584</v>
      </c>
      <c r="I66" s="38" t="s">
        <v>4610</v>
      </c>
      <c r="J66" s="38" t="s">
        <v>60</v>
      </c>
      <c r="K66" s="38" t="s">
        <v>4611</v>
      </c>
      <c r="L66" s="38" t="s">
        <v>4603</v>
      </c>
      <c r="M66" s="38" t="s">
        <v>4676</v>
      </c>
      <c r="N66" s="38" t="s">
        <v>4668</v>
      </c>
      <c r="O66" s="38" t="s">
        <v>4867</v>
      </c>
      <c r="P66" s="37">
        <v>44608.0</v>
      </c>
      <c r="Q66" s="37">
        <v>5.701</v>
      </c>
      <c r="R66" s="37">
        <v>-6.0</v>
      </c>
      <c r="S66" s="4" t="str">
        <f t="shared" si="1"/>
        <v/>
      </c>
    </row>
    <row r="67">
      <c r="A67" s="38" t="s">
        <v>4597</v>
      </c>
      <c r="B67" s="38" t="s">
        <v>4598</v>
      </c>
      <c r="C67" s="38" t="s">
        <v>4778</v>
      </c>
      <c r="D67" s="38" t="s">
        <v>1652</v>
      </c>
      <c r="E67" s="38" t="s">
        <v>1651</v>
      </c>
      <c r="F67" s="38" t="s">
        <v>3934</v>
      </c>
      <c r="G67" s="38" t="s">
        <v>4868</v>
      </c>
      <c r="H67" s="38" t="s">
        <v>4869</v>
      </c>
      <c r="I67" s="38" t="s">
        <v>4601</v>
      </c>
      <c r="J67" s="38" t="s">
        <v>60</v>
      </c>
      <c r="K67" s="38" t="s">
        <v>4611</v>
      </c>
      <c r="L67" s="38" t="s">
        <v>4603</v>
      </c>
      <c r="M67" s="38" t="s">
        <v>4870</v>
      </c>
      <c r="N67" s="38" t="s">
        <v>4605</v>
      </c>
      <c r="O67" s="38" t="s">
        <v>4871</v>
      </c>
      <c r="P67" s="37">
        <v>44124.0</v>
      </c>
      <c r="Q67" s="37">
        <v>0.905</v>
      </c>
      <c r="R67" s="37">
        <v>0.0</v>
      </c>
      <c r="S67" s="4">
        <f t="shared" si="1"/>
        <v>0.905</v>
      </c>
    </row>
    <row r="68">
      <c r="A68" s="38" t="s">
        <v>989</v>
      </c>
      <c r="B68" s="38" t="s">
        <v>4872</v>
      </c>
      <c r="C68" s="38" t="s">
        <v>4873</v>
      </c>
      <c r="D68" s="38" t="s">
        <v>993</v>
      </c>
      <c r="E68" s="38" t="s">
        <v>937</v>
      </c>
      <c r="F68" s="38" t="s">
        <v>3740</v>
      </c>
      <c r="G68" s="38" t="s">
        <v>4874</v>
      </c>
      <c r="H68" s="38" t="s">
        <v>4584</v>
      </c>
      <c r="I68" s="38" t="s">
        <v>4601</v>
      </c>
      <c r="J68" s="38" t="s">
        <v>60</v>
      </c>
      <c r="K68" s="38" t="s">
        <v>4611</v>
      </c>
      <c r="L68" s="38" t="s">
        <v>4603</v>
      </c>
      <c r="M68" s="40" t="s">
        <v>4875</v>
      </c>
      <c r="N68" s="38"/>
      <c r="O68" s="38" t="s">
        <v>4876</v>
      </c>
      <c r="P68" s="37">
        <v>44641.0</v>
      </c>
      <c r="Q68" s="37">
        <v>2.38</v>
      </c>
      <c r="R68" s="37">
        <v>-131.0</v>
      </c>
      <c r="S68" s="4" t="str">
        <f t="shared" si="1"/>
        <v/>
      </c>
    </row>
    <row r="69">
      <c r="A69" s="38" t="s">
        <v>232</v>
      </c>
      <c r="B69" s="38" t="s">
        <v>4877</v>
      </c>
      <c r="C69" s="38" t="s">
        <v>4878</v>
      </c>
      <c r="D69" s="38" t="s">
        <v>237</v>
      </c>
      <c r="E69" s="38" t="s">
        <v>236</v>
      </c>
      <c r="F69" s="38" t="s">
        <v>3521</v>
      </c>
      <c r="G69" s="38" t="s">
        <v>4879</v>
      </c>
      <c r="H69" s="38" t="s">
        <v>4584</v>
      </c>
      <c r="I69" s="38" t="s">
        <v>4699</v>
      </c>
      <c r="J69" s="38" t="s">
        <v>60</v>
      </c>
      <c r="K69" s="38" t="s">
        <v>4602</v>
      </c>
      <c r="L69" s="38" t="s">
        <v>4603</v>
      </c>
      <c r="M69" s="40" t="s">
        <v>4880</v>
      </c>
      <c r="N69" s="38"/>
      <c r="O69" s="38" t="s">
        <v>4589</v>
      </c>
      <c r="P69" s="41" t="e">
        <v>#N/A</v>
      </c>
      <c r="Q69" s="38"/>
      <c r="R69" s="41" t="e">
        <v>#N/A</v>
      </c>
      <c r="S69" s="4" t="str">
        <f t="shared" si="1"/>
        <v>#N/A</v>
      </c>
    </row>
    <row r="70">
      <c r="A70" s="38" t="s">
        <v>4881</v>
      </c>
      <c r="B70" s="38" t="s">
        <v>4882</v>
      </c>
      <c r="C70" s="38" t="s">
        <v>4883</v>
      </c>
      <c r="D70" s="38" t="s">
        <v>202</v>
      </c>
      <c r="E70" s="38" t="s">
        <v>201</v>
      </c>
      <c r="F70" s="38" t="s">
        <v>3515</v>
      </c>
      <c r="G70" s="38" t="s">
        <v>4884</v>
      </c>
      <c r="H70" s="38" t="s">
        <v>4584</v>
      </c>
      <c r="I70" s="38" t="s">
        <v>4601</v>
      </c>
      <c r="J70" s="38" t="s">
        <v>60</v>
      </c>
      <c r="K70" s="38" t="s">
        <v>4611</v>
      </c>
      <c r="L70" s="38" t="s">
        <v>4603</v>
      </c>
      <c r="M70" s="40" t="s">
        <v>4595</v>
      </c>
      <c r="N70" s="38"/>
      <c r="O70" s="38" t="s">
        <v>4885</v>
      </c>
      <c r="P70" s="37">
        <v>44174.0</v>
      </c>
      <c r="Q70" s="37">
        <v>3.19</v>
      </c>
      <c r="R70" s="37">
        <v>0.0</v>
      </c>
      <c r="S70" s="4">
        <f t="shared" si="1"/>
        <v>3.19</v>
      </c>
    </row>
    <row r="71">
      <c r="A71" s="38" t="s">
        <v>775</v>
      </c>
      <c r="B71" s="38" t="s">
        <v>4886</v>
      </c>
      <c r="C71" s="38" t="s">
        <v>4887</v>
      </c>
      <c r="D71" s="38" t="s">
        <v>1465</v>
      </c>
      <c r="E71" s="38" t="s">
        <v>1464</v>
      </c>
      <c r="F71" s="38" t="s">
        <v>3879</v>
      </c>
      <c r="G71" s="38" t="s">
        <v>4888</v>
      </c>
      <c r="H71" s="38" t="s">
        <v>4584</v>
      </c>
      <c r="I71" s="38" t="s">
        <v>4601</v>
      </c>
      <c r="J71" s="38" t="s">
        <v>60</v>
      </c>
      <c r="K71" s="38" t="s">
        <v>4611</v>
      </c>
      <c r="L71" s="38" t="s">
        <v>4603</v>
      </c>
      <c r="M71" s="38" t="s">
        <v>4889</v>
      </c>
      <c r="N71" s="38" t="s">
        <v>4605</v>
      </c>
      <c r="O71" s="38" t="s">
        <v>4890</v>
      </c>
      <c r="P71" s="37">
        <v>44636.0</v>
      </c>
      <c r="Q71" s="37">
        <v>1.683914</v>
      </c>
      <c r="R71" s="37">
        <v>0.0</v>
      </c>
      <c r="S71" s="4">
        <f t="shared" si="1"/>
        <v>1.683914</v>
      </c>
    </row>
    <row r="72">
      <c r="A72" s="38" t="s">
        <v>4891</v>
      </c>
      <c r="B72" s="38" t="s">
        <v>4892</v>
      </c>
      <c r="C72" s="38" t="s">
        <v>4768</v>
      </c>
      <c r="D72" s="38" t="s">
        <v>1471</v>
      </c>
      <c r="E72" s="38" t="s">
        <v>1470</v>
      </c>
      <c r="F72" s="38" t="s">
        <v>3881</v>
      </c>
      <c r="G72" s="38" t="s">
        <v>4893</v>
      </c>
      <c r="H72" s="38" t="s">
        <v>4584</v>
      </c>
      <c r="I72" s="38" t="s">
        <v>4601</v>
      </c>
      <c r="J72" s="38" t="s">
        <v>60</v>
      </c>
      <c r="K72" s="38" t="s">
        <v>4611</v>
      </c>
      <c r="L72" s="38" t="s">
        <v>4603</v>
      </c>
      <c r="M72" s="38" t="s">
        <v>4829</v>
      </c>
      <c r="N72" s="38" t="s">
        <v>4605</v>
      </c>
      <c r="O72" s="38" t="s">
        <v>4894</v>
      </c>
      <c r="P72" s="37">
        <v>44642.0</v>
      </c>
      <c r="Q72" s="37">
        <v>1.842</v>
      </c>
      <c r="R72" s="37">
        <v>0.0</v>
      </c>
      <c r="S72" s="4">
        <f t="shared" si="1"/>
        <v>1.842</v>
      </c>
    </row>
    <row r="73">
      <c r="A73" s="38" t="s">
        <v>558</v>
      </c>
      <c r="B73" s="38" t="s">
        <v>4895</v>
      </c>
      <c r="C73" s="38" t="s">
        <v>4827</v>
      </c>
      <c r="D73" s="38" t="s">
        <v>1510</v>
      </c>
      <c r="E73" s="38" t="s">
        <v>1509</v>
      </c>
      <c r="F73" s="38" t="s">
        <v>3892</v>
      </c>
      <c r="G73" s="38" t="s">
        <v>4896</v>
      </c>
      <c r="H73" s="38" t="s">
        <v>4584</v>
      </c>
      <c r="I73" s="38" t="s">
        <v>4601</v>
      </c>
      <c r="J73" s="38" t="s">
        <v>60</v>
      </c>
      <c r="K73" s="38" t="s">
        <v>4611</v>
      </c>
      <c r="L73" s="38" t="s">
        <v>4603</v>
      </c>
      <c r="M73" s="38" t="s">
        <v>4719</v>
      </c>
      <c r="N73" s="38" t="s">
        <v>4605</v>
      </c>
      <c r="O73" s="38" t="s">
        <v>4897</v>
      </c>
      <c r="P73" s="37">
        <v>44657.0</v>
      </c>
      <c r="Q73" s="37">
        <v>2.341</v>
      </c>
      <c r="R73" s="37">
        <v>0.0</v>
      </c>
      <c r="S73" s="4">
        <f t="shared" si="1"/>
        <v>2.341</v>
      </c>
    </row>
    <row r="74">
      <c r="A74" s="38" t="s">
        <v>4898</v>
      </c>
      <c r="B74" s="38" t="s">
        <v>4899</v>
      </c>
      <c r="C74" s="38" t="s">
        <v>4900</v>
      </c>
      <c r="D74" s="38" t="s">
        <v>439</v>
      </c>
      <c r="E74" s="38" t="s">
        <v>438</v>
      </c>
      <c r="F74" s="38" t="s">
        <v>3574</v>
      </c>
      <c r="G74" s="38" t="s">
        <v>4901</v>
      </c>
      <c r="H74" s="38" t="s">
        <v>4584</v>
      </c>
      <c r="I74" s="38" t="s">
        <v>4601</v>
      </c>
      <c r="J74" s="38" t="s">
        <v>60</v>
      </c>
      <c r="K74" s="38" t="s">
        <v>4611</v>
      </c>
      <c r="L74" s="38" t="s">
        <v>4603</v>
      </c>
      <c r="M74" s="38" t="s">
        <v>4902</v>
      </c>
      <c r="N74" s="38" t="s">
        <v>4668</v>
      </c>
      <c r="O74" s="38" t="s">
        <v>4903</v>
      </c>
      <c r="P74" s="37">
        <v>44292.0</v>
      </c>
      <c r="Q74" s="37">
        <v>2.299</v>
      </c>
      <c r="R74" s="37">
        <v>0.0</v>
      </c>
      <c r="S74" s="4">
        <f t="shared" si="1"/>
        <v>2.299</v>
      </c>
    </row>
    <row r="75">
      <c r="A75" s="38" t="s">
        <v>4898</v>
      </c>
      <c r="B75" s="38" t="s">
        <v>4899</v>
      </c>
      <c r="C75" s="38" t="s">
        <v>4900</v>
      </c>
      <c r="D75" s="38" t="s">
        <v>439</v>
      </c>
      <c r="E75" s="38" t="s">
        <v>438</v>
      </c>
      <c r="F75" s="38" t="s">
        <v>3570</v>
      </c>
      <c r="G75" s="38" t="s">
        <v>4904</v>
      </c>
      <c r="H75" s="38" t="s">
        <v>4584</v>
      </c>
      <c r="I75" s="38" t="s">
        <v>4610</v>
      </c>
      <c r="J75" s="38" t="s">
        <v>60</v>
      </c>
      <c r="K75" s="38" t="s">
        <v>4611</v>
      </c>
      <c r="L75" s="38" t="s">
        <v>4603</v>
      </c>
      <c r="M75" s="38" t="s">
        <v>4902</v>
      </c>
      <c r="N75" s="38" t="s">
        <v>4668</v>
      </c>
      <c r="O75" s="38" t="s">
        <v>4905</v>
      </c>
      <c r="P75" s="37">
        <v>44292.0</v>
      </c>
      <c r="Q75" s="37">
        <v>2.278</v>
      </c>
      <c r="R75" s="37">
        <v>0.0</v>
      </c>
      <c r="S75" s="4">
        <f t="shared" si="1"/>
        <v>2.278</v>
      </c>
    </row>
    <row r="76">
      <c r="A76" s="38" t="s">
        <v>4906</v>
      </c>
      <c r="B76" s="38" t="s">
        <v>4907</v>
      </c>
      <c r="C76" s="38" t="s">
        <v>4908</v>
      </c>
      <c r="D76" s="38" t="s">
        <v>543</v>
      </c>
      <c r="E76" s="38" t="s">
        <v>542</v>
      </c>
      <c r="F76" s="38" t="s">
        <v>3602</v>
      </c>
      <c r="G76" s="38" t="s">
        <v>4909</v>
      </c>
      <c r="H76" s="38" t="s">
        <v>4609</v>
      </c>
      <c r="I76" s="38" t="s">
        <v>4610</v>
      </c>
      <c r="J76" s="38" t="s">
        <v>60</v>
      </c>
      <c r="K76" s="38" t="s">
        <v>4611</v>
      </c>
      <c r="L76" s="38" t="s">
        <v>4603</v>
      </c>
      <c r="M76" s="38" t="s">
        <v>4910</v>
      </c>
      <c r="N76" s="38" t="s">
        <v>4668</v>
      </c>
      <c r="O76" s="38" t="s">
        <v>4911</v>
      </c>
      <c r="P76" s="37">
        <v>44323.0</v>
      </c>
      <c r="Q76" s="37">
        <v>5.2374</v>
      </c>
      <c r="R76" s="37">
        <v>0.0</v>
      </c>
      <c r="S76" s="4">
        <f t="shared" si="1"/>
        <v>5.2374</v>
      </c>
    </row>
    <row r="77">
      <c r="A77" s="38" t="s">
        <v>4906</v>
      </c>
      <c r="B77" s="38" t="s">
        <v>4907</v>
      </c>
      <c r="C77" s="38" t="s">
        <v>4908</v>
      </c>
      <c r="D77" s="38" t="s">
        <v>543</v>
      </c>
      <c r="E77" s="38" t="s">
        <v>542</v>
      </c>
      <c r="F77" s="38" t="s">
        <v>3604</v>
      </c>
      <c r="G77" s="38" t="s">
        <v>4912</v>
      </c>
      <c r="H77" s="38" t="s">
        <v>4609</v>
      </c>
      <c r="I77" s="38" t="s">
        <v>4601</v>
      </c>
      <c r="J77" s="38" t="s">
        <v>60</v>
      </c>
      <c r="K77" s="38" t="s">
        <v>4611</v>
      </c>
      <c r="L77" s="38" t="s">
        <v>4603</v>
      </c>
      <c r="M77" s="38" t="s">
        <v>4910</v>
      </c>
      <c r="N77" s="38" t="s">
        <v>4668</v>
      </c>
      <c r="O77" s="38" t="s">
        <v>4913</v>
      </c>
      <c r="P77" s="37">
        <v>44323.0</v>
      </c>
      <c r="Q77" s="37">
        <v>5.237</v>
      </c>
      <c r="R77" s="37">
        <v>0.0</v>
      </c>
      <c r="S77" s="4">
        <f t="shared" si="1"/>
        <v>5.237</v>
      </c>
    </row>
    <row r="78">
      <c r="A78" s="38" t="s">
        <v>4914</v>
      </c>
      <c r="B78" s="38" t="s">
        <v>4915</v>
      </c>
      <c r="C78" s="38" t="s">
        <v>4688</v>
      </c>
      <c r="D78" s="38" t="s">
        <v>578</v>
      </c>
      <c r="E78" s="38" t="s">
        <v>513</v>
      </c>
      <c r="F78" s="38" t="s">
        <v>3612</v>
      </c>
      <c r="G78" s="38" t="s">
        <v>4916</v>
      </c>
      <c r="H78" s="38" t="s">
        <v>4584</v>
      </c>
      <c r="I78" s="38" t="s">
        <v>4699</v>
      </c>
      <c r="J78" s="38" t="s">
        <v>60</v>
      </c>
      <c r="K78" s="38" t="s">
        <v>4602</v>
      </c>
      <c r="L78" s="38" t="s">
        <v>4603</v>
      </c>
      <c r="M78" s="38" t="s">
        <v>4889</v>
      </c>
      <c r="N78" s="38" t="s">
        <v>4668</v>
      </c>
      <c r="O78" s="38" t="s">
        <v>4917</v>
      </c>
      <c r="P78" s="37">
        <v>44330.0</v>
      </c>
      <c r="Q78" s="37">
        <v>1.63</v>
      </c>
      <c r="R78" s="37">
        <v>0.0</v>
      </c>
      <c r="S78" s="4">
        <f t="shared" si="1"/>
        <v>1.63</v>
      </c>
    </row>
    <row r="79">
      <c r="A79" s="38" t="s">
        <v>4918</v>
      </c>
      <c r="B79" s="38" t="s">
        <v>4919</v>
      </c>
      <c r="C79" s="38" t="s">
        <v>4671</v>
      </c>
      <c r="D79" s="38" t="s">
        <v>514</v>
      </c>
      <c r="E79" s="38" t="s">
        <v>513</v>
      </c>
      <c r="F79" s="38" t="s">
        <v>3592</v>
      </c>
      <c r="G79" s="38" t="s">
        <v>4920</v>
      </c>
      <c r="H79" s="38" t="s">
        <v>4609</v>
      </c>
      <c r="I79" s="38" t="s">
        <v>4610</v>
      </c>
      <c r="J79" s="38" t="s">
        <v>60</v>
      </c>
      <c r="K79" s="38" t="s">
        <v>4611</v>
      </c>
      <c r="L79" s="38" t="s">
        <v>4603</v>
      </c>
      <c r="M79" s="38" t="s">
        <v>4921</v>
      </c>
      <c r="N79" s="38" t="s">
        <v>4668</v>
      </c>
      <c r="O79" s="38" t="s">
        <v>4922</v>
      </c>
      <c r="P79" s="37">
        <v>44330.0</v>
      </c>
      <c r="Q79" s="37">
        <v>4.356</v>
      </c>
      <c r="R79" s="37">
        <v>0.0</v>
      </c>
      <c r="S79" s="4">
        <f t="shared" si="1"/>
        <v>4.356</v>
      </c>
    </row>
    <row r="80">
      <c r="A80" s="38" t="s">
        <v>4918</v>
      </c>
      <c r="B80" s="38" t="s">
        <v>4919</v>
      </c>
      <c r="C80" s="38" t="s">
        <v>4671</v>
      </c>
      <c r="D80" s="38" t="s">
        <v>514</v>
      </c>
      <c r="E80" s="38" t="s">
        <v>513</v>
      </c>
      <c r="F80" s="38" t="s">
        <v>3596</v>
      </c>
      <c r="G80" s="38" t="s">
        <v>4923</v>
      </c>
      <c r="H80" s="38" t="s">
        <v>4609</v>
      </c>
      <c r="I80" s="38" t="s">
        <v>4601</v>
      </c>
      <c r="J80" s="38" t="s">
        <v>60</v>
      </c>
      <c r="K80" s="38" t="s">
        <v>4611</v>
      </c>
      <c r="L80" s="38" t="s">
        <v>4603</v>
      </c>
      <c r="M80" s="38" t="s">
        <v>4921</v>
      </c>
      <c r="N80" s="38" t="s">
        <v>4668</v>
      </c>
      <c r="O80" s="38" t="s">
        <v>4922</v>
      </c>
      <c r="P80" s="37">
        <v>44330.0</v>
      </c>
      <c r="Q80" s="37">
        <v>4.356</v>
      </c>
      <c r="R80" s="37">
        <v>0.0</v>
      </c>
      <c r="S80" s="4">
        <f t="shared" si="1"/>
        <v>4.356</v>
      </c>
    </row>
    <row r="81">
      <c r="A81" s="38" t="s">
        <v>614</v>
      </c>
      <c r="B81" s="38" t="s">
        <v>4924</v>
      </c>
      <c r="C81" s="38" t="s">
        <v>4850</v>
      </c>
      <c r="D81" s="38" t="s">
        <v>619</v>
      </c>
      <c r="E81" s="38" t="s">
        <v>618</v>
      </c>
      <c r="F81" s="38" t="s">
        <v>3622</v>
      </c>
      <c r="G81" s="38" t="s">
        <v>4925</v>
      </c>
      <c r="H81" s="38" t="s">
        <v>4584</v>
      </c>
      <c r="I81" s="38" t="s">
        <v>4601</v>
      </c>
      <c r="J81" s="38" t="s">
        <v>60</v>
      </c>
      <c r="K81" s="38" t="s">
        <v>4611</v>
      </c>
      <c r="L81" s="38" t="s">
        <v>4603</v>
      </c>
      <c r="M81" s="38" t="s">
        <v>4604</v>
      </c>
      <c r="N81" s="38" t="s">
        <v>4605</v>
      </c>
      <c r="O81" s="38" t="s">
        <v>4926</v>
      </c>
      <c r="P81" s="37">
        <v>44361.0</v>
      </c>
      <c r="Q81" s="37">
        <v>0.27</v>
      </c>
      <c r="R81" s="37">
        <v>0.0</v>
      </c>
      <c r="S81" s="4">
        <f t="shared" si="1"/>
        <v>0.27</v>
      </c>
    </row>
    <row r="82">
      <c r="A82" s="38" t="s">
        <v>671</v>
      </c>
      <c r="B82" s="38" t="s">
        <v>4927</v>
      </c>
      <c r="C82" s="38" t="s">
        <v>4599</v>
      </c>
      <c r="D82" s="38" t="s">
        <v>619</v>
      </c>
      <c r="E82" s="38" t="s">
        <v>618</v>
      </c>
      <c r="F82" s="38" t="s">
        <v>3638</v>
      </c>
      <c r="G82" s="38" t="s">
        <v>4928</v>
      </c>
      <c r="H82" s="38" t="s">
        <v>4584</v>
      </c>
      <c r="I82" s="38" t="s">
        <v>4699</v>
      </c>
      <c r="J82" s="38" t="s">
        <v>60</v>
      </c>
      <c r="K82" s="38" t="s">
        <v>4602</v>
      </c>
      <c r="L82" s="38" t="s">
        <v>4700</v>
      </c>
      <c r="M82" s="40" t="s">
        <v>4929</v>
      </c>
      <c r="N82" s="38"/>
      <c r="O82" s="38" t="s">
        <v>4930</v>
      </c>
      <c r="P82" s="37">
        <v>44459.0</v>
      </c>
      <c r="Q82" s="37">
        <v>-0.112184</v>
      </c>
      <c r="R82" s="37">
        <v>-98.0</v>
      </c>
      <c r="S82" s="4" t="str">
        <f t="shared" si="1"/>
        <v/>
      </c>
    </row>
    <row r="83">
      <c r="A83" s="38" t="s">
        <v>500</v>
      </c>
      <c r="B83" s="38" t="s">
        <v>4931</v>
      </c>
      <c r="C83" s="38" t="s">
        <v>4932</v>
      </c>
      <c r="D83" s="38" t="s">
        <v>505</v>
      </c>
      <c r="E83" s="38" t="s">
        <v>504</v>
      </c>
      <c r="F83" s="38" t="s">
        <v>3590</v>
      </c>
      <c r="G83" s="38" t="s">
        <v>4933</v>
      </c>
      <c r="H83" s="38" t="s">
        <v>4584</v>
      </c>
      <c r="I83" s="38" t="s">
        <v>4601</v>
      </c>
      <c r="J83" s="38" t="s">
        <v>60</v>
      </c>
      <c r="K83" s="38" t="s">
        <v>4611</v>
      </c>
      <c r="L83" s="38" t="s">
        <v>4603</v>
      </c>
      <c r="M83" s="38" t="s">
        <v>4673</v>
      </c>
      <c r="N83" s="38" t="s">
        <v>4668</v>
      </c>
      <c r="O83" s="38" t="s">
        <v>4934</v>
      </c>
      <c r="P83" s="37">
        <v>44321.0</v>
      </c>
      <c r="Q83" s="37">
        <v>1.758</v>
      </c>
      <c r="R83" s="37">
        <v>0.0</v>
      </c>
      <c r="S83" s="4">
        <f t="shared" si="1"/>
        <v>1.758</v>
      </c>
    </row>
    <row r="84">
      <c r="A84" s="38" t="s">
        <v>4597</v>
      </c>
      <c r="B84" s="38" t="s">
        <v>4598</v>
      </c>
      <c r="C84" s="38" t="s">
        <v>4764</v>
      </c>
      <c r="D84" s="38" t="s">
        <v>790</v>
      </c>
      <c r="E84" s="38" t="s">
        <v>784</v>
      </c>
      <c r="F84" s="38" t="s">
        <v>3673</v>
      </c>
      <c r="G84" s="38" t="s">
        <v>4935</v>
      </c>
      <c r="H84" s="38" t="s">
        <v>4609</v>
      </c>
      <c r="I84" s="38" t="s">
        <v>4610</v>
      </c>
      <c r="J84" s="38" t="s">
        <v>60</v>
      </c>
      <c r="K84" s="38" t="s">
        <v>4611</v>
      </c>
      <c r="L84" s="38" t="s">
        <v>4603</v>
      </c>
      <c r="M84" s="38" t="s">
        <v>4839</v>
      </c>
      <c r="N84" s="38" t="s">
        <v>4605</v>
      </c>
      <c r="O84" s="38" t="s">
        <v>4936</v>
      </c>
      <c r="P84" s="37">
        <v>44390.0</v>
      </c>
      <c r="Q84" s="37">
        <v>1.8876</v>
      </c>
      <c r="R84" s="37">
        <v>-1.0</v>
      </c>
      <c r="S84" s="4" t="str">
        <f t="shared" si="1"/>
        <v/>
      </c>
    </row>
    <row r="85">
      <c r="A85" s="38" t="s">
        <v>4597</v>
      </c>
      <c r="B85" s="38" t="s">
        <v>4598</v>
      </c>
      <c r="C85" s="38" t="s">
        <v>4764</v>
      </c>
      <c r="D85" s="38" t="s">
        <v>790</v>
      </c>
      <c r="E85" s="38" t="s">
        <v>784</v>
      </c>
      <c r="F85" s="38" t="s">
        <v>3681</v>
      </c>
      <c r="G85" s="38" t="s">
        <v>4937</v>
      </c>
      <c r="H85" s="38" t="s">
        <v>4609</v>
      </c>
      <c r="I85" s="38" t="s">
        <v>4601</v>
      </c>
      <c r="J85" s="38" t="s">
        <v>60</v>
      </c>
      <c r="K85" s="38" t="s">
        <v>4611</v>
      </c>
      <c r="L85" s="38" t="s">
        <v>4603</v>
      </c>
      <c r="M85" s="38" t="s">
        <v>4839</v>
      </c>
      <c r="N85" s="38" t="s">
        <v>4605</v>
      </c>
      <c r="O85" s="38" t="s">
        <v>4938</v>
      </c>
      <c r="P85" s="37">
        <v>44389.0</v>
      </c>
      <c r="Q85" s="37">
        <v>1.836</v>
      </c>
      <c r="R85" s="37">
        <v>0.0</v>
      </c>
      <c r="S85" s="4">
        <f t="shared" si="1"/>
        <v>1.836</v>
      </c>
    </row>
    <row r="86">
      <c r="A86" s="38" t="s">
        <v>4663</v>
      </c>
      <c r="B86" s="38" t="s">
        <v>4664</v>
      </c>
      <c r="C86" s="38" t="s">
        <v>4939</v>
      </c>
      <c r="D86" s="38" t="s">
        <v>811</v>
      </c>
      <c r="E86" s="38" t="s">
        <v>810</v>
      </c>
      <c r="F86" s="38" t="s">
        <v>3687</v>
      </c>
      <c r="G86" s="38" t="s">
        <v>4940</v>
      </c>
      <c r="H86" s="38" t="s">
        <v>4584</v>
      </c>
      <c r="I86" s="38" t="s">
        <v>4601</v>
      </c>
      <c r="J86" s="38" t="s">
        <v>60</v>
      </c>
      <c r="K86" s="38" t="s">
        <v>4611</v>
      </c>
      <c r="L86" s="38" t="s">
        <v>4603</v>
      </c>
      <c r="M86" s="38" t="s">
        <v>4889</v>
      </c>
      <c r="N86" s="38" t="s">
        <v>4668</v>
      </c>
      <c r="O86" s="38" t="s">
        <v>4941</v>
      </c>
      <c r="P86" s="37">
        <v>44398.0</v>
      </c>
      <c r="Q86" s="37">
        <v>3.118</v>
      </c>
      <c r="R86" s="37">
        <v>0.0</v>
      </c>
      <c r="S86" s="4">
        <f t="shared" si="1"/>
        <v>3.118</v>
      </c>
    </row>
    <row r="87">
      <c r="A87" s="38" t="s">
        <v>4942</v>
      </c>
      <c r="B87" s="38" t="s">
        <v>4943</v>
      </c>
      <c r="C87" s="38" t="s">
        <v>4778</v>
      </c>
      <c r="D87" s="38" t="s">
        <v>819</v>
      </c>
      <c r="E87" s="38" t="s">
        <v>818</v>
      </c>
      <c r="F87" s="38" t="s">
        <v>3689</v>
      </c>
      <c r="G87" s="38" t="s">
        <v>4944</v>
      </c>
      <c r="H87" s="38" t="s">
        <v>4584</v>
      </c>
      <c r="I87" s="38" t="s">
        <v>4699</v>
      </c>
      <c r="J87" s="38" t="s">
        <v>60</v>
      </c>
      <c r="K87" s="38" t="s">
        <v>4602</v>
      </c>
      <c r="L87" s="38" t="s">
        <v>4603</v>
      </c>
      <c r="M87" s="38" t="s">
        <v>4848</v>
      </c>
      <c r="N87" s="38" t="s">
        <v>4605</v>
      </c>
      <c r="O87" s="38" t="s">
        <v>4945</v>
      </c>
      <c r="P87" s="37">
        <v>44411.0</v>
      </c>
      <c r="Q87" s="37">
        <v>0.917</v>
      </c>
      <c r="R87" s="37">
        <v>0.0</v>
      </c>
      <c r="S87" s="4">
        <f t="shared" si="1"/>
        <v>0.917</v>
      </c>
    </row>
    <row r="88">
      <c r="A88" s="38" t="s">
        <v>755</v>
      </c>
      <c r="B88" s="38" t="s">
        <v>4946</v>
      </c>
      <c r="C88" s="38" t="s">
        <v>4900</v>
      </c>
      <c r="D88" s="38" t="s">
        <v>856</v>
      </c>
      <c r="E88" s="38" t="s">
        <v>855</v>
      </c>
      <c r="F88" s="38" t="s">
        <v>3699</v>
      </c>
      <c r="G88" s="38" t="s">
        <v>4947</v>
      </c>
      <c r="H88" s="38" t="s">
        <v>4609</v>
      </c>
      <c r="I88" s="38" t="s">
        <v>4610</v>
      </c>
      <c r="J88" s="38" t="s">
        <v>60</v>
      </c>
      <c r="K88" s="38" t="s">
        <v>4611</v>
      </c>
      <c r="L88" s="38" t="s">
        <v>4603</v>
      </c>
      <c r="M88" s="38" t="s">
        <v>4948</v>
      </c>
      <c r="N88" s="38" t="s">
        <v>4605</v>
      </c>
      <c r="O88" s="38" t="s">
        <v>4949</v>
      </c>
      <c r="P88" s="37">
        <v>44452.0</v>
      </c>
      <c r="Q88" s="37">
        <v>2.5252</v>
      </c>
      <c r="R88" s="37">
        <v>0.0</v>
      </c>
      <c r="S88" s="4">
        <f t="shared" si="1"/>
        <v>2.5252</v>
      </c>
    </row>
    <row r="89">
      <c r="A89" s="38" t="s">
        <v>4636</v>
      </c>
      <c r="B89" s="38" t="s">
        <v>4637</v>
      </c>
      <c r="C89" s="38" t="s">
        <v>4950</v>
      </c>
      <c r="D89" s="38" t="s">
        <v>851</v>
      </c>
      <c r="E89" s="38" t="s">
        <v>844</v>
      </c>
      <c r="F89" s="38" t="s">
        <v>3697</v>
      </c>
      <c r="G89" s="38" t="s">
        <v>4951</v>
      </c>
      <c r="H89" s="38" t="s">
        <v>4584</v>
      </c>
      <c r="I89" s="38" t="s">
        <v>4601</v>
      </c>
      <c r="J89" s="38" t="s">
        <v>60</v>
      </c>
      <c r="K89" s="38" t="s">
        <v>4611</v>
      </c>
      <c r="L89" s="38" t="s">
        <v>4603</v>
      </c>
      <c r="M89" s="38" t="s">
        <v>4889</v>
      </c>
      <c r="N89" s="38" t="s">
        <v>4605</v>
      </c>
      <c r="O89" s="38" t="s">
        <v>4952</v>
      </c>
      <c r="P89" s="37">
        <v>44455.0</v>
      </c>
      <c r="Q89" s="37">
        <v>0.468</v>
      </c>
      <c r="R89" s="37">
        <v>0.0</v>
      </c>
      <c r="S89" s="4">
        <f t="shared" si="1"/>
        <v>0.468</v>
      </c>
    </row>
    <row r="90">
      <c r="A90" s="38" t="s">
        <v>1640</v>
      </c>
      <c r="B90" s="38" t="s">
        <v>4953</v>
      </c>
      <c r="C90" s="38" t="s">
        <v>4599</v>
      </c>
      <c r="D90" s="38" t="s">
        <v>1645</v>
      </c>
      <c r="E90" s="38" t="s">
        <v>1644</v>
      </c>
      <c r="F90" s="38" t="s">
        <v>3932</v>
      </c>
      <c r="G90" s="38" t="s">
        <v>4954</v>
      </c>
      <c r="H90" s="38" t="s">
        <v>4584</v>
      </c>
      <c r="I90" s="38" t="s">
        <v>4601</v>
      </c>
      <c r="J90" s="38" t="s">
        <v>60</v>
      </c>
      <c r="K90" s="38" t="s">
        <v>4611</v>
      </c>
      <c r="L90" s="38" t="s">
        <v>4603</v>
      </c>
      <c r="M90" s="38" t="s">
        <v>4955</v>
      </c>
      <c r="N90" s="38" t="s">
        <v>4605</v>
      </c>
      <c r="O90" s="38" t="s">
        <v>4956</v>
      </c>
      <c r="P90" s="37">
        <v>44097.0</v>
      </c>
      <c r="Q90" s="37">
        <v>0.035</v>
      </c>
      <c r="R90" s="37">
        <v>0.0</v>
      </c>
      <c r="S90" s="4">
        <f t="shared" si="1"/>
        <v>0.035</v>
      </c>
    </row>
    <row r="91">
      <c r="A91" s="38" t="s">
        <v>1011</v>
      </c>
      <c r="B91" s="38" t="s">
        <v>4957</v>
      </c>
      <c r="C91" s="38" t="s">
        <v>4873</v>
      </c>
      <c r="D91" s="38" t="s">
        <v>1016</v>
      </c>
      <c r="E91" s="38" t="s">
        <v>1015</v>
      </c>
      <c r="F91" s="38" t="s">
        <v>3745</v>
      </c>
      <c r="G91" s="38" t="s">
        <v>4958</v>
      </c>
      <c r="H91" s="38" t="s">
        <v>4584</v>
      </c>
      <c r="I91" s="38" t="s">
        <v>4601</v>
      </c>
      <c r="J91" s="38" t="s">
        <v>60</v>
      </c>
      <c r="K91" s="38" t="s">
        <v>4611</v>
      </c>
      <c r="L91" s="38" t="s">
        <v>4603</v>
      </c>
      <c r="M91" s="38" t="s">
        <v>4902</v>
      </c>
      <c r="N91" s="38" t="s">
        <v>4668</v>
      </c>
      <c r="O91" s="38" t="s">
        <v>4959</v>
      </c>
      <c r="P91" s="37">
        <v>44504.0</v>
      </c>
      <c r="Q91" s="37">
        <v>2.06</v>
      </c>
      <c r="R91" s="37">
        <v>0.0</v>
      </c>
      <c r="S91" s="4">
        <f t="shared" si="1"/>
        <v>2.06</v>
      </c>
    </row>
    <row r="92">
      <c r="A92" s="38" t="s">
        <v>4960</v>
      </c>
      <c r="B92" s="38" t="s">
        <v>4961</v>
      </c>
      <c r="C92" s="38" t="s">
        <v>4863</v>
      </c>
      <c r="D92" s="38" t="s">
        <v>1016</v>
      </c>
      <c r="E92" s="38" t="s">
        <v>1103</v>
      </c>
      <c r="F92" s="38" t="s">
        <v>3769</v>
      </c>
      <c r="G92" s="38" t="s">
        <v>4962</v>
      </c>
      <c r="H92" s="38" t="s">
        <v>4584</v>
      </c>
      <c r="I92" s="38" t="s">
        <v>4601</v>
      </c>
      <c r="J92" s="38" t="s">
        <v>60</v>
      </c>
      <c r="K92" s="38" t="s">
        <v>4611</v>
      </c>
      <c r="L92" s="38" t="s">
        <v>4603</v>
      </c>
      <c r="M92" s="38" t="s">
        <v>4640</v>
      </c>
      <c r="N92" s="38" t="s">
        <v>4668</v>
      </c>
      <c r="O92" s="38" t="s">
        <v>4963</v>
      </c>
      <c r="P92" s="37">
        <v>44518.0</v>
      </c>
      <c r="Q92" s="37">
        <v>5.649</v>
      </c>
      <c r="R92" s="37">
        <v>0.0</v>
      </c>
      <c r="S92" s="4">
        <f t="shared" si="1"/>
        <v>5.649</v>
      </c>
    </row>
    <row r="93">
      <c r="A93" s="38" t="s">
        <v>4960</v>
      </c>
      <c r="B93" s="38" t="s">
        <v>4961</v>
      </c>
      <c r="C93" s="38" t="s">
        <v>4863</v>
      </c>
      <c r="D93" s="38" t="s">
        <v>1016</v>
      </c>
      <c r="E93" s="38" t="s">
        <v>1103</v>
      </c>
      <c r="F93" s="38" t="s">
        <v>3767</v>
      </c>
      <c r="G93" s="38" t="s">
        <v>4964</v>
      </c>
      <c r="H93" s="38" t="s">
        <v>4584</v>
      </c>
      <c r="I93" s="38" t="s">
        <v>4610</v>
      </c>
      <c r="J93" s="38" t="s">
        <v>60</v>
      </c>
      <c r="K93" s="38" t="s">
        <v>4611</v>
      </c>
      <c r="L93" s="38" t="s">
        <v>4603</v>
      </c>
      <c r="M93" s="38" t="s">
        <v>4640</v>
      </c>
      <c r="N93" s="38" t="s">
        <v>4668</v>
      </c>
      <c r="O93" s="38" t="s">
        <v>4965</v>
      </c>
      <c r="P93" s="37">
        <v>44518.0</v>
      </c>
      <c r="Q93" s="37">
        <v>5.476363</v>
      </c>
      <c r="R93" s="37">
        <v>0.0</v>
      </c>
      <c r="S93" s="4">
        <f t="shared" si="1"/>
        <v>5.476363</v>
      </c>
    </row>
    <row r="94">
      <c r="A94" s="38" t="s">
        <v>1146</v>
      </c>
      <c r="B94" s="38" t="s">
        <v>4772</v>
      </c>
      <c r="C94" s="38" t="s">
        <v>4966</v>
      </c>
      <c r="D94" s="38" t="s">
        <v>1157</v>
      </c>
      <c r="E94" s="38" t="s">
        <v>1150</v>
      </c>
      <c r="F94" s="38" t="s">
        <v>3785</v>
      </c>
      <c r="G94" s="38" t="s">
        <v>4967</v>
      </c>
      <c r="H94" s="38" t="s">
        <v>4619</v>
      </c>
      <c r="I94" s="38" t="s">
        <v>4620</v>
      </c>
      <c r="J94" s="38" t="s">
        <v>60</v>
      </c>
      <c r="K94" s="38" t="s">
        <v>4602</v>
      </c>
      <c r="L94" s="38" t="s">
        <v>4621</v>
      </c>
      <c r="M94" s="40" t="s">
        <v>4968</v>
      </c>
      <c r="N94" s="38"/>
      <c r="O94" s="38" t="s">
        <v>4969</v>
      </c>
      <c r="P94" s="37">
        <v>44523.0</v>
      </c>
      <c r="Q94" s="37">
        <v>0.741</v>
      </c>
      <c r="R94" s="37">
        <v>0.0</v>
      </c>
      <c r="S94" s="4">
        <f t="shared" si="1"/>
        <v>0.741</v>
      </c>
    </row>
    <row r="95">
      <c r="A95" s="38" t="s">
        <v>1158</v>
      </c>
      <c r="B95" s="38" t="s">
        <v>4970</v>
      </c>
      <c r="C95" s="38" t="s">
        <v>4827</v>
      </c>
      <c r="D95" s="38" t="s">
        <v>1163</v>
      </c>
      <c r="E95" s="38" t="s">
        <v>1162</v>
      </c>
      <c r="F95" s="38" t="s">
        <v>3787</v>
      </c>
      <c r="G95" s="38" t="s">
        <v>4971</v>
      </c>
      <c r="H95" s="38" t="s">
        <v>4584</v>
      </c>
      <c r="I95" s="38" t="s">
        <v>4699</v>
      </c>
      <c r="J95" s="38" t="s">
        <v>60</v>
      </c>
      <c r="K95" s="38" t="s">
        <v>4602</v>
      </c>
      <c r="L95" s="38" t="s">
        <v>4603</v>
      </c>
      <c r="M95" s="38" t="s">
        <v>4848</v>
      </c>
      <c r="N95" s="38" t="s">
        <v>4668</v>
      </c>
      <c r="O95" s="38" t="s">
        <v>4972</v>
      </c>
      <c r="P95" s="37">
        <v>44529.0</v>
      </c>
      <c r="Q95" s="37">
        <v>2.371</v>
      </c>
      <c r="R95" s="37">
        <v>0.0</v>
      </c>
      <c r="S95" s="4">
        <f t="shared" si="1"/>
        <v>2.371</v>
      </c>
    </row>
    <row r="96">
      <c r="A96" s="38" t="s">
        <v>232</v>
      </c>
      <c r="B96" s="38" t="s">
        <v>4877</v>
      </c>
      <c r="C96" s="38" t="s">
        <v>4973</v>
      </c>
      <c r="D96" s="38" t="s">
        <v>243</v>
      </c>
      <c r="E96" s="38" t="s">
        <v>236</v>
      </c>
      <c r="F96" s="38" t="s">
        <v>3523</v>
      </c>
      <c r="G96" s="38" t="s">
        <v>4974</v>
      </c>
      <c r="H96" s="38" t="s">
        <v>4584</v>
      </c>
      <c r="I96" s="38" t="s">
        <v>4699</v>
      </c>
      <c r="J96" s="38" t="s">
        <v>60</v>
      </c>
      <c r="K96" s="38" t="s">
        <v>4602</v>
      </c>
      <c r="L96" s="38" t="s">
        <v>4603</v>
      </c>
      <c r="M96" s="40" t="s">
        <v>4880</v>
      </c>
      <c r="N96" s="38"/>
      <c r="O96" s="38" t="s">
        <v>4589</v>
      </c>
      <c r="P96" s="41" t="e">
        <v>#N/A</v>
      </c>
      <c r="Q96" s="38"/>
      <c r="R96" s="41" t="e">
        <v>#N/A</v>
      </c>
      <c r="S96" s="4" t="str">
        <f t="shared" si="1"/>
        <v>#N/A</v>
      </c>
    </row>
    <row r="97">
      <c r="A97" s="38" t="s">
        <v>245</v>
      </c>
      <c r="B97" s="38" t="s">
        <v>4975</v>
      </c>
      <c r="C97" s="38" t="s">
        <v>4883</v>
      </c>
      <c r="D97" s="38" t="s">
        <v>250</v>
      </c>
      <c r="E97" s="38" t="s">
        <v>249</v>
      </c>
      <c r="F97" s="38" t="s">
        <v>3525</v>
      </c>
      <c r="G97" s="38" t="s">
        <v>4976</v>
      </c>
      <c r="H97" s="38" t="s">
        <v>4584</v>
      </c>
      <c r="I97" s="38" t="s">
        <v>4699</v>
      </c>
      <c r="J97" s="38" t="s">
        <v>60</v>
      </c>
      <c r="K97" s="38" t="s">
        <v>4602</v>
      </c>
      <c r="L97" s="38" t="s">
        <v>4603</v>
      </c>
      <c r="M97" s="40" t="s">
        <v>4977</v>
      </c>
      <c r="N97" s="38"/>
      <c r="O97" s="38" t="s">
        <v>4589</v>
      </c>
      <c r="P97" s="37">
        <v>44186.0</v>
      </c>
      <c r="Q97" s="37">
        <v>3.177</v>
      </c>
      <c r="R97" s="37">
        <v>-7.0</v>
      </c>
      <c r="S97" s="4" t="str">
        <f t="shared" si="1"/>
        <v/>
      </c>
    </row>
    <row r="98">
      <c r="A98" s="38" t="s">
        <v>4809</v>
      </c>
      <c r="B98" s="38" t="s">
        <v>4810</v>
      </c>
      <c r="C98" s="38" t="s">
        <v>4978</v>
      </c>
      <c r="D98" s="38" t="s">
        <v>250</v>
      </c>
      <c r="E98" s="38" t="s">
        <v>1244</v>
      </c>
      <c r="F98" s="38" t="s">
        <v>3817</v>
      </c>
      <c r="G98" s="38" t="s">
        <v>4979</v>
      </c>
      <c r="H98" s="38" t="s">
        <v>4619</v>
      </c>
      <c r="I98" s="38" t="s">
        <v>4620</v>
      </c>
      <c r="J98" s="38" t="s">
        <v>60</v>
      </c>
      <c r="K98" s="38" t="s">
        <v>4602</v>
      </c>
      <c r="L98" s="38" t="s">
        <v>4603</v>
      </c>
      <c r="M98" s="40" t="s">
        <v>4980</v>
      </c>
      <c r="N98" s="38"/>
      <c r="O98" s="38" t="s">
        <v>4981</v>
      </c>
      <c r="P98" s="37">
        <v>44544.0</v>
      </c>
      <c r="Q98" s="37">
        <v>1.825</v>
      </c>
      <c r="R98" s="37">
        <v>0.0</v>
      </c>
      <c r="S98" s="4">
        <f t="shared" si="1"/>
        <v>1.825</v>
      </c>
    </row>
    <row r="99">
      <c r="A99" s="38" t="s">
        <v>4982</v>
      </c>
      <c r="B99" s="38" t="s">
        <v>4983</v>
      </c>
      <c r="C99" s="38" t="s">
        <v>4984</v>
      </c>
      <c r="D99" s="38" t="s">
        <v>250</v>
      </c>
      <c r="E99" s="38" t="s">
        <v>1244</v>
      </c>
      <c r="F99" s="38" t="s">
        <v>3819</v>
      </c>
      <c r="G99" s="38" t="s">
        <v>4985</v>
      </c>
      <c r="H99" s="38" t="s">
        <v>4584</v>
      </c>
      <c r="I99" s="38" t="s">
        <v>4986</v>
      </c>
      <c r="J99" s="38" t="s">
        <v>60</v>
      </c>
      <c r="K99" s="38" t="s">
        <v>4602</v>
      </c>
      <c r="L99" s="38" t="s">
        <v>4603</v>
      </c>
      <c r="M99" s="40" t="s">
        <v>4902</v>
      </c>
      <c r="N99" s="38"/>
      <c r="O99" s="38" t="s">
        <v>4987</v>
      </c>
      <c r="P99" s="37">
        <v>44545.0</v>
      </c>
      <c r="Q99" s="37">
        <v>2.542</v>
      </c>
      <c r="R99" s="37">
        <v>-1.0</v>
      </c>
      <c r="S99" s="4" t="str">
        <f t="shared" si="1"/>
        <v/>
      </c>
    </row>
    <row r="100">
      <c r="A100" s="38" t="s">
        <v>500</v>
      </c>
      <c r="B100" s="38" t="s">
        <v>4931</v>
      </c>
      <c r="C100" s="38" t="s">
        <v>4932</v>
      </c>
      <c r="D100" s="38" t="s">
        <v>1111</v>
      </c>
      <c r="E100" s="38" t="s">
        <v>937</v>
      </c>
      <c r="F100" s="38" t="s">
        <v>3771</v>
      </c>
      <c r="G100" s="38" t="s">
        <v>4988</v>
      </c>
      <c r="H100" s="38" t="s">
        <v>4584</v>
      </c>
      <c r="I100" s="38" t="s">
        <v>4601</v>
      </c>
      <c r="J100" s="38" t="s">
        <v>60</v>
      </c>
      <c r="K100" s="38" t="s">
        <v>4611</v>
      </c>
      <c r="L100" s="38" t="s">
        <v>4603</v>
      </c>
      <c r="M100" s="38" t="s">
        <v>4829</v>
      </c>
      <c r="N100" s="38" t="s">
        <v>4668</v>
      </c>
      <c r="O100" s="38" t="s">
        <v>4989</v>
      </c>
      <c r="P100" s="37">
        <v>44510.0</v>
      </c>
      <c r="Q100" s="37">
        <v>2.087</v>
      </c>
      <c r="R100" s="37">
        <v>0.0</v>
      </c>
      <c r="S100" s="4">
        <f t="shared" si="1"/>
        <v>2.087</v>
      </c>
    </row>
    <row r="101">
      <c r="A101" s="38" t="s">
        <v>4990</v>
      </c>
      <c r="B101" s="38" t="s">
        <v>4991</v>
      </c>
      <c r="C101" s="38" t="s">
        <v>4992</v>
      </c>
      <c r="D101" s="38" t="s">
        <v>1523</v>
      </c>
      <c r="E101" s="38" t="s">
        <v>1509</v>
      </c>
      <c r="F101" s="38" t="s">
        <v>3896</v>
      </c>
      <c r="G101" s="38" t="s">
        <v>4993</v>
      </c>
      <c r="H101" s="38" t="s">
        <v>4584</v>
      </c>
      <c r="I101" s="38" t="s">
        <v>4699</v>
      </c>
      <c r="J101" s="38" t="s">
        <v>60</v>
      </c>
      <c r="K101" s="38" t="s">
        <v>4602</v>
      </c>
      <c r="L101" s="38" t="s">
        <v>4603</v>
      </c>
      <c r="M101" s="38" t="s">
        <v>4715</v>
      </c>
      <c r="N101" s="38" t="s">
        <v>4605</v>
      </c>
      <c r="O101" s="38" t="s">
        <v>4994</v>
      </c>
      <c r="P101" s="37">
        <v>44657.0</v>
      </c>
      <c r="Q101" s="37">
        <v>1.335</v>
      </c>
      <c r="R101" s="37">
        <v>0.0</v>
      </c>
      <c r="S101" s="4">
        <f t="shared" si="1"/>
        <v>1.335</v>
      </c>
    </row>
    <row r="102">
      <c r="A102" s="38" t="s">
        <v>1526</v>
      </c>
      <c r="B102" s="38" t="s">
        <v>4995</v>
      </c>
      <c r="C102" s="38" t="s">
        <v>4724</v>
      </c>
      <c r="D102" s="38" t="s">
        <v>1531</v>
      </c>
      <c r="E102" s="38" t="s">
        <v>1530</v>
      </c>
      <c r="F102" s="38" t="s">
        <v>3898</v>
      </c>
      <c r="G102" s="38" t="s">
        <v>4996</v>
      </c>
      <c r="H102" s="38" t="s">
        <v>4584</v>
      </c>
      <c r="I102" s="38" t="s">
        <v>4699</v>
      </c>
      <c r="J102" s="38" t="s">
        <v>60</v>
      </c>
      <c r="K102" s="38" t="s">
        <v>4602</v>
      </c>
      <c r="L102" s="38" t="s">
        <v>4603</v>
      </c>
      <c r="M102" s="38" t="s">
        <v>4719</v>
      </c>
      <c r="N102" s="38" t="s">
        <v>4605</v>
      </c>
      <c r="O102" s="38" t="s">
        <v>4997</v>
      </c>
      <c r="P102" s="37">
        <v>44658.0</v>
      </c>
      <c r="Q102" s="37">
        <v>1.624</v>
      </c>
      <c r="R102" s="37">
        <v>0.0</v>
      </c>
      <c r="S102" s="4">
        <f t="shared" si="1"/>
        <v>1.624</v>
      </c>
    </row>
    <row r="103">
      <c r="A103" s="38" t="s">
        <v>4597</v>
      </c>
      <c r="B103" s="38" t="s">
        <v>4598</v>
      </c>
      <c r="C103" s="38" t="s">
        <v>4998</v>
      </c>
      <c r="D103" s="38" t="s">
        <v>1547</v>
      </c>
      <c r="E103" s="38" t="s">
        <v>1546</v>
      </c>
      <c r="F103" s="38" t="s">
        <v>3904</v>
      </c>
      <c r="G103" s="38" t="s">
        <v>4999</v>
      </c>
      <c r="H103" s="38" t="s">
        <v>4869</v>
      </c>
      <c r="I103" s="38" t="s">
        <v>4601</v>
      </c>
      <c r="J103" s="38" t="s">
        <v>60</v>
      </c>
      <c r="K103" s="38" t="s">
        <v>4611</v>
      </c>
      <c r="L103" s="38" t="s">
        <v>4603</v>
      </c>
      <c r="M103" s="38" t="s">
        <v>5000</v>
      </c>
      <c r="N103" s="38" t="s">
        <v>4605</v>
      </c>
      <c r="O103" s="38" t="s">
        <v>5001</v>
      </c>
      <c r="P103" s="37">
        <v>44662.0</v>
      </c>
      <c r="Q103" s="37">
        <v>3.121</v>
      </c>
      <c r="R103" s="37">
        <v>0.0</v>
      </c>
      <c r="S103" s="4">
        <f t="shared" si="1"/>
        <v>3.121</v>
      </c>
    </row>
    <row r="104">
      <c r="A104" s="38" t="s">
        <v>345</v>
      </c>
      <c r="B104" s="38" t="s">
        <v>5002</v>
      </c>
      <c r="C104" s="38" t="s">
        <v>4842</v>
      </c>
      <c r="D104" s="38" t="s">
        <v>350</v>
      </c>
      <c r="E104" s="38" t="s">
        <v>349</v>
      </c>
      <c r="F104" s="38" t="s">
        <v>3548</v>
      </c>
      <c r="G104" s="38" t="s">
        <v>5003</v>
      </c>
      <c r="H104" s="38" t="s">
        <v>4609</v>
      </c>
      <c r="I104" s="38" t="s">
        <v>4610</v>
      </c>
      <c r="J104" s="38" t="s">
        <v>60</v>
      </c>
      <c r="K104" s="38" t="s">
        <v>4611</v>
      </c>
      <c r="L104" s="38" t="s">
        <v>4603</v>
      </c>
      <c r="M104" s="38" t="s">
        <v>4948</v>
      </c>
      <c r="N104" s="38" t="s">
        <v>4668</v>
      </c>
      <c r="O104" s="38" t="s">
        <v>5004</v>
      </c>
      <c r="P104" s="37">
        <v>44251.0</v>
      </c>
      <c r="Q104" s="37">
        <v>3.4808</v>
      </c>
      <c r="R104" s="37">
        <v>0.0</v>
      </c>
      <c r="S104" s="4">
        <f t="shared" si="1"/>
        <v>3.4808</v>
      </c>
    </row>
    <row r="105">
      <c r="A105" s="38" t="s">
        <v>345</v>
      </c>
      <c r="B105" s="38" t="s">
        <v>5002</v>
      </c>
      <c r="C105" s="38" t="s">
        <v>4842</v>
      </c>
      <c r="D105" s="38" t="s">
        <v>350</v>
      </c>
      <c r="E105" s="38" t="s">
        <v>349</v>
      </c>
      <c r="F105" s="38" t="s">
        <v>3550</v>
      </c>
      <c r="G105" s="38" t="s">
        <v>5005</v>
      </c>
      <c r="H105" s="38" t="s">
        <v>4609</v>
      </c>
      <c r="I105" s="38" t="s">
        <v>4601</v>
      </c>
      <c r="J105" s="38" t="s">
        <v>60</v>
      </c>
      <c r="K105" s="38" t="s">
        <v>4611</v>
      </c>
      <c r="L105" s="38" t="s">
        <v>4603</v>
      </c>
      <c r="M105" s="38" t="s">
        <v>4948</v>
      </c>
      <c r="N105" s="38" t="s">
        <v>4668</v>
      </c>
      <c r="O105" s="38" t="s">
        <v>5006</v>
      </c>
      <c r="P105" s="37">
        <v>44251.0</v>
      </c>
      <c r="Q105" s="37">
        <v>3.481</v>
      </c>
      <c r="R105" s="37">
        <v>0.0</v>
      </c>
      <c r="S105" s="4">
        <f t="shared" si="1"/>
        <v>3.481</v>
      </c>
    </row>
    <row r="106">
      <c r="A106" s="38" t="s">
        <v>1059</v>
      </c>
      <c r="B106" s="38" t="s">
        <v>4837</v>
      </c>
      <c r="C106" s="38" t="s">
        <v>5007</v>
      </c>
      <c r="D106" s="38" t="s">
        <v>1062</v>
      </c>
      <c r="E106" s="38" t="s">
        <v>1048</v>
      </c>
      <c r="F106" s="38" t="s">
        <v>3757</v>
      </c>
      <c r="G106" s="38" t="s">
        <v>5008</v>
      </c>
      <c r="H106" s="38" t="s">
        <v>4609</v>
      </c>
      <c r="I106" s="38" t="s">
        <v>4610</v>
      </c>
      <c r="J106" s="38" t="s">
        <v>60</v>
      </c>
      <c r="K106" s="38" t="s">
        <v>4611</v>
      </c>
      <c r="L106" s="38" t="s">
        <v>4603</v>
      </c>
      <c r="M106" s="38" t="s">
        <v>4839</v>
      </c>
      <c r="N106" s="38" t="s">
        <v>4668</v>
      </c>
      <c r="O106" s="38" t="s">
        <v>5009</v>
      </c>
      <c r="P106" s="37">
        <v>44509.0</v>
      </c>
      <c r="Q106" s="37">
        <v>5.0011</v>
      </c>
      <c r="R106" s="37">
        <v>0.0</v>
      </c>
      <c r="S106" s="4">
        <f t="shared" si="1"/>
        <v>5.0011</v>
      </c>
    </row>
    <row r="107">
      <c r="A107" s="38" t="s">
        <v>5010</v>
      </c>
      <c r="B107" s="38" t="s">
        <v>5011</v>
      </c>
      <c r="C107" s="38" t="s">
        <v>4800</v>
      </c>
      <c r="D107" s="38" t="s">
        <v>521</v>
      </c>
      <c r="E107" s="38" t="s">
        <v>513</v>
      </c>
      <c r="F107" s="38" t="s">
        <v>3598</v>
      </c>
      <c r="G107" s="38" t="s">
        <v>5012</v>
      </c>
      <c r="H107" s="38" t="s">
        <v>4584</v>
      </c>
      <c r="I107" s="38" t="s">
        <v>4601</v>
      </c>
      <c r="J107" s="38" t="s">
        <v>60</v>
      </c>
      <c r="K107" s="38" t="s">
        <v>4611</v>
      </c>
      <c r="L107" s="38" t="s">
        <v>4603</v>
      </c>
      <c r="M107" s="38" t="s">
        <v>5013</v>
      </c>
      <c r="N107" s="38" t="s">
        <v>4668</v>
      </c>
      <c r="O107" s="38" t="s">
        <v>5014</v>
      </c>
      <c r="P107" s="37">
        <v>44330.0</v>
      </c>
      <c r="Q107" s="37">
        <v>5.352</v>
      </c>
      <c r="R107" s="37">
        <v>0.0</v>
      </c>
      <c r="S107" s="4">
        <f t="shared" si="1"/>
        <v>5.352</v>
      </c>
    </row>
    <row r="108">
      <c r="A108" s="38" t="s">
        <v>5010</v>
      </c>
      <c r="B108" s="38" t="s">
        <v>5011</v>
      </c>
      <c r="C108" s="38" t="s">
        <v>4800</v>
      </c>
      <c r="D108" s="38" t="s">
        <v>521</v>
      </c>
      <c r="E108" s="38" t="s">
        <v>513</v>
      </c>
      <c r="F108" s="38" t="s">
        <v>3594</v>
      </c>
      <c r="G108" s="38" t="s">
        <v>5015</v>
      </c>
      <c r="H108" s="38" t="s">
        <v>4584</v>
      </c>
      <c r="I108" s="38" t="s">
        <v>4610</v>
      </c>
      <c r="J108" s="38" t="s">
        <v>60</v>
      </c>
      <c r="K108" s="38" t="s">
        <v>4611</v>
      </c>
      <c r="L108" s="38" t="s">
        <v>4603</v>
      </c>
      <c r="M108" s="38" t="s">
        <v>5013</v>
      </c>
      <c r="N108" s="38" t="s">
        <v>4668</v>
      </c>
      <c r="O108" s="38" t="s">
        <v>5016</v>
      </c>
      <c r="P108" s="37">
        <v>44330.0</v>
      </c>
      <c r="Q108" s="37">
        <v>5.293112</v>
      </c>
      <c r="R108" s="37">
        <v>0.0</v>
      </c>
      <c r="S108" s="4">
        <f t="shared" si="1"/>
        <v>5.293112</v>
      </c>
    </row>
    <row r="109">
      <c r="A109" s="38" t="s">
        <v>5017</v>
      </c>
      <c r="B109" s="38" t="s">
        <v>5018</v>
      </c>
      <c r="C109" s="38" t="s">
        <v>5019</v>
      </c>
      <c r="D109" s="38" t="s">
        <v>1585</v>
      </c>
      <c r="E109" s="38" t="s">
        <v>1584</v>
      </c>
      <c r="F109" s="38" t="s">
        <v>3916</v>
      </c>
      <c r="G109" s="38" t="s">
        <v>5020</v>
      </c>
      <c r="H109" s="38" t="s">
        <v>4609</v>
      </c>
      <c r="I109" s="38" t="s">
        <v>4610</v>
      </c>
      <c r="J109" s="38" t="s">
        <v>60</v>
      </c>
      <c r="K109" s="38" t="s">
        <v>4611</v>
      </c>
      <c r="L109" s="38" t="s">
        <v>4603</v>
      </c>
      <c r="M109" s="38" t="s">
        <v>4948</v>
      </c>
      <c r="N109" s="38" t="s">
        <v>4668</v>
      </c>
      <c r="O109" s="38" t="s">
        <v>5021</v>
      </c>
      <c r="P109" s="41" t="e">
        <v>#N/A</v>
      </c>
      <c r="Q109" s="38"/>
      <c r="R109" s="41" t="e">
        <v>#N/A</v>
      </c>
      <c r="S109" s="4" t="str">
        <f t="shared" si="1"/>
        <v>#N/A</v>
      </c>
    </row>
    <row r="110">
      <c r="A110" s="38" t="s">
        <v>5017</v>
      </c>
      <c r="B110" s="38" t="s">
        <v>5018</v>
      </c>
      <c r="C110" s="38" t="s">
        <v>5019</v>
      </c>
      <c r="D110" s="38" t="s">
        <v>1585</v>
      </c>
      <c r="E110" s="38" t="s">
        <v>1584</v>
      </c>
      <c r="F110" s="38" t="s">
        <v>3918</v>
      </c>
      <c r="G110" s="38" t="s">
        <v>5022</v>
      </c>
      <c r="H110" s="38" t="s">
        <v>4609</v>
      </c>
      <c r="I110" s="38" t="s">
        <v>4601</v>
      </c>
      <c r="J110" s="38" t="s">
        <v>60</v>
      </c>
      <c r="K110" s="38" t="s">
        <v>4611</v>
      </c>
      <c r="L110" s="38" t="s">
        <v>4603</v>
      </c>
      <c r="M110" s="38" t="s">
        <v>4948</v>
      </c>
      <c r="N110" s="38" t="s">
        <v>4668</v>
      </c>
      <c r="O110" s="38" t="s">
        <v>5021</v>
      </c>
      <c r="P110" s="41" t="e">
        <v>#N/A</v>
      </c>
      <c r="Q110" s="38"/>
      <c r="R110" s="41" t="e">
        <v>#N/A</v>
      </c>
      <c r="S110" s="4" t="str">
        <f t="shared" si="1"/>
        <v>#N/A</v>
      </c>
    </row>
    <row r="111">
      <c r="A111" s="38" t="s">
        <v>5023</v>
      </c>
      <c r="B111" s="38" t="s">
        <v>1573</v>
      </c>
      <c r="C111" s="38" t="s">
        <v>5024</v>
      </c>
      <c r="D111" s="38" t="s">
        <v>1575</v>
      </c>
      <c r="E111" s="38" t="s">
        <v>1574</v>
      </c>
      <c r="F111" s="38" t="s">
        <v>3914</v>
      </c>
      <c r="G111" s="38" t="s">
        <v>5025</v>
      </c>
      <c r="H111" s="38" t="s">
        <v>4609</v>
      </c>
      <c r="I111" s="38" t="s">
        <v>4601</v>
      </c>
      <c r="J111" s="38" t="s">
        <v>60</v>
      </c>
      <c r="K111" s="38" t="s">
        <v>4611</v>
      </c>
      <c r="L111" s="38" t="s">
        <v>4603</v>
      </c>
      <c r="M111" s="38" t="s">
        <v>4921</v>
      </c>
      <c r="N111" s="38" t="s">
        <v>4668</v>
      </c>
      <c r="O111" s="38" t="s">
        <v>5026</v>
      </c>
      <c r="P111" s="37">
        <v>44678.0</v>
      </c>
      <c r="Q111" s="37">
        <v>6.323</v>
      </c>
      <c r="R111" s="37">
        <v>0.0</v>
      </c>
      <c r="S111" s="4">
        <f t="shared" si="1"/>
        <v>6.323</v>
      </c>
    </row>
    <row r="112">
      <c r="A112" s="38" t="s">
        <v>5023</v>
      </c>
      <c r="B112" s="38" t="s">
        <v>1573</v>
      </c>
      <c r="C112" s="38" t="s">
        <v>5024</v>
      </c>
      <c r="D112" s="38" t="s">
        <v>1575</v>
      </c>
      <c r="E112" s="38" t="s">
        <v>1574</v>
      </c>
      <c r="F112" s="38" t="s">
        <v>3912</v>
      </c>
      <c r="G112" s="38" t="s">
        <v>5027</v>
      </c>
      <c r="H112" s="38" t="s">
        <v>4609</v>
      </c>
      <c r="I112" s="38" t="s">
        <v>4610</v>
      </c>
      <c r="J112" s="38" t="s">
        <v>60</v>
      </c>
      <c r="K112" s="38" t="s">
        <v>4611</v>
      </c>
      <c r="L112" s="38" t="s">
        <v>4603</v>
      </c>
      <c r="M112" s="38" t="s">
        <v>4921</v>
      </c>
      <c r="N112" s="38" t="s">
        <v>4668</v>
      </c>
      <c r="O112" s="38" t="s">
        <v>5028</v>
      </c>
      <c r="P112" s="37">
        <v>44678.0</v>
      </c>
      <c r="Q112" s="37">
        <v>6.3234</v>
      </c>
      <c r="R112" s="37">
        <v>0.0</v>
      </c>
      <c r="S112" s="4">
        <f t="shared" si="1"/>
        <v>6.3234</v>
      </c>
    </row>
    <row r="113">
      <c r="A113" s="38" t="s">
        <v>4597</v>
      </c>
      <c r="B113" s="38" t="s">
        <v>4598</v>
      </c>
      <c r="C113" s="38" t="s">
        <v>4850</v>
      </c>
      <c r="D113" s="38" t="s">
        <v>909</v>
      </c>
      <c r="E113" s="38" t="s">
        <v>904</v>
      </c>
      <c r="F113" s="38" t="s">
        <v>3715</v>
      </c>
      <c r="G113" s="38" t="s">
        <v>5029</v>
      </c>
      <c r="H113" s="38" t="s">
        <v>4584</v>
      </c>
      <c r="I113" s="38" t="s">
        <v>4601</v>
      </c>
      <c r="J113" s="38" t="s">
        <v>60</v>
      </c>
      <c r="K113" s="38" t="s">
        <v>4611</v>
      </c>
      <c r="L113" s="38" t="s">
        <v>4603</v>
      </c>
      <c r="M113" s="38" t="s">
        <v>4604</v>
      </c>
      <c r="N113" s="38" t="s">
        <v>4605</v>
      </c>
      <c r="O113" s="38" t="s">
        <v>5030</v>
      </c>
      <c r="P113" s="37">
        <v>44467.0</v>
      </c>
      <c r="Q113" s="37">
        <v>0.419</v>
      </c>
      <c r="R113" s="37">
        <v>0.0</v>
      </c>
      <c r="S113" s="4">
        <f t="shared" si="1"/>
        <v>0.419</v>
      </c>
    </row>
    <row r="114">
      <c r="A114" s="38" t="s">
        <v>5031</v>
      </c>
      <c r="B114" s="38" t="s">
        <v>5032</v>
      </c>
      <c r="C114" s="38" t="s">
        <v>4887</v>
      </c>
      <c r="D114" s="38" t="s">
        <v>1445</v>
      </c>
      <c r="E114" s="38" t="s">
        <v>1444</v>
      </c>
      <c r="F114" s="38" t="s">
        <v>3873</v>
      </c>
      <c r="G114" s="38" t="s">
        <v>5033</v>
      </c>
      <c r="H114" s="38" t="s">
        <v>4584</v>
      </c>
      <c r="I114" s="38" t="s">
        <v>4601</v>
      </c>
      <c r="J114" s="38" t="s">
        <v>60</v>
      </c>
      <c r="K114" s="38" t="s">
        <v>4611</v>
      </c>
      <c r="L114" s="38" t="s">
        <v>4603</v>
      </c>
      <c r="M114" s="38" t="s">
        <v>4889</v>
      </c>
      <c r="N114" s="38" t="s">
        <v>4605</v>
      </c>
      <c r="O114" s="38" t="s">
        <v>5034</v>
      </c>
      <c r="P114" s="37">
        <v>44635.0</v>
      </c>
      <c r="Q114" s="37">
        <v>1.483</v>
      </c>
      <c r="R114" s="37">
        <v>0.0</v>
      </c>
      <c r="S114" s="4">
        <f t="shared" si="1"/>
        <v>1.483</v>
      </c>
    </row>
    <row r="115">
      <c r="A115" s="38" t="s">
        <v>1360</v>
      </c>
      <c r="B115" s="38" t="s">
        <v>5035</v>
      </c>
      <c r="C115" s="38" t="s">
        <v>5036</v>
      </c>
      <c r="D115" s="38" t="s">
        <v>1364</v>
      </c>
      <c r="E115" s="38" t="s">
        <v>1321</v>
      </c>
      <c r="F115" s="38" t="s">
        <v>3851</v>
      </c>
      <c r="G115" s="38" t="s">
        <v>5037</v>
      </c>
      <c r="H115" s="38" t="s">
        <v>4584</v>
      </c>
      <c r="I115" s="38" t="s">
        <v>4601</v>
      </c>
      <c r="J115" s="38" t="s">
        <v>60</v>
      </c>
      <c r="K115" s="38" t="s">
        <v>4611</v>
      </c>
      <c r="L115" s="38" t="s">
        <v>4603</v>
      </c>
      <c r="M115" s="38" t="s">
        <v>5038</v>
      </c>
      <c r="N115" s="38" t="s">
        <v>4605</v>
      </c>
      <c r="O115" s="38" t="s">
        <v>5039</v>
      </c>
      <c r="P115" s="37">
        <v>44581.0</v>
      </c>
      <c r="Q115" s="37">
        <v>0.797751</v>
      </c>
      <c r="R115" s="37">
        <v>0.0</v>
      </c>
      <c r="S115" s="4">
        <f t="shared" si="1"/>
        <v>0.797751</v>
      </c>
    </row>
    <row r="116">
      <c r="A116" s="38" t="s">
        <v>5040</v>
      </c>
      <c r="B116" s="38" t="s">
        <v>5041</v>
      </c>
      <c r="C116" s="38" t="s">
        <v>4850</v>
      </c>
      <c r="D116" s="38" t="s">
        <v>767</v>
      </c>
      <c r="E116" s="38" t="s">
        <v>629</v>
      </c>
      <c r="F116" s="38" t="s">
        <v>3665</v>
      </c>
      <c r="G116" s="38" t="s">
        <v>5042</v>
      </c>
      <c r="H116" s="38" t="s">
        <v>4584</v>
      </c>
      <c r="I116" s="38" t="s">
        <v>4601</v>
      </c>
      <c r="J116" s="38" t="s">
        <v>60</v>
      </c>
      <c r="K116" s="38" t="s">
        <v>4611</v>
      </c>
      <c r="L116" s="38" t="s">
        <v>4603</v>
      </c>
      <c r="M116" s="38" t="s">
        <v>4715</v>
      </c>
      <c r="N116" s="38" t="s">
        <v>4605</v>
      </c>
      <c r="O116" s="38" t="s">
        <v>5043</v>
      </c>
      <c r="P116" s="37">
        <v>44383.0</v>
      </c>
      <c r="Q116" s="37">
        <v>0.323</v>
      </c>
      <c r="R116" s="37">
        <v>0.0</v>
      </c>
      <c r="S116" s="4">
        <f t="shared" si="1"/>
        <v>0.323</v>
      </c>
    </row>
    <row r="117">
      <c r="A117" s="38" t="s">
        <v>345</v>
      </c>
      <c r="B117" s="38" t="s">
        <v>5002</v>
      </c>
      <c r="C117" s="38" t="s">
        <v>4690</v>
      </c>
      <c r="D117" s="38" t="s">
        <v>585</v>
      </c>
      <c r="E117" s="38" t="s">
        <v>584</v>
      </c>
      <c r="F117" s="38" t="s">
        <v>3616</v>
      </c>
      <c r="G117" s="38" t="s">
        <v>5044</v>
      </c>
      <c r="H117" s="38" t="s">
        <v>4584</v>
      </c>
      <c r="I117" s="38" t="s">
        <v>4601</v>
      </c>
      <c r="J117" s="38" t="s">
        <v>60</v>
      </c>
      <c r="K117" s="38" t="s">
        <v>4611</v>
      </c>
      <c r="L117" s="38" t="s">
        <v>4603</v>
      </c>
      <c r="M117" s="38" t="s">
        <v>4902</v>
      </c>
      <c r="N117" s="38" t="s">
        <v>4668</v>
      </c>
      <c r="O117" s="38" t="s">
        <v>5045</v>
      </c>
      <c r="P117" s="37">
        <v>44349.0</v>
      </c>
      <c r="Q117" s="37">
        <v>2.968</v>
      </c>
      <c r="R117" s="37">
        <v>0.0</v>
      </c>
      <c r="S117" s="4">
        <f t="shared" si="1"/>
        <v>2.968</v>
      </c>
    </row>
    <row r="118">
      <c r="A118" s="38" t="s">
        <v>345</v>
      </c>
      <c r="B118" s="38" t="s">
        <v>5002</v>
      </c>
      <c r="C118" s="38" t="s">
        <v>4690</v>
      </c>
      <c r="D118" s="38" t="s">
        <v>585</v>
      </c>
      <c r="E118" s="38" t="s">
        <v>584</v>
      </c>
      <c r="F118" s="38" t="s">
        <v>3614</v>
      </c>
      <c r="G118" s="38" t="s">
        <v>5046</v>
      </c>
      <c r="H118" s="38" t="s">
        <v>4584</v>
      </c>
      <c r="I118" s="38" t="s">
        <v>4610</v>
      </c>
      <c r="J118" s="38" t="s">
        <v>60</v>
      </c>
      <c r="K118" s="38" t="s">
        <v>4611</v>
      </c>
      <c r="L118" s="38" t="s">
        <v>4603</v>
      </c>
      <c r="M118" s="38" t="s">
        <v>4902</v>
      </c>
      <c r="N118" s="38" t="s">
        <v>4668</v>
      </c>
      <c r="O118" s="38" t="s">
        <v>5047</v>
      </c>
      <c r="P118" s="37">
        <v>44349.0</v>
      </c>
      <c r="Q118" s="37">
        <v>3.000638</v>
      </c>
      <c r="R118" s="37">
        <v>0.0</v>
      </c>
      <c r="S118" s="4">
        <f t="shared" si="1"/>
        <v>3.000638</v>
      </c>
    </row>
    <row r="119">
      <c r="A119" s="38" t="s">
        <v>363</v>
      </c>
      <c r="B119" s="38" t="s">
        <v>5048</v>
      </c>
      <c r="C119" s="38" t="s">
        <v>4654</v>
      </c>
      <c r="D119" s="38" t="s">
        <v>369</v>
      </c>
      <c r="E119" s="38" t="s">
        <v>360</v>
      </c>
      <c r="F119" s="38" t="s">
        <v>3554</v>
      </c>
      <c r="G119" s="38" t="s">
        <v>5049</v>
      </c>
      <c r="H119" s="38" t="s">
        <v>4584</v>
      </c>
      <c r="I119" s="38" t="s">
        <v>4601</v>
      </c>
      <c r="J119" s="38" t="s">
        <v>60</v>
      </c>
      <c r="K119" s="38" t="s">
        <v>4611</v>
      </c>
      <c r="L119" s="38" t="s">
        <v>4603</v>
      </c>
      <c r="M119" s="38" t="s">
        <v>4889</v>
      </c>
      <c r="N119" s="38" t="s">
        <v>4605</v>
      </c>
      <c r="O119" s="38" t="s">
        <v>5050</v>
      </c>
      <c r="P119" s="37">
        <v>44252.0</v>
      </c>
      <c r="Q119" s="37">
        <v>0.478</v>
      </c>
      <c r="R119" s="37">
        <v>0.0</v>
      </c>
      <c r="S119" s="4">
        <f t="shared" si="1"/>
        <v>0.478</v>
      </c>
    </row>
    <row r="120">
      <c r="A120" s="38" t="s">
        <v>1487</v>
      </c>
      <c r="B120" s="38" t="s">
        <v>4763</v>
      </c>
      <c r="C120" s="38" t="s">
        <v>4827</v>
      </c>
      <c r="D120" s="38" t="s">
        <v>1496</v>
      </c>
      <c r="E120" s="38" t="s">
        <v>1455</v>
      </c>
      <c r="F120" s="38" t="s">
        <v>3888</v>
      </c>
      <c r="G120" s="38" t="s">
        <v>5051</v>
      </c>
      <c r="H120" s="38" t="s">
        <v>4584</v>
      </c>
      <c r="I120" s="38" t="s">
        <v>4699</v>
      </c>
      <c r="J120" s="38" t="s">
        <v>60</v>
      </c>
      <c r="K120" s="38" t="s">
        <v>4602</v>
      </c>
      <c r="L120" s="38" t="s">
        <v>4603</v>
      </c>
      <c r="M120" s="38" t="s">
        <v>4719</v>
      </c>
      <c r="N120" s="38" t="s">
        <v>4605</v>
      </c>
      <c r="O120" s="38" t="s">
        <v>5052</v>
      </c>
      <c r="P120" s="37">
        <v>44650.0</v>
      </c>
      <c r="Q120" s="37">
        <v>2.234</v>
      </c>
      <c r="R120" s="37">
        <v>0.0</v>
      </c>
      <c r="S120" s="4">
        <f t="shared" si="1"/>
        <v>2.234</v>
      </c>
    </row>
    <row r="121">
      <c r="A121" s="38" t="s">
        <v>1067</v>
      </c>
      <c r="B121" s="38" t="s">
        <v>5053</v>
      </c>
      <c r="C121" s="38" t="s">
        <v>4778</v>
      </c>
      <c r="D121" s="38" t="s">
        <v>1072</v>
      </c>
      <c r="E121" s="38" t="s">
        <v>1071</v>
      </c>
      <c r="F121" s="38" t="s">
        <v>3761</v>
      </c>
      <c r="G121" s="38" t="s">
        <v>5054</v>
      </c>
      <c r="H121" s="38" t="s">
        <v>4584</v>
      </c>
      <c r="I121" s="38" t="s">
        <v>4699</v>
      </c>
      <c r="J121" s="38" t="s">
        <v>60</v>
      </c>
      <c r="K121" s="38" t="s">
        <v>4602</v>
      </c>
      <c r="L121" s="38" t="s">
        <v>4603</v>
      </c>
      <c r="M121" s="38" t="s">
        <v>5055</v>
      </c>
      <c r="N121" s="38" t="s">
        <v>4605</v>
      </c>
      <c r="O121" s="38" t="s">
        <v>5056</v>
      </c>
      <c r="P121" s="37">
        <v>44512.0</v>
      </c>
      <c r="Q121" s="37">
        <v>1.008</v>
      </c>
      <c r="R121" s="37">
        <v>0.0</v>
      </c>
      <c r="S121" s="4">
        <f t="shared" si="1"/>
        <v>1.008</v>
      </c>
    </row>
    <row r="122">
      <c r="A122" s="38" t="s">
        <v>4891</v>
      </c>
      <c r="B122" s="38" t="s">
        <v>4892</v>
      </c>
      <c r="C122" s="38" t="s">
        <v>4950</v>
      </c>
      <c r="D122" s="38" t="s">
        <v>1222</v>
      </c>
      <c r="E122" s="38" t="s">
        <v>1221</v>
      </c>
      <c r="F122" s="38" t="s">
        <v>3805</v>
      </c>
      <c r="G122" s="38" t="s">
        <v>5057</v>
      </c>
      <c r="H122" s="38" t="s">
        <v>4584</v>
      </c>
      <c r="I122" s="38" t="s">
        <v>4601</v>
      </c>
      <c r="J122" s="38" t="s">
        <v>60</v>
      </c>
      <c r="K122" s="38" t="s">
        <v>4611</v>
      </c>
      <c r="L122" s="38" t="s">
        <v>4603</v>
      </c>
      <c r="M122" s="38" t="s">
        <v>4829</v>
      </c>
      <c r="N122" s="38" t="s">
        <v>4605</v>
      </c>
      <c r="O122" s="38" t="s">
        <v>5058</v>
      </c>
      <c r="P122" s="37">
        <v>44531.0</v>
      </c>
      <c r="Q122" s="37">
        <v>0.571</v>
      </c>
      <c r="R122" s="37">
        <v>0.0</v>
      </c>
      <c r="S122" s="4">
        <f t="shared" si="1"/>
        <v>0.571</v>
      </c>
    </row>
    <row r="123">
      <c r="A123" s="38" t="s">
        <v>1336</v>
      </c>
      <c r="B123" s="38" t="s">
        <v>5059</v>
      </c>
      <c r="C123" s="38" t="s">
        <v>4768</v>
      </c>
      <c r="D123" s="38" t="s">
        <v>1342</v>
      </c>
      <c r="E123" s="38" t="s">
        <v>1341</v>
      </c>
      <c r="F123" s="38" t="s">
        <v>3843</v>
      </c>
      <c r="G123" s="38" t="s">
        <v>5060</v>
      </c>
      <c r="H123" s="38" t="s">
        <v>4584</v>
      </c>
      <c r="I123" s="38" t="s">
        <v>4601</v>
      </c>
      <c r="J123" s="38" t="s">
        <v>60</v>
      </c>
      <c r="K123" s="38" t="s">
        <v>4611</v>
      </c>
      <c r="L123" s="38" t="s">
        <v>4603</v>
      </c>
      <c r="M123" s="38" t="s">
        <v>4848</v>
      </c>
      <c r="N123" s="38" t="s">
        <v>4605</v>
      </c>
      <c r="O123" s="38" t="s">
        <v>5061</v>
      </c>
      <c r="P123" s="37">
        <v>44575.0</v>
      </c>
      <c r="Q123" s="37">
        <v>2.021</v>
      </c>
      <c r="R123" s="37">
        <v>0.0</v>
      </c>
      <c r="S123" s="4">
        <f t="shared" si="1"/>
        <v>2.021</v>
      </c>
    </row>
    <row r="124">
      <c r="A124" s="38" t="s">
        <v>1167</v>
      </c>
      <c r="B124" s="38" t="s">
        <v>4777</v>
      </c>
      <c r="C124" s="38" t="s">
        <v>4887</v>
      </c>
      <c r="D124" s="38" t="s">
        <v>1177</v>
      </c>
      <c r="E124" s="38" t="s">
        <v>1171</v>
      </c>
      <c r="F124" s="38" t="s">
        <v>3791</v>
      </c>
      <c r="G124" s="38" t="s">
        <v>5062</v>
      </c>
      <c r="H124" s="38" t="s">
        <v>4584</v>
      </c>
      <c r="I124" s="38" t="s">
        <v>4601</v>
      </c>
      <c r="J124" s="38" t="s">
        <v>60</v>
      </c>
      <c r="K124" s="38" t="s">
        <v>4611</v>
      </c>
      <c r="L124" s="38" t="s">
        <v>4603</v>
      </c>
      <c r="M124" s="38" t="s">
        <v>4656</v>
      </c>
      <c r="N124" s="38" t="s">
        <v>4605</v>
      </c>
      <c r="O124" s="38" t="s">
        <v>5063</v>
      </c>
      <c r="P124" s="37">
        <v>44525.0</v>
      </c>
      <c r="Q124" s="37">
        <v>1.645</v>
      </c>
      <c r="R124" s="37">
        <v>0.0</v>
      </c>
      <c r="S124" s="4">
        <f t="shared" si="1"/>
        <v>1.645</v>
      </c>
    </row>
    <row r="125">
      <c r="A125" s="38" t="s">
        <v>416</v>
      </c>
      <c r="B125" s="38" t="s">
        <v>5064</v>
      </c>
      <c r="C125" s="38" t="s">
        <v>4850</v>
      </c>
      <c r="D125" s="38" t="s">
        <v>420</v>
      </c>
      <c r="E125" s="38" t="s">
        <v>409</v>
      </c>
      <c r="F125" s="38" t="s">
        <v>3566</v>
      </c>
      <c r="G125" s="38" t="s">
        <v>5065</v>
      </c>
      <c r="H125" s="38" t="s">
        <v>4584</v>
      </c>
      <c r="I125" s="38" t="s">
        <v>4601</v>
      </c>
      <c r="J125" s="38" t="s">
        <v>60</v>
      </c>
      <c r="K125" s="38" t="s">
        <v>4611</v>
      </c>
      <c r="L125" s="38" t="s">
        <v>4603</v>
      </c>
      <c r="M125" s="38" t="s">
        <v>4829</v>
      </c>
      <c r="N125" s="38" t="s">
        <v>4605</v>
      </c>
      <c r="O125" s="38" t="s">
        <v>5066</v>
      </c>
      <c r="P125" s="37">
        <v>44273.0</v>
      </c>
      <c r="Q125" s="37">
        <v>0.438</v>
      </c>
      <c r="R125" s="37">
        <v>0.0</v>
      </c>
      <c r="S125" s="4">
        <f t="shared" si="1"/>
        <v>0.438</v>
      </c>
    </row>
    <row r="126">
      <c r="A126" s="38" t="s">
        <v>1043</v>
      </c>
      <c r="B126" s="38" t="s">
        <v>4841</v>
      </c>
      <c r="C126" s="38" t="s">
        <v>5067</v>
      </c>
      <c r="D126" s="38" t="s">
        <v>1056</v>
      </c>
      <c r="E126" s="38" t="s">
        <v>1048</v>
      </c>
      <c r="F126" s="38" t="s">
        <v>3755</v>
      </c>
      <c r="G126" s="38" t="s">
        <v>5068</v>
      </c>
      <c r="H126" s="38" t="s">
        <v>4584</v>
      </c>
      <c r="I126" s="38" t="s">
        <v>4601</v>
      </c>
      <c r="J126" s="38" t="s">
        <v>60</v>
      </c>
      <c r="K126" s="38" t="s">
        <v>4611</v>
      </c>
      <c r="L126" s="38" t="s">
        <v>4603</v>
      </c>
      <c r="M126" s="38" t="s">
        <v>5069</v>
      </c>
      <c r="N126" s="38" t="s">
        <v>4668</v>
      </c>
      <c r="O126" s="38" t="s">
        <v>5070</v>
      </c>
      <c r="P126" s="37">
        <v>44509.0</v>
      </c>
      <c r="Q126" s="37">
        <v>4.406</v>
      </c>
      <c r="R126" s="37">
        <v>0.0</v>
      </c>
      <c r="S126" s="4">
        <f t="shared" si="1"/>
        <v>4.406</v>
      </c>
    </row>
    <row r="127">
      <c r="A127" s="38" t="s">
        <v>4597</v>
      </c>
      <c r="B127" s="38" t="s">
        <v>4598</v>
      </c>
      <c r="C127" s="38" t="s">
        <v>5071</v>
      </c>
      <c r="D127" s="38" t="s">
        <v>652</v>
      </c>
      <c r="E127" s="38" t="s">
        <v>646</v>
      </c>
      <c r="F127" s="38" t="s">
        <v>3630</v>
      </c>
      <c r="G127" s="38" t="s">
        <v>5072</v>
      </c>
      <c r="H127" s="38" t="s">
        <v>4584</v>
      </c>
      <c r="I127" s="38" t="s">
        <v>4601</v>
      </c>
      <c r="J127" s="38" t="s">
        <v>60</v>
      </c>
      <c r="K127" s="38" t="s">
        <v>4611</v>
      </c>
      <c r="L127" s="38" t="s">
        <v>4603</v>
      </c>
      <c r="M127" s="38" t="s">
        <v>4656</v>
      </c>
      <c r="N127" s="38" t="s">
        <v>4605</v>
      </c>
      <c r="O127" s="38" t="s">
        <v>5073</v>
      </c>
      <c r="P127" s="37">
        <v>44364.0</v>
      </c>
      <c r="Q127" s="37">
        <v>0.466</v>
      </c>
      <c r="R127" s="37">
        <v>0.0</v>
      </c>
      <c r="S127" s="4">
        <f t="shared" si="1"/>
        <v>0.466</v>
      </c>
    </row>
    <row r="128">
      <c r="A128" s="38" t="s">
        <v>254</v>
      </c>
      <c r="B128" s="38" t="s">
        <v>5074</v>
      </c>
      <c r="C128" s="38" t="s">
        <v>5075</v>
      </c>
      <c r="D128" s="38" t="s">
        <v>261</v>
      </c>
      <c r="E128" s="38" t="s">
        <v>260</v>
      </c>
      <c r="F128" s="38" t="s">
        <v>3527</v>
      </c>
      <c r="G128" s="38" t="s">
        <v>5076</v>
      </c>
      <c r="H128" s="38" t="s">
        <v>4609</v>
      </c>
      <c r="I128" s="38" t="s">
        <v>4610</v>
      </c>
      <c r="J128" s="38" t="s">
        <v>60</v>
      </c>
      <c r="K128" s="38" t="s">
        <v>4611</v>
      </c>
      <c r="L128" s="38" t="s">
        <v>4603</v>
      </c>
      <c r="M128" s="38" t="s">
        <v>4948</v>
      </c>
      <c r="N128" s="38" t="s">
        <v>4668</v>
      </c>
      <c r="O128" s="38" t="s">
        <v>5077</v>
      </c>
      <c r="P128" s="37">
        <v>44308.0</v>
      </c>
      <c r="Q128" s="37">
        <v>3.6462</v>
      </c>
      <c r="R128" s="37">
        <v>-100.0</v>
      </c>
      <c r="S128" s="4" t="str">
        <f t="shared" si="1"/>
        <v/>
      </c>
    </row>
    <row r="129">
      <c r="A129" s="38" t="s">
        <v>254</v>
      </c>
      <c r="B129" s="38" t="s">
        <v>5074</v>
      </c>
      <c r="C129" s="38" t="s">
        <v>5075</v>
      </c>
      <c r="D129" s="38" t="s">
        <v>261</v>
      </c>
      <c r="E129" s="38" t="s">
        <v>260</v>
      </c>
      <c r="F129" s="38" t="s">
        <v>3529</v>
      </c>
      <c r="G129" s="38" t="s">
        <v>5078</v>
      </c>
      <c r="H129" s="38" t="s">
        <v>4609</v>
      </c>
      <c r="I129" s="38" t="s">
        <v>4601</v>
      </c>
      <c r="J129" s="38" t="s">
        <v>60</v>
      </c>
      <c r="K129" s="38" t="s">
        <v>4611</v>
      </c>
      <c r="L129" s="38" t="s">
        <v>4603</v>
      </c>
      <c r="M129" s="38" t="s">
        <v>4948</v>
      </c>
      <c r="N129" s="38" t="s">
        <v>4668</v>
      </c>
      <c r="O129" s="38" t="s">
        <v>5079</v>
      </c>
      <c r="P129" s="37">
        <v>44210.0</v>
      </c>
      <c r="Q129" s="37">
        <v>3.155</v>
      </c>
      <c r="R129" s="37">
        <v>-2.0</v>
      </c>
      <c r="S129" s="4" t="str">
        <f t="shared" si="1"/>
        <v/>
      </c>
    </row>
    <row r="130">
      <c r="A130" s="38" t="s">
        <v>755</v>
      </c>
      <c r="B130" s="38" t="s">
        <v>4946</v>
      </c>
      <c r="C130" s="38" t="s">
        <v>4842</v>
      </c>
      <c r="D130" s="38" t="s">
        <v>1623</v>
      </c>
      <c r="E130" s="38" t="s">
        <v>1622</v>
      </c>
      <c r="F130" s="38" t="s">
        <v>3927</v>
      </c>
      <c r="G130" s="38" t="s">
        <v>5080</v>
      </c>
      <c r="H130" s="38" t="s">
        <v>4609</v>
      </c>
      <c r="I130" s="38" t="s">
        <v>4610</v>
      </c>
      <c r="J130" s="38" t="s">
        <v>60</v>
      </c>
      <c r="K130" s="38" t="s">
        <v>4611</v>
      </c>
      <c r="L130" s="38" t="s">
        <v>4603</v>
      </c>
      <c r="M130" s="38" t="s">
        <v>4726</v>
      </c>
      <c r="N130" s="38" t="s">
        <v>4605</v>
      </c>
      <c r="O130" s="38" t="s">
        <v>5081</v>
      </c>
      <c r="P130" s="37">
        <v>44089.0</v>
      </c>
      <c r="Q130" s="37">
        <v>3.5824</v>
      </c>
      <c r="R130" s="37">
        <v>-1.0</v>
      </c>
      <c r="S130" s="4" t="str">
        <f t="shared" si="1"/>
        <v/>
      </c>
    </row>
    <row r="131">
      <c r="A131" s="38" t="s">
        <v>4597</v>
      </c>
      <c r="B131" s="38" t="s">
        <v>4598</v>
      </c>
      <c r="C131" s="38" t="s">
        <v>4709</v>
      </c>
      <c r="D131" s="38" t="s">
        <v>1352</v>
      </c>
      <c r="E131" s="38" t="s">
        <v>1347</v>
      </c>
      <c r="F131" s="38" t="s">
        <v>3847</v>
      </c>
      <c r="G131" s="38" t="s">
        <v>5082</v>
      </c>
      <c r="H131" s="38" t="s">
        <v>4584</v>
      </c>
      <c r="I131" s="38" t="s">
        <v>4601</v>
      </c>
      <c r="J131" s="38" t="s">
        <v>60</v>
      </c>
      <c r="K131" s="38" t="s">
        <v>4611</v>
      </c>
      <c r="L131" s="38" t="s">
        <v>4603</v>
      </c>
      <c r="M131" s="38" t="s">
        <v>4719</v>
      </c>
      <c r="N131" s="38" t="s">
        <v>4605</v>
      </c>
      <c r="O131" s="38" t="s">
        <v>5083</v>
      </c>
      <c r="P131" s="37">
        <v>44578.0</v>
      </c>
      <c r="Q131" s="37">
        <v>1.008</v>
      </c>
      <c r="R131" s="37">
        <v>0.0</v>
      </c>
      <c r="S131" s="4">
        <f t="shared" si="1"/>
        <v>1.008</v>
      </c>
    </row>
    <row r="132">
      <c r="A132" s="38" t="s">
        <v>291</v>
      </c>
      <c r="B132" s="38" t="s">
        <v>5084</v>
      </c>
      <c r="C132" s="38" t="s">
        <v>5085</v>
      </c>
      <c r="D132" s="38" t="s">
        <v>296</v>
      </c>
      <c r="E132" s="38" t="s">
        <v>295</v>
      </c>
      <c r="F132" s="38" t="s">
        <v>3534</v>
      </c>
      <c r="G132" s="38" t="s">
        <v>5086</v>
      </c>
      <c r="H132" s="38" t="s">
        <v>4609</v>
      </c>
      <c r="I132" s="38" t="s">
        <v>4610</v>
      </c>
      <c r="J132" s="38" t="s">
        <v>60</v>
      </c>
      <c r="K132" s="38" t="s">
        <v>4611</v>
      </c>
      <c r="L132" s="38" t="s">
        <v>4603</v>
      </c>
      <c r="M132" s="38" t="s">
        <v>5087</v>
      </c>
      <c r="N132" s="38" t="s">
        <v>4668</v>
      </c>
      <c r="O132" s="38" t="s">
        <v>5088</v>
      </c>
      <c r="P132" s="37">
        <v>44216.0</v>
      </c>
      <c r="Q132" s="37">
        <v>4.7465</v>
      </c>
      <c r="R132" s="37">
        <v>0.0</v>
      </c>
      <c r="S132" s="4">
        <f t="shared" si="1"/>
        <v>4.7465</v>
      </c>
    </row>
    <row r="133">
      <c r="A133" s="38" t="s">
        <v>291</v>
      </c>
      <c r="B133" s="38" t="s">
        <v>5084</v>
      </c>
      <c r="C133" s="38" t="s">
        <v>5085</v>
      </c>
      <c r="D133" s="38" t="s">
        <v>296</v>
      </c>
      <c r="E133" s="38" t="s">
        <v>295</v>
      </c>
      <c r="F133" s="38" t="s">
        <v>3536</v>
      </c>
      <c r="G133" s="38" t="s">
        <v>5089</v>
      </c>
      <c r="H133" s="38" t="s">
        <v>4609</v>
      </c>
      <c r="I133" s="38" t="s">
        <v>4601</v>
      </c>
      <c r="J133" s="38" t="s">
        <v>60</v>
      </c>
      <c r="K133" s="38" t="s">
        <v>4611</v>
      </c>
      <c r="L133" s="38" t="s">
        <v>4603</v>
      </c>
      <c r="M133" s="38" t="s">
        <v>5087</v>
      </c>
      <c r="N133" s="38" t="s">
        <v>4668</v>
      </c>
      <c r="O133" s="38" t="s">
        <v>5088</v>
      </c>
      <c r="P133" s="37">
        <v>44216.0</v>
      </c>
      <c r="Q133" s="37">
        <v>4.747</v>
      </c>
      <c r="R133" s="37">
        <v>0.0</v>
      </c>
      <c r="S133" s="4">
        <f t="shared" si="1"/>
        <v>4.747</v>
      </c>
    </row>
    <row r="134">
      <c r="A134" s="38" t="s">
        <v>324</v>
      </c>
      <c r="B134" s="38" t="s">
        <v>5090</v>
      </c>
      <c r="C134" s="38" t="s">
        <v>4800</v>
      </c>
      <c r="D134" s="38" t="s">
        <v>329</v>
      </c>
      <c r="E134" s="38" t="s">
        <v>328</v>
      </c>
      <c r="F134" s="38" t="s">
        <v>3542</v>
      </c>
      <c r="G134" s="38" t="s">
        <v>5091</v>
      </c>
      <c r="H134" s="38" t="s">
        <v>4609</v>
      </c>
      <c r="I134" s="38" t="s">
        <v>4610</v>
      </c>
      <c r="J134" s="38" t="s">
        <v>60</v>
      </c>
      <c r="K134" s="38" t="s">
        <v>4611</v>
      </c>
      <c r="L134" s="38" t="s">
        <v>4603</v>
      </c>
      <c r="M134" s="38" t="s">
        <v>5092</v>
      </c>
      <c r="N134" s="38" t="s">
        <v>4668</v>
      </c>
      <c r="O134" s="38" t="s">
        <v>5093</v>
      </c>
      <c r="P134" s="37">
        <v>44235.0</v>
      </c>
      <c r="Q134" s="37">
        <v>5.1728</v>
      </c>
      <c r="R134" s="37">
        <v>0.0</v>
      </c>
      <c r="S134" s="4">
        <f t="shared" si="1"/>
        <v>5.1728</v>
      </c>
    </row>
    <row r="135">
      <c r="A135" s="38" t="s">
        <v>324</v>
      </c>
      <c r="B135" s="38" t="s">
        <v>5090</v>
      </c>
      <c r="C135" s="38" t="s">
        <v>4800</v>
      </c>
      <c r="D135" s="38" t="s">
        <v>329</v>
      </c>
      <c r="E135" s="38" t="s">
        <v>328</v>
      </c>
      <c r="F135" s="38" t="s">
        <v>3544</v>
      </c>
      <c r="G135" s="38" t="s">
        <v>5094</v>
      </c>
      <c r="H135" s="38" t="s">
        <v>4609</v>
      </c>
      <c r="I135" s="38" t="s">
        <v>4601</v>
      </c>
      <c r="J135" s="38" t="s">
        <v>60</v>
      </c>
      <c r="K135" s="38" t="s">
        <v>4611</v>
      </c>
      <c r="L135" s="38" t="s">
        <v>4603</v>
      </c>
      <c r="M135" s="38" t="s">
        <v>5092</v>
      </c>
      <c r="N135" s="38" t="s">
        <v>4668</v>
      </c>
      <c r="O135" s="38" t="s">
        <v>5093</v>
      </c>
      <c r="P135" s="37">
        <v>44235.0</v>
      </c>
      <c r="Q135" s="37">
        <v>5.173</v>
      </c>
      <c r="R135" s="37">
        <v>0.0</v>
      </c>
      <c r="S135" s="4">
        <f t="shared" si="1"/>
        <v>5.173</v>
      </c>
    </row>
    <row r="136">
      <c r="A136" s="38" t="s">
        <v>4658</v>
      </c>
      <c r="B136" s="38" t="s">
        <v>4659</v>
      </c>
      <c r="C136" s="38" t="s">
        <v>4998</v>
      </c>
      <c r="D136" s="38" t="s">
        <v>430</v>
      </c>
      <c r="E136" s="38" t="s">
        <v>429</v>
      </c>
      <c r="F136" s="38" t="s">
        <v>3568</v>
      </c>
      <c r="G136" s="38" t="s">
        <v>5095</v>
      </c>
      <c r="H136" s="38" t="s">
        <v>4645</v>
      </c>
      <c r="I136" s="38" t="s">
        <v>4646</v>
      </c>
      <c r="J136" s="38" t="s">
        <v>60</v>
      </c>
      <c r="K136" s="38" t="s">
        <v>4602</v>
      </c>
      <c r="L136" s="38" t="s">
        <v>4603</v>
      </c>
      <c r="M136" s="40" t="s">
        <v>4647</v>
      </c>
      <c r="N136" s="38"/>
      <c r="O136" s="38" t="s">
        <v>5096</v>
      </c>
      <c r="P136" s="37">
        <v>44287.0</v>
      </c>
      <c r="Q136" s="37">
        <v>2.969</v>
      </c>
      <c r="R136" s="37">
        <v>-7.0</v>
      </c>
      <c r="S136" s="4" t="str">
        <f t="shared" si="1"/>
        <v/>
      </c>
    </row>
    <row r="137">
      <c r="A137" s="38" t="s">
        <v>477</v>
      </c>
      <c r="B137" s="38" t="s">
        <v>5097</v>
      </c>
      <c r="C137" s="38" t="s">
        <v>4850</v>
      </c>
      <c r="D137" s="38" t="s">
        <v>482</v>
      </c>
      <c r="E137" s="38" t="s">
        <v>481</v>
      </c>
      <c r="F137" s="38" t="s">
        <v>3586</v>
      </c>
      <c r="G137" s="38" t="s">
        <v>5098</v>
      </c>
      <c r="H137" s="38" t="s">
        <v>4584</v>
      </c>
      <c r="I137" s="38" t="s">
        <v>4585</v>
      </c>
      <c r="J137" s="38" t="s">
        <v>60</v>
      </c>
      <c r="K137" s="38" t="s">
        <v>4586</v>
      </c>
      <c r="L137" s="38" t="s">
        <v>4603</v>
      </c>
      <c r="M137" s="38" t="s">
        <v>4889</v>
      </c>
      <c r="N137" s="38" t="s">
        <v>4605</v>
      </c>
      <c r="O137" s="38" t="s">
        <v>5099</v>
      </c>
      <c r="P137" s="37">
        <v>44307.0</v>
      </c>
      <c r="Q137" s="37">
        <v>0.394</v>
      </c>
      <c r="R137" s="37">
        <v>0.0</v>
      </c>
      <c r="S137" s="4">
        <f t="shared" si="1"/>
        <v>0.394</v>
      </c>
    </row>
    <row r="138">
      <c r="A138" s="38" t="s">
        <v>166</v>
      </c>
      <c r="B138" s="38" t="s">
        <v>4687</v>
      </c>
      <c r="C138" s="38" t="s">
        <v>5071</v>
      </c>
      <c r="D138" s="38" t="s">
        <v>173</v>
      </c>
      <c r="E138" s="38" t="s">
        <v>172</v>
      </c>
      <c r="F138" s="38" t="s">
        <v>3511</v>
      </c>
      <c r="G138" s="38" t="s">
        <v>5100</v>
      </c>
      <c r="H138" s="38" t="s">
        <v>4584</v>
      </c>
      <c r="I138" s="38" t="s">
        <v>4601</v>
      </c>
      <c r="J138" s="38" t="s">
        <v>60</v>
      </c>
      <c r="K138" s="38" t="s">
        <v>4611</v>
      </c>
      <c r="L138" s="38" t="s">
        <v>4603</v>
      </c>
      <c r="M138" s="38" t="s">
        <v>5038</v>
      </c>
      <c r="N138" s="38" t="s">
        <v>4605</v>
      </c>
      <c r="O138" s="38" t="s">
        <v>5101</v>
      </c>
      <c r="P138" s="37">
        <v>44158.0</v>
      </c>
      <c r="Q138" s="37">
        <v>0.476</v>
      </c>
      <c r="R138" s="37">
        <v>0.0</v>
      </c>
      <c r="S138" s="4">
        <f t="shared" si="1"/>
        <v>0.476</v>
      </c>
    </row>
    <row r="139">
      <c r="A139" s="38" t="s">
        <v>558</v>
      </c>
      <c r="B139" s="38" t="s">
        <v>4895</v>
      </c>
      <c r="C139" s="38" t="s">
        <v>4709</v>
      </c>
      <c r="D139" s="38" t="s">
        <v>562</v>
      </c>
      <c r="E139" s="38" t="s">
        <v>513</v>
      </c>
      <c r="F139" s="38" t="s">
        <v>3608</v>
      </c>
      <c r="G139" s="38" t="s">
        <v>5102</v>
      </c>
      <c r="H139" s="38" t="s">
        <v>4584</v>
      </c>
      <c r="I139" s="38" t="s">
        <v>4601</v>
      </c>
      <c r="J139" s="38" t="s">
        <v>60</v>
      </c>
      <c r="K139" s="38" t="s">
        <v>4611</v>
      </c>
      <c r="L139" s="38" t="s">
        <v>4603</v>
      </c>
      <c r="M139" s="38" t="s">
        <v>4889</v>
      </c>
      <c r="N139" s="38" t="s">
        <v>4605</v>
      </c>
      <c r="O139" s="38" t="s">
        <v>5103</v>
      </c>
      <c r="P139" s="37">
        <v>44330.0</v>
      </c>
      <c r="Q139" s="37">
        <v>0.946</v>
      </c>
      <c r="R139" s="37">
        <v>0.0</v>
      </c>
      <c r="S139" s="4">
        <f t="shared" si="1"/>
        <v>0.946</v>
      </c>
    </row>
    <row r="140">
      <c r="A140" s="38" t="s">
        <v>4597</v>
      </c>
      <c r="B140" s="38" t="s">
        <v>4598</v>
      </c>
      <c r="C140" s="38" t="s">
        <v>4873</v>
      </c>
      <c r="D140" s="38" t="s">
        <v>794</v>
      </c>
      <c r="E140" s="38" t="s">
        <v>784</v>
      </c>
      <c r="F140" s="38" t="s">
        <v>3675</v>
      </c>
      <c r="G140" s="38" t="s">
        <v>5104</v>
      </c>
      <c r="H140" s="38" t="s">
        <v>4609</v>
      </c>
      <c r="I140" s="38" t="s">
        <v>4610</v>
      </c>
      <c r="J140" s="38" t="s">
        <v>60</v>
      </c>
      <c r="K140" s="38" t="s">
        <v>4611</v>
      </c>
      <c r="L140" s="38" t="s">
        <v>4603</v>
      </c>
      <c r="M140" s="38" t="s">
        <v>4839</v>
      </c>
      <c r="N140" s="38" t="s">
        <v>4605</v>
      </c>
      <c r="O140" s="38" t="s">
        <v>5105</v>
      </c>
      <c r="P140" s="37">
        <v>44389.0</v>
      </c>
      <c r="Q140" s="37">
        <v>2.3144</v>
      </c>
      <c r="R140" s="37">
        <v>0.0</v>
      </c>
      <c r="S140" s="4">
        <f t="shared" si="1"/>
        <v>2.3144</v>
      </c>
    </row>
    <row r="141">
      <c r="A141" s="38" t="s">
        <v>4597</v>
      </c>
      <c r="B141" s="38" t="s">
        <v>4598</v>
      </c>
      <c r="C141" s="38" t="s">
        <v>4873</v>
      </c>
      <c r="D141" s="38" t="s">
        <v>794</v>
      </c>
      <c r="E141" s="38" t="s">
        <v>784</v>
      </c>
      <c r="F141" s="38" t="s">
        <v>3683</v>
      </c>
      <c r="G141" s="38" t="s">
        <v>5106</v>
      </c>
      <c r="H141" s="38" t="s">
        <v>4609</v>
      </c>
      <c r="I141" s="38" t="s">
        <v>4601</v>
      </c>
      <c r="J141" s="38" t="s">
        <v>60</v>
      </c>
      <c r="K141" s="38" t="s">
        <v>4611</v>
      </c>
      <c r="L141" s="38" t="s">
        <v>4603</v>
      </c>
      <c r="M141" s="38" t="s">
        <v>4839</v>
      </c>
      <c r="N141" s="38" t="s">
        <v>4605</v>
      </c>
      <c r="O141" s="38" t="s">
        <v>5107</v>
      </c>
      <c r="P141" s="37">
        <v>44389.0</v>
      </c>
      <c r="Q141" s="37">
        <v>2.314</v>
      </c>
      <c r="R141" s="37">
        <v>0.0</v>
      </c>
      <c r="S141" s="4">
        <f t="shared" si="1"/>
        <v>2.314</v>
      </c>
    </row>
    <row r="142">
      <c r="A142" s="38" t="s">
        <v>567</v>
      </c>
      <c r="B142" s="38" t="s">
        <v>5108</v>
      </c>
      <c r="C142" s="38" t="s">
        <v>4778</v>
      </c>
      <c r="D142" s="38" t="s">
        <v>571</v>
      </c>
      <c r="E142" s="38" t="s">
        <v>513</v>
      </c>
      <c r="F142" s="38" t="s">
        <v>3610</v>
      </c>
      <c r="G142" s="38" t="s">
        <v>5109</v>
      </c>
      <c r="H142" s="38" t="s">
        <v>4584</v>
      </c>
      <c r="I142" s="38" t="s">
        <v>4601</v>
      </c>
      <c r="J142" s="38" t="s">
        <v>60</v>
      </c>
      <c r="K142" s="38" t="s">
        <v>4602</v>
      </c>
      <c r="L142" s="38" t="s">
        <v>4603</v>
      </c>
      <c r="M142" s="38" t="s">
        <v>4902</v>
      </c>
      <c r="N142" s="38" t="s">
        <v>4605</v>
      </c>
      <c r="O142" s="38" t="s">
        <v>5110</v>
      </c>
      <c r="P142" s="37">
        <v>44330.0</v>
      </c>
      <c r="Q142" s="37">
        <v>1.124</v>
      </c>
      <c r="R142" s="37">
        <v>0.0</v>
      </c>
      <c r="S142" s="4">
        <f t="shared" si="1"/>
        <v>1.124</v>
      </c>
    </row>
    <row r="143">
      <c r="A143" s="38" t="s">
        <v>775</v>
      </c>
      <c r="B143" s="38" t="s">
        <v>4886</v>
      </c>
      <c r="C143" s="38" t="s">
        <v>4950</v>
      </c>
      <c r="D143" s="38" t="s">
        <v>571</v>
      </c>
      <c r="E143" s="38" t="s">
        <v>779</v>
      </c>
      <c r="F143" s="38" t="s">
        <v>3669</v>
      </c>
      <c r="G143" s="38" t="s">
        <v>5111</v>
      </c>
      <c r="H143" s="38" t="s">
        <v>4584</v>
      </c>
      <c r="I143" s="38" t="s">
        <v>4601</v>
      </c>
      <c r="J143" s="38" t="s">
        <v>60</v>
      </c>
      <c r="K143" s="38" t="s">
        <v>4611</v>
      </c>
      <c r="L143" s="38" t="s">
        <v>4603</v>
      </c>
      <c r="M143" s="38" t="s">
        <v>4889</v>
      </c>
      <c r="N143" s="38" t="s">
        <v>4605</v>
      </c>
      <c r="O143" s="38" t="s">
        <v>5112</v>
      </c>
      <c r="P143" s="37">
        <v>44392.0</v>
      </c>
      <c r="Q143" s="37">
        <v>0.52</v>
      </c>
      <c r="R143" s="37">
        <v>0.0</v>
      </c>
      <c r="S143" s="4">
        <f t="shared" si="1"/>
        <v>0.52</v>
      </c>
    </row>
    <row r="144">
      <c r="A144" s="38" t="s">
        <v>491</v>
      </c>
      <c r="B144" s="38" t="s">
        <v>5113</v>
      </c>
      <c r="C144" s="38" t="s">
        <v>4768</v>
      </c>
      <c r="D144" s="38" t="s">
        <v>496</v>
      </c>
      <c r="E144" s="38" t="s">
        <v>495</v>
      </c>
      <c r="F144" s="38" t="s">
        <v>3588</v>
      </c>
      <c r="G144" s="38" t="s">
        <v>5114</v>
      </c>
      <c r="H144" s="38" t="s">
        <v>4584</v>
      </c>
      <c r="I144" s="38" t="s">
        <v>4601</v>
      </c>
      <c r="J144" s="38" t="s">
        <v>60</v>
      </c>
      <c r="K144" s="38" t="s">
        <v>4611</v>
      </c>
      <c r="L144" s="38" t="s">
        <v>4603</v>
      </c>
      <c r="M144" s="38" t="s">
        <v>4889</v>
      </c>
      <c r="N144" s="38" t="s">
        <v>4605</v>
      </c>
      <c r="O144" s="38" t="s">
        <v>5115</v>
      </c>
      <c r="P144" s="37">
        <v>44316.0</v>
      </c>
      <c r="Q144" s="37">
        <v>1.747</v>
      </c>
      <c r="R144" s="37">
        <v>0.0</v>
      </c>
      <c r="S144" s="4">
        <f t="shared" si="1"/>
        <v>1.747</v>
      </c>
    </row>
    <row r="145">
      <c r="A145" s="38" t="s">
        <v>5116</v>
      </c>
      <c r="B145" s="38" t="s">
        <v>875</v>
      </c>
      <c r="C145" s="38" t="s">
        <v>5117</v>
      </c>
      <c r="D145" s="38" t="s">
        <v>876</v>
      </c>
      <c r="E145" s="38" t="s">
        <v>844</v>
      </c>
      <c r="F145" s="38" t="s">
        <v>3705</v>
      </c>
      <c r="G145" s="38" t="s">
        <v>5118</v>
      </c>
      <c r="H145" s="38" t="s">
        <v>4609</v>
      </c>
      <c r="I145" s="38" t="s">
        <v>4610</v>
      </c>
      <c r="J145" s="38" t="s">
        <v>60</v>
      </c>
      <c r="K145" s="38" t="s">
        <v>4611</v>
      </c>
      <c r="L145" s="38" t="s">
        <v>4603</v>
      </c>
      <c r="M145" s="38" t="s">
        <v>4948</v>
      </c>
      <c r="N145" s="38" t="s">
        <v>4605</v>
      </c>
      <c r="O145" s="38" t="s">
        <v>5119</v>
      </c>
      <c r="P145" s="37">
        <v>44455.0</v>
      </c>
      <c r="Q145" s="37">
        <v>2.1132</v>
      </c>
      <c r="R145" s="37">
        <v>0.0</v>
      </c>
      <c r="S145" s="4">
        <f t="shared" si="1"/>
        <v>2.1132</v>
      </c>
    </row>
    <row r="146">
      <c r="A146" s="38" t="s">
        <v>917</v>
      </c>
      <c r="B146" s="38" t="s">
        <v>5120</v>
      </c>
      <c r="C146" s="38" t="s">
        <v>4850</v>
      </c>
      <c r="D146" s="38" t="s">
        <v>922</v>
      </c>
      <c r="E146" s="38" t="s">
        <v>921</v>
      </c>
      <c r="F146" s="38" t="s">
        <v>3719</v>
      </c>
      <c r="G146" s="38" t="s">
        <v>5121</v>
      </c>
      <c r="H146" s="38" t="s">
        <v>4584</v>
      </c>
      <c r="I146" s="38" t="s">
        <v>4699</v>
      </c>
      <c r="J146" s="38" t="s">
        <v>60</v>
      </c>
      <c r="K146" s="38" t="s">
        <v>4602</v>
      </c>
      <c r="L146" s="38" t="s">
        <v>4603</v>
      </c>
      <c r="M146" s="38" t="s">
        <v>4829</v>
      </c>
      <c r="N146" s="38" t="s">
        <v>4605</v>
      </c>
      <c r="O146" s="38" t="s">
        <v>5122</v>
      </c>
      <c r="P146" s="37">
        <v>44475.0</v>
      </c>
      <c r="Q146" s="37">
        <v>0.412</v>
      </c>
      <c r="R146" s="37">
        <v>0.0</v>
      </c>
      <c r="S146" s="4">
        <f t="shared" si="1"/>
        <v>0.412</v>
      </c>
    </row>
    <row r="147">
      <c r="A147" s="38" t="s">
        <v>5123</v>
      </c>
      <c r="B147" s="38" t="s">
        <v>5124</v>
      </c>
      <c r="C147" s="38" t="s">
        <v>5125</v>
      </c>
      <c r="D147" s="38" t="s">
        <v>837</v>
      </c>
      <c r="E147" s="38" t="s">
        <v>836</v>
      </c>
      <c r="F147" s="38" t="s">
        <v>3693</v>
      </c>
      <c r="G147" s="38" t="s">
        <v>5126</v>
      </c>
      <c r="H147" s="38" t="s">
        <v>4609</v>
      </c>
      <c r="I147" s="38" t="s">
        <v>4601</v>
      </c>
      <c r="J147" s="38" t="s">
        <v>60</v>
      </c>
      <c r="K147" s="38" t="s">
        <v>4611</v>
      </c>
      <c r="L147" s="38" t="s">
        <v>4603</v>
      </c>
      <c r="M147" s="38" t="s">
        <v>5127</v>
      </c>
      <c r="N147" s="38" t="s">
        <v>4605</v>
      </c>
      <c r="O147" s="38" t="s">
        <v>5128</v>
      </c>
      <c r="P147" s="37">
        <v>44467.0</v>
      </c>
      <c r="Q147" s="37">
        <v>2.306</v>
      </c>
      <c r="R147" s="37">
        <v>-26.0</v>
      </c>
      <c r="S147" s="4" t="str">
        <f t="shared" si="1"/>
        <v/>
      </c>
    </row>
    <row r="148">
      <c r="A148" s="38" t="s">
        <v>4914</v>
      </c>
      <c r="B148" s="38" t="s">
        <v>4915</v>
      </c>
      <c r="C148" s="38" t="s">
        <v>4764</v>
      </c>
      <c r="D148" s="38" t="s">
        <v>938</v>
      </c>
      <c r="E148" s="38" t="s">
        <v>937</v>
      </c>
      <c r="F148" s="38" t="s">
        <v>3775</v>
      </c>
      <c r="G148" s="38" t="s">
        <v>5129</v>
      </c>
      <c r="H148" s="38" t="s">
        <v>4584</v>
      </c>
      <c r="I148" s="38" t="s">
        <v>4699</v>
      </c>
      <c r="J148" s="38" t="s">
        <v>60</v>
      </c>
      <c r="K148" s="38" t="s">
        <v>4602</v>
      </c>
      <c r="L148" s="38" t="s">
        <v>4603</v>
      </c>
      <c r="M148" s="40" t="s">
        <v>4889</v>
      </c>
      <c r="N148" s="38"/>
      <c r="O148" s="38" t="s">
        <v>5130</v>
      </c>
      <c r="P148" s="37">
        <v>44510.0</v>
      </c>
      <c r="Q148" s="37">
        <v>1.762</v>
      </c>
      <c r="R148" s="37">
        <v>0.0</v>
      </c>
      <c r="S148" s="4">
        <f t="shared" si="1"/>
        <v>1.762</v>
      </c>
    </row>
    <row r="149">
      <c r="A149" s="38" t="s">
        <v>5131</v>
      </c>
      <c r="B149" s="38" t="s">
        <v>5132</v>
      </c>
      <c r="C149" s="38" t="s">
        <v>4709</v>
      </c>
      <c r="D149" s="38" t="s">
        <v>1229</v>
      </c>
      <c r="E149" s="38" t="s">
        <v>1221</v>
      </c>
      <c r="F149" s="38" t="s">
        <v>3807</v>
      </c>
      <c r="G149" s="38" t="s">
        <v>5133</v>
      </c>
      <c r="H149" s="38" t="s">
        <v>4584</v>
      </c>
      <c r="I149" s="38" t="s">
        <v>4601</v>
      </c>
      <c r="J149" s="38" t="s">
        <v>60</v>
      </c>
      <c r="K149" s="38" t="s">
        <v>4611</v>
      </c>
      <c r="L149" s="38" t="s">
        <v>4603</v>
      </c>
      <c r="M149" s="38" t="s">
        <v>4719</v>
      </c>
      <c r="N149" s="38" t="s">
        <v>4605</v>
      </c>
      <c r="O149" s="38" t="s">
        <v>5134</v>
      </c>
      <c r="P149" s="37">
        <v>44531.0</v>
      </c>
      <c r="Q149" s="37">
        <v>0.777</v>
      </c>
      <c r="R149" s="37">
        <v>0.0</v>
      </c>
      <c r="S149" s="4">
        <f t="shared" si="1"/>
        <v>0.777</v>
      </c>
    </row>
    <row r="150">
      <c r="A150" s="38" t="s">
        <v>5135</v>
      </c>
      <c r="B150" s="38" t="s">
        <v>5136</v>
      </c>
      <c r="C150" s="38" t="s">
        <v>4730</v>
      </c>
      <c r="D150" s="38" t="s">
        <v>663</v>
      </c>
      <c r="E150" s="38" t="s">
        <v>662</v>
      </c>
      <c r="F150" s="38" t="s">
        <v>3634</v>
      </c>
      <c r="G150" s="38" t="s">
        <v>5137</v>
      </c>
      <c r="H150" s="38" t="s">
        <v>4609</v>
      </c>
      <c r="I150" s="38" t="s">
        <v>4610</v>
      </c>
      <c r="J150" s="38" t="s">
        <v>60</v>
      </c>
      <c r="K150" s="38" t="s">
        <v>4611</v>
      </c>
      <c r="L150" s="38" t="s">
        <v>4603</v>
      </c>
      <c r="M150" s="38" t="s">
        <v>4839</v>
      </c>
      <c r="N150" s="38" t="s">
        <v>4605</v>
      </c>
      <c r="O150" s="38" t="s">
        <v>5138</v>
      </c>
      <c r="P150" s="37">
        <v>44362.0</v>
      </c>
      <c r="Q150" s="37">
        <v>3.6533</v>
      </c>
      <c r="R150" s="37">
        <v>0.0</v>
      </c>
      <c r="S150" s="4">
        <f t="shared" si="1"/>
        <v>3.6533</v>
      </c>
    </row>
    <row r="151">
      <c r="A151" s="38" t="s">
        <v>5135</v>
      </c>
      <c r="B151" s="38" t="s">
        <v>5136</v>
      </c>
      <c r="C151" s="38" t="s">
        <v>4730</v>
      </c>
      <c r="D151" s="38" t="s">
        <v>663</v>
      </c>
      <c r="E151" s="38" t="s">
        <v>662</v>
      </c>
      <c r="F151" s="38" t="s">
        <v>3636</v>
      </c>
      <c r="G151" s="38" t="s">
        <v>5139</v>
      </c>
      <c r="H151" s="38" t="s">
        <v>4609</v>
      </c>
      <c r="I151" s="38" t="s">
        <v>4601</v>
      </c>
      <c r="J151" s="38" t="s">
        <v>60</v>
      </c>
      <c r="K151" s="38" t="s">
        <v>4611</v>
      </c>
      <c r="L151" s="38" t="s">
        <v>4603</v>
      </c>
      <c r="M151" s="38" t="s">
        <v>4839</v>
      </c>
      <c r="N151" s="38" t="s">
        <v>4605</v>
      </c>
      <c r="O151" s="38" t="s">
        <v>5138</v>
      </c>
      <c r="P151" s="37">
        <v>44362.0</v>
      </c>
      <c r="Q151" s="37">
        <v>3.653</v>
      </c>
      <c r="R151" s="37">
        <v>0.0</v>
      </c>
      <c r="S151" s="4">
        <f t="shared" si="1"/>
        <v>3.653</v>
      </c>
    </row>
    <row r="152">
      <c r="A152" s="38" t="s">
        <v>755</v>
      </c>
      <c r="B152" s="38" t="s">
        <v>4946</v>
      </c>
      <c r="C152" s="38" t="s">
        <v>4690</v>
      </c>
      <c r="D152" s="38" t="s">
        <v>663</v>
      </c>
      <c r="E152" s="38" t="s">
        <v>708</v>
      </c>
      <c r="F152" s="38" t="s">
        <v>3663</v>
      </c>
      <c r="G152" s="38" t="s">
        <v>5140</v>
      </c>
      <c r="H152" s="38" t="s">
        <v>4609</v>
      </c>
      <c r="I152" s="38" t="s">
        <v>4610</v>
      </c>
      <c r="J152" s="38" t="s">
        <v>60</v>
      </c>
      <c r="K152" s="38" t="s">
        <v>4611</v>
      </c>
      <c r="L152" s="38" t="s">
        <v>4603</v>
      </c>
      <c r="M152" s="38" t="s">
        <v>4839</v>
      </c>
      <c r="N152" s="38" t="s">
        <v>4605</v>
      </c>
      <c r="O152" s="38" t="s">
        <v>5141</v>
      </c>
      <c r="P152" s="37">
        <v>44378.0</v>
      </c>
      <c r="Q152" s="37">
        <v>3.229</v>
      </c>
      <c r="R152" s="37">
        <v>0.0</v>
      </c>
      <c r="S152" s="4">
        <f t="shared" si="1"/>
        <v>3.229</v>
      </c>
    </row>
    <row r="153">
      <c r="A153" s="38" t="s">
        <v>1317</v>
      </c>
      <c r="B153" s="38" t="s">
        <v>5142</v>
      </c>
      <c r="C153" s="38" t="s">
        <v>4908</v>
      </c>
      <c r="D153" s="38" t="s">
        <v>663</v>
      </c>
      <c r="E153" s="38" t="s">
        <v>1321</v>
      </c>
      <c r="F153" s="38" t="s">
        <v>3841</v>
      </c>
      <c r="G153" s="38" t="s">
        <v>5143</v>
      </c>
      <c r="H153" s="38" t="s">
        <v>4609</v>
      </c>
      <c r="I153" s="38" t="s">
        <v>4610</v>
      </c>
      <c r="J153" s="38" t="s">
        <v>60</v>
      </c>
      <c r="K153" s="38" t="s">
        <v>4611</v>
      </c>
      <c r="L153" s="38" t="s">
        <v>4603</v>
      </c>
      <c r="M153" s="38" t="s">
        <v>5144</v>
      </c>
      <c r="N153" s="38" t="s">
        <v>4668</v>
      </c>
      <c r="O153" s="38" t="s">
        <v>5145</v>
      </c>
      <c r="P153" s="37">
        <v>44581.0</v>
      </c>
      <c r="Q153" s="37">
        <v>5.1293</v>
      </c>
      <c r="R153" s="37">
        <v>0.0</v>
      </c>
      <c r="S153" s="4">
        <f t="shared" si="1"/>
        <v>5.1293</v>
      </c>
    </row>
    <row r="154">
      <c r="A154" s="38" t="s">
        <v>1317</v>
      </c>
      <c r="B154" s="38" t="s">
        <v>5142</v>
      </c>
      <c r="C154" s="38" t="s">
        <v>4908</v>
      </c>
      <c r="D154" s="38" t="s">
        <v>663</v>
      </c>
      <c r="E154" s="38" t="s">
        <v>1321</v>
      </c>
      <c r="F154" s="38" t="s">
        <v>3839</v>
      </c>
      <c r="G154" s="38" t="s">
        <v>5146</v>
      </c>
      <c r="H154" s="38" t="s">
        <v>4609</v>
      </c>
      <c r="I154" s="38" t="s">
        <v>4601</v>
      </c>
      <c r="J154" s="38" t="s">
        <v>60</v>
      </c>
      <c r="K154" s="38" t="s">
        <v>4611</v>
      </c>
      <c r="L154" s="38" t="s">
        <v>4603</v>
      </c>
      <c r="M154" s="38" t="s">
        <v>5144</v>
      </c>
      <c r="N154" s="38" t="s">
        <v>4668</v>
      </c>
      <c r="O154" s="38" t="s">
        <v>5145</v>
      </c>
      <c r="P154" s="37">
        <v>44581.0</v>
      </c>
      <c r="Q154" s="37">
        <v>5.129</v>
      </c>
      <c r="R154" s="37">
        <v>0.0</v>
      </c>
      <c r="S154" s="4">
        <f t="shared" si="1"/>
        <v>5.129</v>
      </c>
    </row>
    <row r="155">
      <c r="A155" s="38" t="s">
        <v>1317</v>
      </c>
      <c r="B155" s="38" t="s">
        <v>5142</v>
      </c>
      <c r="C155" s="38" t="s">
        <v>5147</v>
      </c>
      <c r="D155" s="38" t="s">
        <v>663</v>
      </c>
      <c r="E155" s="38" t="s">
        <v>1321</v>
      </c>
      <c r="F155" s="38" t="s">
        <v>3837</v>
      </c>
      <c r="G155" s="38" t="s">
        <v>5148</v>
      </c>
      <c r="H155" s="38" t="s">
        <v>4584</v>
      </c>
      <c r="I155" s="38" t="s">
        <v>4601</v>
      </c>
      <c r="J155" s="38" t="s">
        <v>60</v>
      </c>
      <c r="K155" s="38" t="s">
        <v>4611</v>
      </c>
      <c r="L155" s="38" t="s">
        <v>4603</v>
      </c>
      <c r="M155" s="38" t="s">
        <v>4719</v>
      </c>
      <c r="N155" s="38" t="s">
        <v>4668</v>
      </c>
      <c r="O155" s="38" t="s">
        <v>5149</v>
      </c>
      <c r="P155" s="37">
        <v>44581.0</v>
      </c>
      <c r="Q155" s="37">
        <v>3.583</v>
      </c>
      <c r="R155" s="37">
        <v>0.0</v>
      </c>
      <c r="S155" s="4">
        <f t="shared" si="1"/>
        <v>3.583</v>
      </c>
    </row>
    <row r="156">
      <c r="A156" s="38" t="s">
        <v>1317</v>
      </c>
      <c r="B156" s="38" t="s">
        <v>5142</v>
      </c>
      <c r="C156" s="38" t="s">
        <v>5147</v>
      </c>
      <c r="D156" s="38" t="s">
        <v>663</v>
      </c>
      <c r="E156" s="38" t="s">
        <v>1321</v>
      </c>
      <c r="F156" s="38" t="s">
        <v>3835</v>
      </c>
      <c r="G156" s="38" t="s">
        <v>5150</v>
      </c>
      <c r="H156" s="38" t="s">
        <v>4584</v>
      </c>
      <c r="I156" s="38" t="s">
        <v>4610</v>
      </c>
      <c r="J156" s="38" t="s">
        <v>60</v>
      </c>
      <c r="K156" s="38" t="s">
        <v>4611</v>
      </c>
      <c r="L156" s="38" t="s">
        <v>4603</v>
      </c>
      <c r="M156" s="38" t="s">
        <v>4719</v>
      </c>
      <c r="N156" s="38" t="s">
        <v>4668</v>
      </c>
      <c r="O156" s="38" t="s">
        <v>5151</v>
      </c>
      <c r="P156" s="37">
        <v>44581.0</v>
      </c>
      <c r="Q156" s="37">
        <v>3.541154</v>
      </c>
      <c r="R156" s="37">
        <v>0.0</v>
      </c>
      <c r="S156" s="4">
        <f t="shared" si="1"/>
        <v>3.541154</v>
      </c>
    </row>
    <row r="157">
      <c r="A157" s="38" t="s">
        <v>5152</v>
      </c>
      <c r="B157" s="38" t="s">
        <v>5153</v>
      </c>
      <c r="C157" s="38" t="s">
        <v>5154</v>
      </c>
      <c r="D157" s="38" t="s">
        <v>884</v>
      </c>
      <c r="E157" s="38" t="s">
        <v>883</v>
      </c>
      <c r="F157" s="38" t="s">
        <v>3707</v>
      </c>
      <c r="G157" s="38" t="s">
        <v>5155</v>
      </c>
      <c r="H157" s="38" t="s">
        <v>4609</v>
      </c>
      <c r="I157" s="38" t="s">
        <v>4610</v>
      </c>
      <c r="J157" s="38" t="s">
        <v>60</v>
      </c>
      <c r="K157" s="38" t="s">
        <v>4611</v>
      </c>
      <c r="L157" s="38" t="s">
        <v>4603</v>
      </c>
      <c r="M157" s="38" t="s">
        <v>4948</v>
      </c>
      <c r="N157" s="38" t="s">
        <v>4668</v>
      </c>
      <c r="O157" s="38" t="s">
        <v>5156</v>
      </c>
      <c r="P157" s="37">
        <v>44461.0</v>
      </c>
      <c r="Q157" s="37">
        <v>4.2307</v>
      </c>
      <c r="R157" s="37">
        <v>0.0</v>
      </c>
      <c r="S157" s="4">
        <f t="shared" si="1"/>
        <v>4.2307</v>
      </c>
    </row>
    <row r="158">
      <c r="A158" s="38" t="s">
        <v>5152</v>
      </c>
      <c r="B158" s="38" t="s">
        <v>5153</v>
      </c>
      <c r="C158" s="38" t="s">
        <v>5154</v>
      </c>
      <c r="D158" s="38" t="s">
        <v>884</v>
      </c>
      <c r="E158" s="38" t="s">
        <v>883</v>
      </c>
      <c r="F158" s="38" t="s">
        <v>3709</v>
      </c>
      <c r="G158" s="38" t="s">
        <v>5157</v>
      </c>
      <c r="H158" s="38" t="s">
        <v>4609</v>
      </c>
      <c r="I158" s="38" t="s">
        <v>4601</v>
      </c>
      <c r="J158" s="38" t="s">
        <v>60</v>
      </c>
      <c r="K158" s="38" t="s">
        <v>4611</v>
      </c>
      <c r="L158" s="38" t="s">
        <v>4603</v>
      </c>
      <c r="M158" s="38" t="s">
        <v>4948</v>
      </c>
      <c r="N158" s="38" t="s">
        <v>4668</v>
      </c>
      <c r="O158" s="38" t="s">
        <v>5156</v>
      </c>
      <c r="P158" s="37">
        <v>44461.0</v>
      </c>
      <c r="Q158" s="37">
        <v>4.231</v>
      </c>
      <c r="R158" s="37">
        <v>0.0</v>
      </c>
      <c r="S158" s="4">
        <f t="shared" si="1"/>
        <v>4.231</v>
      </c>
    </row>
    <row r="159">
      <c r="A159" s="38" t="s">
        <v>558</v>
      </c>
      <c r="B159" s="38" t="s">
        <v>4895</v>
      </c>
      <c r="C159" s="38" t="s">
        <v>4998</v>
      </c>
      <c r="D159" s="38" t="s">
        <v>1536</v>
      </c>
      <c r="E159" s="38" t="s">
        <v>1509</v>
      </c>
      <c r="F159" s="38" t="s">
        <v>3900</v>
      </c>
      <c r="G159" s="38" t="s">
        <v>5158</v>
      </c>
      <c r="H159" s="38" t="s">
        <v>4584</v>
      </c>
      <c r="I159" s="38" t="s">
        <v>4601</v>
      </c>
      <c r="J159" s="38" t="s">
        <v>60</v>
      </c>
      <c r="K159" s="38" t="s">
        <v>4611</v>
      </c>
      <c r="L159" s="38" t="s">
        <v>4603</v>
      </c>
      <c r="M159" s="38" t="s">
        <v>4719</v>
      </c>
      <c r="N159" s="38" t="s">
        <v>4605</v>
      </c>
      <c r="O159" s="38" t="s">
        <v>5159</v>
      </c>
      <c r="P159" s="37">
        <v>44657.0</v>
      </c>
      <c r="Q159" s="37">
        <v>2.941</v>
      </c>
      <c r="R159" s="37">
        <v>0.0</v>
      </c>
      <c r="S159" s="4">
        <f t="shared" si="1"/>
        <v>2.941</v>
      </c>
    </row>
    <row r="160">
      <c r="A160" s="38" t="s">
        <v>1133</v>
      </c>
      <c r="B160" s="38" t="s">
        <v>4767</v>
      </c>
      <c r="C160" s="38" t="s">
        <v>5071</v>
      </c>
      <c r="D160" s="38" t="s">
        <v>1138</v>
      </c>
      <c r="E160" s="38" t="s">
        <v>1137</v>
      </c>
      <c r="F160" s="38" t="s">
        <v>3779</v>
      </c>
      <c r="G160" s="38" t="s">
        <v>5160</v>
      </c>
      <c r="H160" s="38" t="s">
        <v>4584</v>
      </c>
      <c r="I160" s="38" t="s">
        <v>4601</v>
      </c>
      <c r="J160" s="38" t="s">
        <v>60</v>
      </c>
      <c r="K160" s="38" t="s">
        <v>4611</v>
      </c>
      <c r="L160" s="38" t="s">
        <v>4603</v>
      </c>
      <c r="M160" s="38" t="s">
        <v>4889</v>
      </c>
      <c r="N160" s="38" t="s">
        <v>4605</v>
      </c>
      <c r="O160" s="38" t="s">
        <v>5161</v>
      </c>
      <c r="P160" s="37">
        <v>44517.0</v>
      </c>
      <c r="Q160" s="37">
        <v>0.556</v>
      </c>
      <c r="R160" s="37">
        <v>0.0</v>
      </c>
      <c r="S160" s="4">
        <f t="shared" si="1"/>
        <v>0.556</v>
      </c>
    </row>
    <row r="161">
      <c r="A161" s="38" t="s">
        <v>5040</v>
      </c>
      <c r="B161" s="38" t="s">
        <v>5041</v>
      </c>
      <c r="C161" s="38" t="s">
        <v>4709</v>
      </c>
      <c r="D161" s="38" t="s">
        <v>772</v>
      </c>
      <c r="E161" s="38" t="s">
        <v>629</v>
      </c>
      <c r="F161" s="38" t="s">
        <v>3667</v>
      </c>
      <c r="G161" s="38" t="s">
        <v>5162</v>
      </c>
      <c r="H161" s="38" t="s">
        <v>4584</v>
      </c>
      <c r="I161" s="38" t="s">
        <v>4601</v>
      </c>
      <c r="J161" s="38" t="s">
        <v>60</v>
      </c>
      <c r="K161" s="38" t="s">
        <v>4611</v>
      </c>
      <c r="L161" s="38" t="s">
        <v>4603</v>
      </c>
      <c r="M161" s="38" t="s">
        <v>4829</v>
      </c>
      <c r="N161" s="38" t="s">
        <v>4605</v>
      </c>
      <c r="O161" s="38" t="s">
        <v>5163</v>
      </c>
      <c r="P161" s="37">
        <v>44383.0</v>
      </c>
      <c r="Q161" s="37">
        <v>0.761</v>
      </c>
      <c r="R161" s="37">
        <v>0.0</v>
      </c>
      <c r="S161" s="4">
        <f t="shared" si="1"/>
        <v>0.761</v>
      </c>
    </row>
    <row r="162">
      <c r="A162" s="38" t="s">
        <v>1122</v>
      </c>
      <c r="B162" s="38" t="s">
        <v>1125</v>
      </c>
      <c r="C162" s="38" t="s">
        <v>4709</v>
      </c>
      <c r="D162" s="38" t="s">
        <v>1127</v>
      </c>
      <c r="E162" s="38" t="s">
        <v>1126</v>
      </c>
      <c r="F162" s="38" t="s">
        <v>3777</v>
      </c>
      <c r="G162" s="38" t="s">
        <v>5164</v>
      </c>
      <c r="H162" s="38" t="s">
        <v>4584</v>
      </c>
      <c r="I162" s="38" t="s">
        <v>4601</v>
      </c>
      <c r="J162" s="38" t="s">
        <v>60</v>
      </c>
      <c r="K162" s="38" t="s">
        <v>4611</v>
      </c>
      <c r="L162" s="38" t="s">
        <v>4603</v>
      </c>
      <c r="M162" s="38" t="s">
        <v>4848</v>
      </c>
      <c r="N162" s="38" t="s">
        <v>4605</v>
      </c>
      <c r="O162" s="38" t="s">
        <v>5165</v>
      </c>
      <c r="P162" s="37">
        <v>44515.0</v>
      </c>
      <c r="Q162" s="37">
        <v>1.026</v>
      </c>
      <c r="R162" s="37">
        <v>0.0</v>
      </c>
      <c r="S162" s="4">
        <f t="shared" si="1"/>
        <v>1.026</v>
      </c>
    </row>
    <row r="163">
      <c r="A163" s="38" t="s">
        <v>1167</v>
      </c>
      <c r="B163" s="38" t="s">
        <v>4777</v>
      </c>
      <c r="C163" s="38" t="s">
        <v>4827</v>
      </c>
      <c r="D163" s="38" t="s">
        <v>1181</v>
      </c>
      <c r="E163" s="38" t="s">
        <v>1171</v>
      </c>
      <c r="F163" s="38" t="s">
        <v>3793</v>
      </c>
      <c r="G163" s="38" t="s">
        <v>5166</v>
      </c>
      <c r="H163" s="38" t="s">
        <v>4584</v>
      </c>
      <c r="I163" s="38" t="s">
        <v>4601</v>
      </c>
      <c r="J163" s="38" t="s">
        <v>60</v>
      </c>
      <c r="K163" s="38" t="s">
        <v>4611</v>
      </c>
      <c r="L163" s="38" t="s">
        <v>4603</v>
      </c>
      <c r="M163" s="38" t="s">
        <v>4604</v>
      </c>
      <c r="N163" s="38" t="s">
        <v>4605</v>
      </c>
      <c r="O163" s="38" t="s">
        <v>5167</v>
      </c>
      <c r="P163" s="37">
        <v>44525.0</v>
      </c>
      <c r="Q163" s="37">
        <v>2.377</v>
      </c>
      <c r="R163" s="37">
        <v>0.0</v>
      </c>
      <c r="S163" s="4">
        <f t="shared" si="1"/>
        <v>2.377</v>
      </c>
    </row>
    <row r="164">
      <c r="A164" s="38" t="s">
        <v>980</v>
      </c>
      <c r="B164" s="38" t="s">
        <v>5168</v>
      </c>
      <c r="C164" s="38" t="s">
        <v>4778</v>
      </c>
      <c r="D164" s="38" t="s">
        <v>985</v>
      </c>
      <c r="E164" s="38" t="s">
        <v>984</v>
      </c>
      <c r="F164" s="38" t="s">
        <v>3738</v>
      </c>
      <c r="G164" s="38" t="s">
        <v>5169</v>
      </c>
      <c r="H164" s="38" t="s">
        <v>4584</v>
      </c>
      <c r="I164" s="38" t="s">
        <v>4601</v>
      </c>
      <c r="J164" s="38" t="s">
        <v>60</v>
      </c>
      <c r="K164" s="38" t="s">
        <v>4611</v>
      </c>
      <c r="L164" s="38" t="s">
        <v>4603</v>
      </c>
      <c r="M164" s="38" t="s">
        <v>4889</v>
      </c>
      <c r="N164" s="38" t="s">
        <v>4605</v>
      </c>
      <c r="O164" s="38" t="s">
        <v>5170</v>
      </c>
      <c r="P164" s="37">
        <v>44494.0</v>
      </c>
      <c r="Q164" s="37">
        <v>0.97</v>
      </c>
      <c r="R164" s="37">
        <v>0.0</v>
      </c>
      <c r="S164" s="4">
        <f t="shared" si="1"/>
        <v>0.97</v>
      </c>
    </row>
    <row r="165">
      <c r="A165" s="38" t="s">
        <v>1440</v>
      </c>
      <c r="B165" s="38" t="s">
        <v>5032</v>
      </c>
      <c r="C165" s="38" t="s">
        <v>5117</v>
      </c>
      <c r="D165" s="38" t="s">
        <v>1450</v>
      </c>
      <c r="E165" s="38" t="s">
        <v>1444</v>
      </c>
      <c r="F165" s="38" t="s">
        <v>3875</v>
      </c>
      <c r="G165" s="38" t="s">
        <v>5171</v>
      </c>
      <c r="H165" s="38" t="s">
        <v>4584</v>
      </c>
      <c r="I165" s="38" t="s">
        <v>4601</v>
      </c>
      <c r="J165" s="38" t="s">
        <v>60</v>
      </c>
      <c r="K165" s="38" t="s">
        <v>4611</v>
      </c>
      <c r="L165" s="38" t="s">
        <v>4603</v>
      </c>
      <c r="M165" s="38" t="s">
        <v>4889</v>
      </c>
      <c r="N165" s="38" t="s">
        <v>4605</v>
      </c>
      <c r="O165" s="38" t="s">
        <v>5172</v>
      </c>
      <c r="P165" s="37">
        <v>44635.0</v>
      </c>
      <c r="Q165" s="37">
        <v>2.118</v>
      </c>
      <c r="R165" s="37">
        <v>0.0</v>
      </c>
      <c r="S165" s="4">
        <f t="shared" si="1"/>
        <v>2.118</v>
      </c>
    </row>
    <row r="166">
      <c r="A166" s="38" t="s">
        <v>1360</v>
      </c>
      <c r="B166" s="38" t="s">
        <v>5035</v>
      </c>
      <c r="C166" s="38" t="s">
        <v>4992</v>
      </c>
      <c r="D166" s="38" t="s">
        <v>1370</v>
      </c>
      <c r="E166" s="38" t="s">
        <v>1321</v>
      </c>
      <c r="F166" s="38" t="s">
        <v>3853</v>
      </c>
      <c r="G166" s="38" t="s">
        <v>5173</v>
      </c>
      <c r="H166" s="38" t="s">
        <v>4584</v>
      </c>
      <c r="I166" s="38" t="s">
        <v>4601</v>
      </c>
      <c r="J166" s="38" t="s">
        <v>60</v>
      </c>
      <c r="K166" s="38" t="s">
        <v>4611</v>
      </c>
      <c r="L166" s="38" t="s">
        <v>4603</v>
      </c>
      <c r="M166" s="38" t="s">
        <v>4715</v>
      </c>
      <c r="N166" s="38" t="s">
        <v>4605</v>
      </c>
      <c r="O166" s="38" t="s">
        <v>5174</v>
      </c>
      <c r="P166" s="37">
        <v>44581.0</v>
      </c>
      <c r="Q166" s="37">
        <v>1.251</v>
      </c>
      <c r="R166" s="37">
        <v>0.0</v>
      </c>
      <c r="S166" s="4">
        <f t="shared" si="1"/>
        <v>1.251</v>
      </c>
    </row>
    <row r="167">
      <c r="A167" s="38" t="s">
        <v>4597</v>
      </c>
      <c r="B167" s="38" t="s">
        <v>4598</v>
      </c>
      <c r="C167" s="38" t="s">
        <v>4709</v>
      </c>
      <c r="D167" s="38" t="s">
        <v>914</v>
      </c>
      <c r="E167" s="38" t="s">
        <v>904</v>
      </c>
      <c r="F167" s="38" t="s">
        <v>3717</v>
      </c>
      <c r="G167" s="38" t="s">
        <v>5175</v>
      </c>
      <c r="H167" s="38" t="s">
        <v>4584</v>
      </c>
      <c r="I167" s="38" t="s">
        <v>4601</v>
      </c>
      <c r="J167" s="38" t="s">
        <v>60</v>
      </c>
      <c r="K167" s="38" t="s">
        <v>4611</v>
      </c>
      <c r="L167" s="38" t="s">
        <v>4603</v>
      </c>
      <c r="M167" s="38" t="s">
        <v>4656</v>
      </c>
      <c r="N167" s="38" t="s">
        <v>4605</v>
      </c>
      <c r="O167" s="38" t="s">
        <v>5176</v>
      </c>
      <c r="P167" s="37">
        <v>44467.0</v>
      </c>
      <c r="Q167" s="37">
        <v>0.936</v>
      </c>
      <c r="R167" s="37">
        <v>0.0</v>
      </c>
      <c r="S167" s="4">
        <f t="shared" si="1"/>
        <v>0.936</v>
      </c>
    </row>
    <row r="168">
      <c r="A168" s="38" t="s">
        <v>4597</v>
      </c>
      <c r="B168" s="38" t="s">
        <v>4598</v>
      </c>
      <c r="C168" s="38" t="s">
        <v>5177</v>
      </c>
      <c r="D168" s="38" t="s">
        <v>1701</v>
      </c>
      <c r="E168" s="38" t="s">
        <v>1693</v>
      </c>
      <c r="F168" s="38" t="s">
        <v>3947</v>
      </c>
      <c r="G168" s="38" t="s">
        <v>5178</v>
      </c>
      <c r="H168" s="38" t="s">
        <v>4584</v>
      </c>
      <c r="I168" s="38" t="s">
        <v>4601</v>
      </c>
      <c r="J168" s="38" t="s">
        <v>60</v>
      </c>
      <c r="K168" s="38" t="s">
        <v>4602</v>
      </c>
      <c r="L168" s="38" t="s">
        <v>4603</v>
      </c>
      <c r="M168" s="38" t="s">
        <v>4889</v>
      </c>
      <c r="N168" s="38" t="s">
        <v>4605</v>
      </c>
      <c r="O168" s="38" t="s">
        <v>5179</v>
      </c>
      <c r="P168" s="37">
        <v>43756.0</v>
      </c>
      <c r="Q168" s="37">
        <v>1.041</v>
      </c>
      <c r="R168" s="37">
        <v>-1.0</v>
      </c>
      <c r="S168" s="4" t="str">
        <f t="shared" si="1"/>
        <v/>
      </c>
    </row>
    <row r="169">
      <c r="A169" s="38" t="s">
        <v>4597</v>
      </c>
      <c r="B169" s="38" t="s">
        <v>4598</v>
      </c>
      <c r="C169" s="38" t="s">
        <v>4992</v>
      </c>
      <c r="D169" s="38" t="s">
        <v>1358</v>
      </c>
      <c r="E169" s="38" t="s">
        <v>1347</v>
      </c>
      <c r="F169" s="38" t="s">
        <v>3849</v>
      </c>
      <c r="G169" s="38" t="s">
        <v>5180</v>
      </c>
      <c r="H169" s="38" t="s">
        <v>4584</v>
      </c>
      <c r="I169" s="38" t="s">
        <v>4601</v>
      </c>
      <c r="J169" s="38" t="s">
        <v>60</v>
      </c>
      <c r="K169" s="38" t="s">
        <v>4611</v>
      </c>
      <c r="L169" s="38" t="s">
        <v>4603</v>
      </c>
      <c r="M169" s="38" t="s">
        <v>4719</v>
      </c>
      <c r="N169" s="38" t="s">
        <v>4605</v>
      </c>
      <c r="O169" s="38" t="s">
        <v>5181</v>
      </c>
      <c r="P169" s="37">
        <v>44578.0</v>
      </c>
      <c r="Q169" s="37">
        <v>1.327</v>
      </c>
      <c r="R169" s="37">
        <v>0.0</v>
      </c>
      <c r="S169" s="4">
        <f t="shared" si="1"/>
        <v>1.327</v>
      </c>
    </row>
    <row r="170">
      <c r="A170" s="38" t="s">
        <v>925</v>
      </c>
      <c r="B170" s="38" t="s">
        <v>5182</v>
      </c>
      <c r="C170" s="38" t="s">
        <v>4973</v>
      </c>
      <c r="D170" s="38" t="s">
        <v>930</v>
      </c>
      <c r="E170" s="38" t="s">
        <v>929</v>
      </c>
      <c r="F170" s="38" t="s">
        <v>3721</v>
      </c>
      <c r="G170" s="38" t="s">
        <v>5183</v>
      </c>
      <c r="H170" s="38" t="s">
        <v>4584</v>
      </c>
      <c r="I170" s="38" t="s">
        <v>4626</v>
      </c>
      <c r="J170" s="38" t="s">
        <v>60</v>
      </c>
      <c r="K170" s="38" t="s">
        <v>4602</v>
      </c>
      <c r="L170" s="38" t="s">
        <v>4603</v>
      </c>
      <c r="M170" s="40" t="s">
        <v>5184</v>
      </c>
      <c r="N170" s="38"/>
      <c r="O170" s="38" t="s">
        <v>4589</v>
      </c>
      <c r="P170" s="37">
        <v>44477.0</v>
      </c>
      <c r="Q170" s="37">
        <v>3.0025</v>
      </c>
      <c r="R170" s="37">
        <v>-8.0</v>
      </c>
      <c r="S170" s="4" t="str">
        <f t="shared" si="1"/>
        <v/>
      </c>
    </row>
    <row r="171">
      <c r="A171" s="38" t="s">
        <v>4597</v>
      </c>
      <c r="B171" s="38" t="s">
        <v>4598</v>
      </c>
      <c r="C171" s="38" t="s">
        <v>4709</v>
      </c>
      <c r="D171" s="38" t="s">
        <v>656</v>
      </c>
      <c r="E171" s="38" t="s">
        <v>646</v>
      </c>
      <c r="F171" s="38" t="s">
        <v>3632</v>
      </c>
      <c r="G171" s="38" t="s">
        <v>5185</v>
      </c>
      <c r="H171" s="38" t="s">
        <v>4584</v>
      </c>
      <c r="I171" s="38" t="s">
        <v>4601</v>
      </c>
      <c r="J171" s="38" t="s">
        <v>60</v>
      </c>
      <c r="K171" s="38" t="s">
        <v>4611</v>
      </c>
      <c r="L171" s="38" t="s">
        <v>4603</v>
      </c>
      <c r="M171" s="38" t="s">
        <v>4604</v>
      </c>
      <c r="N171" s="38" t="s">
        <v>4605</v>
      </c>
      <c r="O171" s="38" t="s">
        <v>5186</v>
      </c>
      <c r="P171" s="37">
        <v>44364.0</v>
      </c>
      <c r="Q171" s="37">
        <v>0.906</v>
      </c>
      <c r="R171" s="37">
        <v>0.0</v>
      </c>
      <c r="S171" s="4">
        <f t="shared" si="1"/>
        <v>0.906</v>
      </c>
    </row>
    <row r="172">
      <c r="A172" s="38" t="s">
        <v>947</v>
      </c>
      <c r="B172" s="38" t="s">
        <v>5187</v>
      </c>
      <c r="C172" s="38" t="s">
        <v>5036</v>
      </c>
      <c r="D172" s="38" t="s">
        <v>952</v>
      </c>
      <c r="E172" s="38" t="s">
        <v>951</v>
      </c>
      <c r="F172" s="38" t="s">
        <v>3726</v>
      </c>
      <c r="G172" s="38" t="s">
        <v>5188</v>
      </c>
      <c r="H172" s="38" t="s">
        <v>4584</v>
      </c>
      <c r="I172" s="38" t="s">
        <v>4601</v>
      </c>
      <c r="J172" s="38" t="s">
        <v>60</v>
      </c>
      <c r="K172" s="38" t="s">
        <v>4611</v>
      </c>
      <c r="L172" s="38" t="s">
        <v>4603</v>
      </c>
      <c r="M172" s="38" t="s">
        <v>4902</v>
      </c>
      <c r="N172" s="38" t="s">
        <v>4605</v>
      </c>
      <c r="O172" s="38" t="s">
        <v>5189</v>
      </c>
      <c r="P172" s="37">
        <v>44482.0</v>
      </c>
      <c r="Q172" s="37">
        <v>0.747</v>
      </c>
      <c r="R172" s="37">
        <v>0.0</v>
      </c>
      <c r="S172" s="4">
        <f t="shared" si="1"/>
        <v>0.747</v>
      </c>
    </row>
    <row r="173">
      <c r="A173" s="38" t="s">
        <v>441</v>
      </c>
      <c r="B173" s="38" t="s">
        <v>5190</v>
      </c>
      <c r="C173" s="38" t="s">
        <v>5191</v>
      </c>
      <c r="D173" s="38" t="s">
        <v>446</v>
      </c>
      <c r="E173" s="38" t="s">
        <v>445</v>
      </c>
      <c r="F173" s="38" t="s">
        <v>3572</v>
      </c>
      <c r="G173" s="38" t="s">
        <v>5192</v>
      </c>
      <c r="H173" s="38" t="s">
        <v>4584</v>
      </c>
      <c r="I173" s="38" t="s">
        <v>4601</v>
      </c>
      <c r="J173" s="38" t="s">
        <v>60</v>
      </c>
      <c r="K173" s="38" t="s">
        <v>4611</v>
      </c>
      <c r="L173" s="38" t="s">
        <v>4603</v>
      </c>
      <c r="M173" s="38" t="s">
        <v>4889</v>
      </c>
      <c r="N173" s="38" t="s">
        <v>4605</v>
      </c>
      <c r="O173" s="38" t="s">
        <v>5193</v>
      </c>
      <c r="P173" s="37">
        <v>44287.0</v>
      </c>
      <c r="Q173" s="37">
        <v>0.871</v>
      </c>
      <c r="R173" s="37">
        <v>0.0</v>
      </c>
      <c r="S173" s="4">
        <f t="shared" si="1"/>
        <v>0.871</v>
      </c>
    </row>
    <row r="174">
      <c r="A174" s="38" t="s">
        <v>5194</v>
      </c>
      <c r="B174" s="38" t="s">
        <v>5195</v>
      </c>
      <c r="C174" s="38" t="s">
        <v>5196</v>
      </c>
      <c r="D174" s="38" t="s">
        <v>474</v>
      </c>
      <c r="E174" s="38" t="s">
        <v>473</v>
      </c>
      <c r="F174" s="38" t="s">
        <v>3584</v>
      </c>
      <c r="G174" s="38" t="s">
        <v>5197</v>
      </c>
      <c r="H174" s="38" t="s">
        <v>4584</v>
      </c>
      <c r="I174" s="38" t="s">
        <v>4601</v>
      </c>
      <c r="J174" s="38" t="s">
        <v>60</v>
      </c>
      <c r="K174" s="38" t="s">
        <v>4611</v>
      </c>
      <c r="L174" s="38" t="s">
        <v>4603</v>
      </c>
      <c r="M174" s="40" t="s">
        <v>4977</v>
      </c>
      <c r="N174" s="38"/>
      <c r="O174" s="38" t="s">
        <v>4589</v>
      </c>
      <c r="P174" s="41" t="e">
        <v>#N/A</v>
      </c>
      <c r="Q174" s="38"/>
      <c r="R174" s="41" t="e">
        <v>#N/A</v>
      </c>
      <c r="S174" s="4" t="str">
        <f t="shared" si="1"/>
        <v>#N/A</v>
      </c>
    </row>
    <row r="175">
      <c r="A175" s="38" t="s">
        <v>4597</v>
      </c>
      <c r="B175" s="38" t="s">
        <v>4598</v>
      </c>
      <c r="C175" s="38" t="s">
        <v>4998</v>
      </c>
      <c r="D175" s="38" t="s">
        <v>797</v>
      </c>
      <c r="E175" s="38" t="s">
        <v>784</v>
      </c>
      <c r="F175" s="38" t="s">
        <v>3677</v>
      </c>
      <c r="G175" s="38" t="s">
        <v>5198</v>
      </c>
      <c r="H175" s="38" t="s">
        <v>4609</v>
      </c>
      <c r="I175" s="38" t="s">
        <v>4610</v>
      </c>
      <c r="J175" s="38" t="s">
        <v>60</v>
      </c>
      <c r="K175" s="38" t="s">
        <v>4611</v>
      </c>
      <c r="L175" s="38" t="s">
        <v>4603</v>
      </c>
      <c r="M175" s="38" t="s">
        <v>5199</v>
      </c>
      <c r="N175" s="38" t="s">
        <v>4605</v>
      </c>
      <c r="O175" s="38" t="s">
        <v>5200</v>
      </c>
      <c r="P175" s="37">
        <v>44389.0</v>
      </c>
      <c r="Q175" s="37">
        <v>3.0232</v>
      </c>
      <c r="R175" s="37">
        <v>0.0</v>
      </c>
      <c r="S175" s="4">
        <f t="shared" si="1"/>
        <v>3.0232</v>
      </c>
    </row>
    <row r="176">
      <c r="A176" s="38" t="s">
        <v>4597</v>
      </c>
      <c r="B176" s="38" t="s">
        <v>4598</v>
      </c>
      <c r="C176" s="38" t="s">
        <v>4998</v>
      </c>
      <c r="D176" s="38" t="s">
        <v>797</v>
      </c>
      <c r="E176" s="38" t="s">
        <v>784</v>
      </c>
      <c r="F176" s="38" t="s">
        <v>3685</v>
      </c>
      <c r="G176" s="38" t="s">
        <v>5201</v>
      </c>
      <c r="H176" s="38" t="s">
        <v>4609</v>
      </c>
      <c r="I176" s="38" t="s">
        <v>4601</v>
      </c>
      <c r="J176" s="38" t="s">
        <v>60</v>
      </c>
      <c r="K176" s="38" t="s">
        <v>4611</v>
      </c>
      <c r="L176" s="38" t="s">
        <v>4603</v>
      </c>
      <c r="M176" s="38" t="s">
        <v>5199</v>
      </c>
      <c r="N176" s="38" t="s">
        <v>4605</v>
      </c>
      <c r="O176" s="38" t="s">
        <v>5202</v>
      </c>
      <c r="P176" s="37">
        <v>44389.0</v>
      </c>
      <c r="Q176" s="37">
        <v>3.023</v>
      </c>
      <c r="R176" s="37">
        <v>0.0</v>
      </c>
      <c r="S176" s="4">
        <f t="shared" si="1"/>
        <v>3.023</v>
      </c>
    </row>
    <row r="177">
      <c r="A177" s="38" t="s">
        <v>1560</v>
      </c>
      <c r="B177" s="38" t="s">
        <v>5203</v>
      </c>
      <c r="C177" s="38" t="s">
        <v>4832</v>
      </c>
      <c r="D177" s="38" t="s">
        <v>1565</v>
      </c>
      <c r="E177" s="38" t="s">
        <v>1564</v>
      </c>
      <c r="F177" s="38" t="s">
        <v>3908</v>
      </c>
      <c r="G177" s="38" t="s">
        <v>5204</v>
      </c>
      <c r="H177" s="38" t="s">
        <v>4609</v>
      </c>
      <c r="I177" s="38" t="s">
        <v>4610</v>
      </c>
      <c r="J177" s="38" t="s">
        <v>60</v>
      </c>
      <c r="K177" s="38" t="s">
        <v>4611</v>
      </c>
      <c r="L177" s="38" t="s">
        <v>4603</v>
      </c>
      <c r="M177" s="38" t="s">
        <v>4948</v>
      </c>
      <c r="N177" s="38" t="s">
        <v>4605</v>
      </c>
      <c r="O177" s="38" t="s">
        <v>5205</v>
      </c>
      <c r="P177" s="37">
        <v>44659.0</v>
      </c>
      <c r="Q177" s="37">
        <v>4.873</v>
      </c>
      <c r="R177" s="37">
        <v>0.0</v>
      </c>
      <c r="S177" s="4">
        <f t="shared" si="1"/>
        <v>4.873</v>
      </c>
    </row>
    <row r="178">
      <c r="A178" s="38" t="s">
        <v>1560</v>
      </c>
      <c r="B178" s="38" t="s">
        <v>5203</v>
      </c>
      <c r="C178" s="38" t="s">
        <v>4832</v>
      </c>
      <c r="D178" s="38" t="s">
        <v>1565</v>
      </c>
      <c r="E178" s="38" t="s">
        <v>1564</v>
      </c>
      <c r="F178" s="38" t="s">
        <v>3910</v>
      </c>
      <c r="G178" s="38" t="s">
        <v>5206</v>
      </c>
      <c r="H178" s="38" t="s">
        <v>4609</v>
      </c>
      <c r="I178" s="38" t="s">
        <v>4601</v>
      </c>
      <c r="J178" s="38" t="s">
        <v>60</v>
      </c>
      <c r="K178" s="38" t="s">
        <v>4611</v>
      </c>
      <c r="L178" s="38" t="s">
        <v>4603</v>
      </c>
      <c r="M178" s="38" t="s">
        <v>4948</v>
      </c>
      <c r="N178" s="38" t="s">
        <v>4605</v>
      </c>
      <c r="O178" s="38" t="s">
        <v>5207</v>
      </c>
      <c r="P178" s="37">
        <v>44659.0</v>
      </c>
      <c r="Q178" s="37">
        <v>4.871</v>
      </c>
      <c r="R178" s="37">
        <v>0.0</v>
      </c>
      <c r="S178" s="4">
        <f t="shared" si="1"/>
        <v>4.871</v>
      </c>
    </row>
    <row r="179">
      <c r="A179" s="38" t="s">
        <v>971</v>
      </c>
      <c r="B179" s="38" t="s">
        <v>5208</v>
      </c>
      <c r="C179" s="38" t="s">
        <v>5209</v>
      </c>
      <c r="D179" s="38" t="s">
        <v>975</v>
      </c>
      <c r="E179" s="38" t="s">
        <v>951</v>
      </c>
      <c r="F179" s="40" t="s">
        <v>3736</v>
      </c>
      <c r="G179" s="38"/>
      <c r="H179" s="38" t="s">
        <v>5210</v>
      </c>
      <c r="I179" s="38" t="s">
        <v>4601</v>
      </c>
      <c r="J179" s="38" t="s">
        <v>60</v>
      </c>
      <c r="K179" s="38" t="s">
        <v>4602</v>
      </c>
      <c r="L179" s="38" t="s">
        <v>4603</v>
      </c>
      <c r="M179" s="40" t="s">
        <v>5211</v>
      </c>
      <c r="N179" s="38"/>
      <c r="O179" s="38" t="s">
        <v>4589</v>
      </c>
      <c r="P179" s="41" t="e">
        <v>#N/A</v>
      </c>
      <c r="Q179" s="38"/>
      <c r="R179" s="41" t="e">
        <v>#N/A</v>
      </c>
      <c r="S179" s="4" t="str">
        <f t="shared" si="1"/>
        <v>#N/A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1"/>
      <c r="B1" s="21" t="s">
        <v>5</v>
      </c>
      <c r="C1" s="21" t="s">
        <v>21</v>
      </c>
      <c r="D1" s="21" t="s">
        <v>1764</v>
      </c>
      <c r="E1" s="21" t="s">
        <v>8</v>
      </c>
      <c r="F1" s="21" t="s">
        <v>3</v>
      </c>
      <c r="G1" s="21" t="s">
        <v>2</v>
      </c>
      <c r="H1" s="21" t="s">
        <v>4</v>
      </c>
      <c r="I1" s="21" t="s">
        <v>19</v>
      </c>
      <c r="J1" s="21" t="s">
        <v>20</v>
      </c>
      <c r="K1" s="21" t="s">
        <v>22</v>
      </c>
      <c r="L1" s="21" t="s">
        <v>16</v>
      </c>
      <c r="M1" s="21" t="s">
        <v>1765</v>
      </c>
      <c r="N1" s="21" t="s">
        <v>7</v>
      </c>
      <c r="O1" s="21" t="s">
        <v>10</v>
      </c>
      <c r="P1" s="21" t="s">
        <v>9</v>
      </c>
      <c r="Q1" s="21" t="s">
        <v>11</v>
      </c>
      <c r="R1" s="21" t="s">
        <v>15</v>
      </c>
      <c r="S1" s="21" t="s">
        <v>18</v>
      </c>
      <c r="T1" s="21" t="s">
        <v>13</v>
      </c>
      <c r="U1" s="21" t="s">
        <v>17</v>
      </c>
    </row>
    <row r="2">
      <c r="A2" s="8" t="s">
        <v>814</v>
      </c>
      <c r="B2" s="8" t="s">
        <v>817</v>
      </c>
      <c r="C2" s="8" t="s">
        <v>57</v>
      </c>
      <c r="D2" s="8" t="s">
        <v>54</v>
      </c>
      <c r="E2" s="8" t="s">
        <v>185</v>
      </c>
      <c r="F2" s="8" t="s">
        <v>3427</v>
      </c>
      <c r="G2" s="8" t="s">
        <v>3428</v>
      </c>
      <c r="H2" s="8" t="s">
        <v>3429</v>
      </c>
      <c r="I2" s="8" t="s">
        <v>133</v>
      </c>
      <c r="J2" s="8" t="s">
        <v>56</v>
      </c>
      <c r="K2" s="7" t="s">
        <v>5212</v>
      </c>
      <c r="L2" s="8" t="s">
        <v>52</v>
      </c>
      <c r="M2" s="8" t="s">
        <v>1771</v>
      </c>
      <c r="N2" s="8" t="s">
        <v>185</v>
      </c>
      <c r="O2" s="32">
        <v>42746.0</v>
      </c>
      <c r="P2" s="42">
        <v>625.0</v>
      </c>
      <c r="Q2" s="32">
        <v>44937.0</v>
      </c>
      <c r="R2" s="8" t="s">
        <v>226</v>
      </c>
      <c r="S2" s="8" t="s">
        <v>264</v>
      </c>
      <c r="T2" s="8" t="s">
        <v>115</v>
      </c>
      <c r="U2" s="8" t="s">
        <v>53</v>
      </c>
    </row>
    <row r="3">
      <c r="A3" s="8" t="s">
        <v>567</v>
      </c>
      <c r="B3" s="8" t="s">
        <v>570</v>
      </c>
      <c r="C3" s="8" t="s">
        <v>57</v>
      </c>
      <c r="D3" s="8" t="s">
        <v>54</v>
      </c>
      <c r="E3" s="8" t="s">
        <v>185</v>
      </c>
      <c r="F3" s="8" t="s">
        <v>2687</v>
      </c>
      <c r="G3" s="8" t="s">
        <v>2688</v>
      </c>
      <c r="H3" s="8" t="s">
        <v>2689</v>
      </c>
      <c r="I3" s="8" t="s">
        <v>55</v>
      </c>
      <c r="J3" s="8" t="s">
        <v>56</v>
      </c>
      <c r="K3" s="7" t="s">
        <v>5213</v>
      </c>
      <c r="L3" s="8" t="s">
        <v>52</v>
      </c>
      <c r="M3" s="8" t="s">
        <v>174</v>
      </c>
      <c r="N3" s="8" t="s">
        <v>185</v>
      </c>
      <c r="O3" s="32">
        <v>42752.0</v>
      </c>
      <c r="P3" s="7" t="s">
        <v>5214</v>
      </c>
      <c r="Q3" s="32">
        <v>46402.0</v>
      </c>
      <c r="R3" s="8" t="s">
        <v>226</v>
      </c>
      <c r="S3" s="8" t="s">
        <v>497</v>
      </c>
      <c r="T3" s="8" t="s">
        <v>115</v>
      </c>
      <c r="U3" s="8" t="s">
        <v>53</v>
      </c>
    </row>
    <row r="4">
      <c r="A4" s="8" t="s">
        <v>614</v>
      </c>
      <c r="B4" s="8" t="s">
        <v>617</v>
      </c>
      <c r="C4" s="8" t="s">
        <v>57</v>
      </c>
      <c r="D4" s="42">
        <v>1584.0</v>
      </c>
      <c r="E4" s="8" t="s">
        <v>200</v>
      </c>
      <c r="F4" s="8" t="s">
        <v>2442</v>
      </c>
      <c r="G4" s="8" t="s">
        <v>2443</v>
      </c>
      <c r="H4" s="8" t="s">
        <v>2444</v>
      </c>
      <c r="I4" s="8" t="s">
        <v>117</v>
      </c>
      <c r="J4" s="8" t="s">
        <v>56</v>
      </c>
      <c r="K4" s="7" t="s">
        <v>5215</v>
      </c>
      <c r="L4" s="8" t="s">
        <v>52</v>
      </c>
      <c r="M4" s="8" t="s">
        <v>1771</v>
      </c>
      <c r="N4" s="8" t="s">
        <v>200</v>
      </c>
      <c r="O4" s="32">
        <v>42752.0</v>
      </c>
      <c r="P4" s="7" t="s">
        <v>5214</v>
      </c>
      <c r="Q4" s="32">
        <v>46404.0</v>
      </c>
      <c r="R4" s="8" t="s">
        <v>226</v>
      </c>
      <c r="S4" s="8" t="s">
        <v>620</v>
      </c>
      <c r="T4" s="8" t="s">
        <v>49</v>
      </c>
      <c r="U4" s="8" t="s">
        <v>53</v>
      </c>
    </row>
    <row r="5">
      <c r="A5" s="8" t="s">
        <v>1360</v>
      </c>
      <c r="B5" s="8" t="s">
        <v>1363</v>
      </c>
      <c r="C5" s="8" t="s">
        <v>57</v>
      </c>
      <c r="D5" s="42">
        <v>1318.0</v>
      </c>
      <c r="E5" s="8" t="s">
        <v>200</v>
      </c>
      <c r="F5" s="8" t="s">
        <v>3209</v>
      </c>
      <c r="G5" s="8" t="s">
        <v>3210</v>
      </c>
      <c r="H5" s="8" t="s">
        <v>3211</v>
      </c>
      <c r="I5" s="8" t="s">
        <v>117</v>
      </c>
      <c r="J5" s="8" t="s">
        <v>56</v>
      </c>
      <c r="K5" s="7" t="s">
        <v>5216</v>
      </c>
      <c r="L5" s="8" t="s">
        <v>52</v>
      </c>
      <c r="M5" s="8" t="s">
        <v>1771</v>
      </c>
      <c r="N5" s="8" t="s">
        <v>200</v>
      </c>
      <c r="O5" s="32">
        <v>42760.0</v>
      </c>
      <c r="P5" s="7" t="s">
        <v>5217</v>
      </c>
      <c r="Q5" s="32">
        <v>45682.0</v>
      </c>
      <c r="R5" s="8" t="s">
        <v>226</v>
      </c>
      <c r="S5" s="8" t="s">
        <v>175</v>
      </c>
      <c r="T5" s="8" t="s">
        <v>49</v>
      </c>
      <c r="U5" s="8" t="s">
        <v>53</v>
      </c>
    </row>
    <row r="6">
      <c r="A6" s="8" t="s">
        <v>1158</v>
      </c>
      <c r="B6" s="8" t="s">
        <v>1161</v>
      </c>
      <c r="C6" s="8" t="s">
        <v>57</v>
      </c>
      <c r="D6" s="42">
        <v>1373.0</v>
      </c>
      <c r="E6" s="8" t="s">
        <v>185</v>
      </c>
      <c r="F6" s="8" t="s">
        <v>1790</v>
      </c>
      <c r="G6" s="8" t="s">
        <v>1791</v>
      </c>
      <c r="H6" s="8" t="s">
        <v>1792</v>
      </c>
      <c r="I6" s="8" t="s">
        <v>117</v>
      </c>
      <c r="J6" s="8" t="s">
        <v>56</v>
      </c>
      <c r="K6" s="7" t="s">
        <v>5218</v>
      </c>
      <c r="L6" s="8" t="s">
        <v>52</v>
      </c>
      <c r="M6" s="8" t="s">
        <v>1793</v>
      </c>
      <c r="N6" s="8" t="s">
        <v>185</v>
      </c>
      <c r="O6" s="32">
        <v>42760.0</v>
      </c>
      <c r="P6" s="7" t="s">
        <v>5219</v>
      </c>
      <c r="Q6" s="32">
        <v>45316.0</v>
      </c>
      <c r="R6" s="8" t="s">
        <v>174</v>
      </c>
      <c r="S6" s="8" t="s">
        <v>264</v>
      </c>
      <c r="T6" s="8" t="s">
        <v>49</v>
      </c>
      <c r="U6" s="8" t="s">
        <v>53</v>
      </c>
    </row>
    <row r="7">
      <c r="A7" s="8" t="s">
        <v>477</v>
      </c>
      <c r="B7" s="8" t="s">
        <v>480</v>
      </c>
      <c r="C7" s="8" t="s">
        <v>57</v>
      </c>
      <c r="D7" s="8" t="s">
        <v>54</v>
      </c>
      <c r="E7" s="8" t="s">
        <v>45</v>
      </c>
      <c r="F7" s="8" t="s">
        <v>1897</v>
      </c>
      <c r="G7" s="8" t="s">
        <v>1898</v>
      </c>
      <c r="H7" s="8" t="s">
        <v>1899</v>
      </c>
      <c r="I7" s="8" t="s">
        <v>55</v>
      </c>
      <c r="J7" s="8" t="s">
        <v>56</v>
      </c>
      <c r="K7" s="7" t="s">
        <v>5220</v>
      </c>
      <c r="L7" s="8" t="s">
        <v>459</v>
      </c>
      <c r="M7" s="8" t="s">
        <v>174</v>
      </c>
      <c r="N7" s="8" t="s">
        <v>45</v>
      </c>
      <c r="O7" s="32">
        <v>42788.0</v>
      </c>
      <c r="P7" s="42">
        <v>375.0</v>
      </c>
      <c r="Q7" s="32">
        <v>45709.0</v>
      </c>
      <c r="R7" s="8">
        <v>200.0</v>
      </c>
      <c r="S7" s="8" t="s">
        <v>190</v>
      </c>
      <c r="T7" s="8" t="s">
        <v>49</v>
      </c>
      <c r="U7" s="8" t="s">
        <v>53</v>
      </c>
    </row>
    <row r="8">
      <c r="A8" s="8" t="s">
        <v>642</v>
      </c>
      <c r="B8" s="8" t="s">
        <v>645</v>
      </c>
      <c r="C8" s="8" t="s">
        <v>57</v>
      </c>
      <c r="D8" s="8" t="s">
        <v>54</v>
      </c>
      <c r="E8" s="8" t="s">
        <v>200</v>
      </c>
      <c r="F8" s="8" t="s">
        <v>2398</v>
      </c>
      <c r="G8" s="8" t="s">
        <v>2399</v>
      </c>
      <c r="H8" s="8" t="s">
        <v>2400</v>
      </c>
      <c r="I8" s="8" t="s">
        <v>55</v>
      </c>
      <c r="J8" s="8" t="s">
        <v>56</v>
      </c>
      <c r="K8" s="7" t="s">
        <v>5221</v>
      </c>
      <c r="L8" s="8" t="s">
        <v>52</v>
      </c>
      <c r="M8" s="8" t="s">
        <v>174</v>
      </c>
      <c r="N8" s="8" t="s">
        <v>367</v>
      </c>
      <c r="O8" s="32">
        <v>42797.0</v>
      </c>
      <c r="P8" s="7" t="s">
        <v>5222</v>
      </c>
      <c r="Q8" s="32">
        <v>45538.0</v>
      </c>
      <c r="R8" s="8" t="s">
        <v>226</v>
      </c>
      <c r="S8" s="8" t="s">
        <v>620</v>
      </c>
      <c r="T8" s="8" t="s">
        <v>49</v>
      </c>
      <c r="U8" s="8" t="s">
        <v>1807</v>
      </c>
    </row>
    <row r="9">
      <c r="A9" s="8" t="s">
        <v>755</v>
      </c>
      <c r="B9" s="8" t="s">
        <v>758</v>
      </c>
      <c r="C9" s="8" t="s">
        <v>71</v>
      </c>
      <c r="D9" s="42">
        <v>7375.0</v>
      </c>
      <c r="E9" s="8" t="s">
        <v>259</v>
      </c>
      <c r="F9" s="8" t="s">
        <v>3295</v>
      </c>
      <c r="G9" s="8" t="s">
        <v>3296</v>
      </c>
      <c r="H9" s="8" t="s">
        <v>3297</v>
      </c>
      <c r="I9" s="8" t="s">
        <v>55</v>
      </c>
      <c r="J9" s="8" t="s">
        <v>56</v>
      </c>
      <c r="K9" s="7" t="s">
        <v>5223</v>
      </c>
      <c r="L9" s="8" t="s">
        <v>52</v>
      </c>
      <c r="M9" s="8" t="s">
        <v>1776</v>
      </c>
      <c r="N9" s="8" t="s">
        <v>258</v>
      </c>
      <c r="O9" s="32">
        <v>42810.0</v>
      </c>
      <c r="P9" s="7">
        <v>7.0</v>
      </c>
      <c r="Q9" s="32">
        <v>53767.0</v>
      </c>
      <c r="R9" s="8" t="s">
        <v>262</v>
      </c>
      <c r="S9" s="8" t="s">
        <v>497</v>
      </c>
      <c r="T9" s="8" t="s">
        <v>115</v>
      </c>
      <c r="U9" s="8" t="s">
        <v>263</v>
      </c>
    </row>
    <row r="10">
      <c r="A10" s="8" t="s">
        <v>775</v>
      </c>
      <c r="B10" s="8" t="s">
        <v>778</v>
      </c>
      <c r="C10" s="8" t="s">
        <v>57</v>
      </c>
      <c r="D10" s="8" t="s">
        <v>54</v>
      </c>
      <c r="E10" s="8" t="s">
        <v>200</v>
      </c>
      <c r="F10" s="8" t="s">
        <v>1768</v>
      </c>
      <c r="G10" s="8" t="s">
        <v>1769</v>
      </c>
      <c r="H10" s="8" t="s">
        <v>1770</v>
      </c>
      <c r="I10" s="8" t="s">
        <v>55</v>
      </c>
      <c r="J10" s="8" t="s">
        <v>56</v>
      </c>
      <c r="K10" s="7" t="s">
        <v>5224</v>
      </c>
      <c r="L10" s="8" t="s">
        <v>52</v>
      </c>
      <c r="M10" s="8" t="s">
        <v>1771</v>
      </c>
      <c r="N10" s="8" t="s">
        <v>200</v>
      </c>
      <c r="O10" s="32">
        <v>42810.0</v>
      </c>
      <c r="P10" s="7" t="s">
        <v>5217</v>
      </c>
      <c r="Q10" s="32">
        <v>45367.0</v>
      </c>
      <c r="R10" s="8" t="s">
        <v>226</v>
      </c>
      <c r="S10" s="8" t="s">
        <v>190</v>
      </c>
      <c r="T10" s="8" t="s">
        <v>49</v>
      </c>
      <c r="U10" s="8" t="s">
        <v>53</v>
      </c>
    </row>
    <row r="11">
      <c r="A11" s="8" t="s">
        <v>755</v>
      </c>
      <c r="B11" s="8" t="s">
        <v>758</v>
      </c>
      <c r="C11" s="8" t="s">
        <v>71</v>
      </c>
      <c r="D11" s="42">
        <v>7375.0</v>
      </c>
      <c r="E11" s="8" t="s">
        <v>259</v>
      </c>
      <c r="F11" s="8" t="s">
        <v>3299</v>
      </c>
      <c r="G11" s="8" t="s">
        <v>3300</v>
      </c>
      <c r="H11" s="8" t="s">
        <v>3301</v>
      </c>
      <c r="I11" s="8" t="s">
        <v>55</v>
      </c>
      <c r="J11" s="8" t="s">
        <v>56</v>
      </c>
      <c r="K11" s="7" t="s">
        <v>5223</v>
      </c>
      <c r="L11" s="8" t="s">
        <v>52</v>
      </c>
      <c r="M11" s="8" t="s">
        <v>1776</v>
      </c>
      <c r="N11" s="8" t="s">
        <v>258</v>
      </c>
      <c r="O11" s="32">
        <v>42810.0</v>
      </c>
      <c r="P11" s="7">
        <v>7.0</v>
      </c>
      <c r="Q11" s="32">
        <v>53767.0</v>
      </c>
      <c r="R11" s="8" t="s">
        <v>271</v>
      </c>
      <c r="S11" s="8" t="s">
        <v>497</v>
      </c>
      <c r="T11" s="8" t="s">
        <v>115</v>
      </c>
      <c r="U11" s="8" t="s">
        <v>263</v>
      </c>
    </row>
    <row r="12">
      <c r="A12" s="8" t="s">
        <v>1560</v>
      </c>
      <c r="B12" s="8" t="s">
        <v>1563</v>
      </c>
      <c r="C12" s="8" t="s">
        <v>57</v>
      </c>
      <c r="D12" s="8" t="s">
        <v>54</v>
      </c>
      <c r="E12" s="8" t="s">
        <v>258</v>
      </c>
      <c r="F12" s="8" t="s">
        <v>2723</v>
      </c>
      <c r="G12" s="8" t="s">
        <v>2724</v>
      </c>
      <c r="H12" s="8" t="s">
        <v>2725</v>
      </c>
      <c r="I12" s="8" t="s">
        <v>55</v>
      </c>
      <c r="J12" s="8" t="s">
        <v>56</v>
      </c>
      <c r="K12" s="7" t="s">
        <v>5225</v>
      </c>
      <c r="L12" s="8" t="s">
        <v>52</v>
      </c>
      <c r="M12" s="8" t="s">
        <v>1771</v>
      </c>
      <c r="N12" s="8" t="s">
        <v>367</v>
      </c>
      <c r="O12" s="32">
        <v>42873.0</v>
      </c>
      <c r="P12" s="7" t="s">
        <v>5217</v>
      </c>
      <c r="Q12" s="32">
        <v>45434.0</v>
      </c>
      <c r="R12" s="8" t="s">
        <v>174</v>
      </c>
      <c r="S12" s="8" t="s">
        <v>175</v>
      </c>
      <c r="T12" s="8" t="s">
        <v>49</v>
      </c>
      <c r="U12" s="8" t="s">
        <v>53</v>
      </c>
    </row>
    <row r="13">
      <c r="A13" s="8" t="s">
        <v>1560</v>
      </c>
      <c r="B13" s="8" t="s">
        <v>1563</v>
      </c>
      <c r="C13" s="8" t="s">
        <v>57</v>
      </c>
      <c r="D13" s="8" t="s">
        <v>54</v>
      </c>
      <c r="E13" s="8" t="s">
        <v>258</v>
      </c>
      <c r="F13" s="8" t="s">
        <v>2727</v>
      </c>
      <c r="G13" s="8" t="s">
        <v>2728</v>
      </c>
      <c r="H13" s="8" t="s">
        <v>2729</v>
      </c>
      <c r="I13" s="8" t="s">
        <v>55</v>
      </c>
      <c r="J13" s="8" t="s">
        <v>56</v>
      </c>
      <c r="K13" s="7" t="s">
        <v>5225</v>
      </c>
      <c r="L13" s="8" t="s">
        <v>52</v>
      </c>
      <c r="M13" s="8" t="s">
        <v>174</v>
      </c>
      <c r="N13" s="8" t="s">
        <v>367</v>
      </c>
      <c r="O13" s="32">
        <v>42873.0</v>
      </c>
      <c r="P13" s="7">
        <v>2.0</v>
      </c>
      <c r="Q13" s="32">
        <v>46891.0</v>
      </c>
      <c r="R13" s="8" t="s">
        <v>174</v>
      </c>
      <c r="S13" s="8" t="s">
        <v>175</v>
      </c>
      <c r="T13" s="8" t="s">
        <v>49</v>
      </c>
      <c r="U13" s="8" t="s">
        <v>53</v>
      </c>
    </row>
    <row r="14">
      <c r="A14" s="8" t="s">
        <v>671</v>
      </c>
      <c r="B14" s="8" t="s">
        <v>674</v>
      </c>
      <c r="C14" s="8" t="s">
        <v>57</v>
      </c>
      <c r="D14" s="8" t="s">
        <v>54</v>
      </c>
      <c r="E14" s="8" t="s">
        <v>185</v>
      </c>
      <c r="F14" s="8" t="s">
        <v>2367</v>
      </c>
      <c r="G14" s="8" t="s">
        <v>2368</v>
      </c>
      <c r="H14" s="8" t="s">
        <v>2369</v>
      </c>
      <c r="I14" s="8" t="s">
        <v>421</v>
      </c>
      <c r="J14" s="8" t="s">
        <v>56</v>
      </c>
      <c r="K14" s="7" t="s">
        <v>5226</v>
      </c>
      <c r="L14" s="8" t="s">
        <v>52</v>
      </c>
      <c r="M14" s="8" t="s">
        <v>1771</v>
      </c>
      <c r="N14" s="8" t="s">
        <v>185</v>
      </c>
      <c r="O14" s="32">
        <v>42824.0</v>
      </c>
      <c r="P14" s="42">
        <v>1875.0</v>
      </c>
      <c r="Q14" s="32">
        <v>46476.0</v>
      </c>
      <c r="R14" s="8" t="s">
        <v>174</v>
      </c>
      <c r="S14" s="8" t="s">
        <v>190</v>
      </c>
      <c r="T14" s="8" t="s">
        <v>115</v>
      </c>
      <c r="U14" s="8" t="s">
        <v>53</v>
      </c>
    </row>
    <row r="15">
      <c r="A15" s="8" t="s">
        <v>1640</v>
      </c>
      <c r="B15" s="8" t="s">
        <v>1643</v>
      </c>
      <c r="C15" s="8" t="s">
        <v>57</v>
      </c>
      <c r="D15" s="8" t="s">
        <v>54</v>
      </c>
      <c r="E15" s="8" t="s">
        <v>171</v>
      </c>
      <c r="F15" s="8" t="s">
        <v>2969</v>
      </c>
      <c r="G15" s="8" t="s">
        <v>2970</v>
      </c>
      <c r="H15" s="8" t="s">
        <v>2971</v>
      </c>
      <c r="I15" s="8" t="s">
        <v>55</v>
      </c>
      <c r="J15" s="8" t="s">
        <v>56</v>
      </c>
      <c r="K15" s="7" t="s">
        <v>5213</v>
      </c>
      <c r="L15" s="8" t="s">
        <v>52</v>
      </c>
      <c r="M15" s="8" t="s">
        <v>1771</v>
      </c>
      <c r="N15" s="8" t="s">
        <v>170</v>
      </c>
      <c r="O15" s="32">
        <v>42825.0</v>
      </c>
      <c r="P15" s="42">
        <v>1125.0</v>
      </c>
      <c r="Q15" s="32">
        <v>46660.0</v>
      </c>
      <c r="R15" s="8" t="s">
        <v>174</v>
      </c>
      <c r="S15" s="8" t="s">
        <v>1646</v>
      </c>
      <c r="T15" s="8" t="s">
        <v>115</v>
      </c>
      <c r="U15" s="8" t="s">
        <v>53</v>
      </c>
    </row>
    <row r="16">
      <c r="A16" s="8" t="s">
        <v>642</v>
      </c>
      <c r="B16" s="8" t="s">
        <v>645</v>
      </c>
      <c r="C16" s="8" t="s">
        <v>71</v>
      </c>
      <c r="D16" s="7" t="s">
        <v>5227</v>
      </c>
      <c r="E16" s="8" t="s">
        <v>200</v>
      </c>
      <c r="F16" s="8" t="s">
        <v>2402</v>
      </c>
      <c r="G16" s="8" t="s">
        <v>2403</v>
      </c>
      <c r="H16" s="8" t="s">
        <v>2404</v>
      </c>
      <c r="I16" s="8" t="s">
        <v>55</v>
      </c>
      <c r="J16" s="8" t="s">
        <v>56</v>
      </c>
      <c r="K16" s="7" t="s">
        <v>5228</v>
      </c>
      <c r="L16" s="8" t="s">
        <v>52</v>
      </c>
      <c r="M16" s="8" t="s">
        <v>1776</v>
      </c>
      <c r="N16" s="8" t="s">
        <v>367</v>
      </c>
      <c r="O16" s="32">
        <v>42880.0</v>
      </c>
      <c r="P16" s="7" t="s">
        <v>5229</v>
      </c>
      <c r="Q16" s="32">
        <v>53837.0</v>
      </c>
      <c r="R16" s="8" t="s">
        <v>271</v>
      </c>
      <c r="S16" s="8" t="s">
        <v>620</v>
      </c>
      <c r="T16" s="8" t="s">
        <v>49</v>
      </c>
      <c r="U16" s="8" t="s">
        <v>263</v>
      </c>
    </row>
    <row r="17">
      <c r="A17" s="8" t="s">
        <v>642</v>
      </c>
      <c r="B17" s="8" t="s">
        <v>645</v>
      </c>
      <c r="C17" s="8" t="s">
        <v>71</v>
      </c>
      <c r="D17" s="7" t="s">
        <v>5227</v>
      </c>
      <c r="E17" s="8" t="s">
        <v>200</v>
      </c>
      <c r="F17" s="8" t="s">
        <v>2406</v>
      </c>
      <c r="G17" s="8" t="s">
        <v>2407</v>
      </c>
      <c r="H17" s="8" t="s">
        <v>2408</v>
      </c>
      <c r="I17" s="8" t="s">
        <v>55</v>
      </c>
      <c r="J17" s="8" t="s">
        <v>56</v>
      </c>
      <c r="K17" s="7" t="s">
        <v>5228</v>
      </c>
      <c r="L17" s="8" t="s">
        <v>52</v>
      </c>
      <c r="M17" s="8" t="s">
        <v>1776</v>
      </c>
      <c r="N17" s="8" t="s">
        <v>367</v>
      </c>
      <c r="O17" s="32">
        <v>42880.0</v>
      </c>
      <c r="P17" s="7" t="s">
        <v>5229</v>
      </c>
      <c r="Q17" s="32">
        <v>53837.0</v>
      </c>
      <c r="R17" s="8" t="s">
        <v>262</v>
      </c>
      <c r="S17" s="8" t="s">
        <v>620</v>
      </c>
      <c r="T17" s="8" t="s">
        <v>49</v>
      </c>
      <c r="U17" s="8" t="s">
        <v>263</v>
      </c>
    </row>
    <row r="18">
      <c r="A18" s="8" t="s">
        <v>642</v>
      </c>
      <c r="B18" s="8" t="s">
        <v>645</v>
      </c>
      <c r="C18" s="8" t="s">
        <v>71</v>
      </c>
      <c r="D18" s="42">
        <v>3747.0</v>
      </c>
      <c r="E18" s="8" t="s">
        <v>200</v>
      </c>
      <c r="F18" s="8" t="s">
        <v>2410</v>
      </c>
      <c r="G18" s="8" t="s">
        <v>2411</v>
      </c>
      <c r="H18" s="8" t="s">
        <v>2412</v>
      </c>
      <c r="I18" s="8" t="s">
        <v>55</v>
      </c>
      <c r="J18" s="8" t="s">
        <v>56</v>
      </c>
      <c r="K18" s="43">
        <v>2.0E9</v>
      </c>
      <c r="L18" s="8" t="s">
        <v>52</v>
      </c>
      <c r="M18" s="8" t="s">
        <v>1776</v>
      </c>
      <c r="N18" s="8" t="s">
        <v>367</v>
      </c>
      <c r="O18" s="32">
        <v>42880.0</v>
      </c>
      <c r="P18" s="42">
        <v>3625.0</v>
      </c>
      <c r="Q18" s="32">
        <v>46532.0</v>
      </c>
      <c r="R18" s="8" t="s">
        <v>262</v>
      </c>
      <c r="S18" s="8" t="s">
        <v>620</v>
      </c>
      <c r="T18" s="8" t="s">
        <v>49</v>
      </c>
      <c r="U18" s="8" t="s">
        <v>263</v>
      </c>
    </row>
    <row r="19">
      <c r="A19" s="8" t="s">
        <v>642</v>
      </c>
      <c r="B19" s="8" t="s">
        <v>645</v>
      </c>
      <c r="C19" s="8" t="s">
        <v>71</v>
      </c>
      <c r="D19" s="42">
        <v>3747.0</v>
      </c>
      <c r="E19" s="8" t="s">
        <v>200</v>
      </c>
      <c r="F19" s="8" t="s">
        <v>2414</v>
      </c>
      <c r="G19" s="8" t="s">
        <v>2415</v>
      </c>
      <c r="H19" s="8" t="s">
        <v>2416</v>
      </c>
      <c r="I19" s="8" t="s">
        <v>55</v>
      </c>
      <c r="J19" s="8" t="s">
        <v>56</v>
      </c>
      <c r="K19" s="43">
        <v>2.0E9</v>
      </c>
      <c r="L19" s="8" t="s">
        <v>52</v>
      </c>
      <c r="M19" s="8" t="s">
        <v>1776</v>
      </c>
      <c r="N19" s="8" t="s">
        <v>367</v>
      </c>
      <c r="O19" s="32">
        <v>42880.0</v>
      </c>
      <c r="P19" s="42">
        <v>3625.0</v>
      </c>
      <c r="Q19" s="32">
        <v>46532.0</v>
      </c>
      <c r="R19" s="8" t="s">
        <v>271</v>
      </c>
      <c r="S19" s="8" t="s">
        <v>620</v>
      </c>
      <c r="T19" s="8" t="s">
        <v>49</v>
      </c>
      <c r="U19" s="8" t="s">
        <v>263</v>
      </c>
    </row>
    <row r="20">
      <c r="A20" s="8" t="s">
        <v>491</v>
      </c>
      <c r="B20" s="8" t="s">
        <v>494</v>
      </c>
      <c r="C20" s="8" t="s">
        <v>57</v>
      </c>
      <c r="D20" s="42">
        <v>1701.0</v>
      </c>
      <c r="E20" s="8" t="s">
        <v>200</v>
      </c>
      <c r="F20" s="8" t="s">
        <v>1822</v>
      </c>
      <c r="G20" s="8" t="s">
        <v>1823</v>
      </c>
      <c r="H20" s="8" t="s">
        <v>1824</v>
      </c>
      <c r="I20" s="8" t="s">
        <v>55</v>
      </c>
      <c r="J20" s="8" t="s">
        <v>56</v>
      </c>
      <c r="K20" s="7" t="s">
        <v>5230</v>
      </c>
      <c r="L20" s="8" t="s">
        <v>52</v>
      </c>
      <c r="M20" s="8" t="s">
        <v>1825</v>
      </c>
      <c r="N20" s="8" t="s">
        <v>200</v>
      </c>
      <c r="O20" s="32">
        <v>42894.0</v>
      </c>
      <c r="P20" s="42">
        <v>1625.0</v>
      </c>
      <c r="Q20" s="32">
        <v>46546.0</v>
      </c>
      <c r="R20" s="8" t="s">
        <v>226</v>
      </c>
      <c r="S20" s="8" t="s">
        <v>497</v>
      </c>
      <c r="T20" s="8" t="s">
        <v>115</v>
      </c>
      <c r="U20" s="8" t="s">
        <v>53</v>
      </c>
    </row>
    <row r="21">
      <c r="A21" s="8" t="s">
        <v>1487</v>
      </c>
      <c r="B21" s="8" t="s">
        <v>1490</v>
      </c>
      <c r="C21" s="8" t="s">
        <v>174</v>
      </c>
      <c r="D21" s="7" t="s">
        <v>5231</v>
      </c>
      <c r="E21" s="8" t="s">
        <v>185</v>
      </c>
      <c r="F21" s="8" t="s">
        <v>2251</v>
      </c>
      <c r="G21" s="8" t="s">
        <v>2252</v>
      </c>
      <c r="H21" s="8" t="s">
        <v>2253</v>
      </c>
      <c r="I21" s="8" t="s">
        <v>117</v>
      </c>
      <c r="J21" s="8" t="s">
        <v>676</v>
      </c>
      <c r="K21" s="43">
        <v>5.0E8</v>
      </c>
      <c r="L21" s="8" t="s">
        <v>52</v>
      </c>
      <c r="M21" s="8" t="s">
        <v>1771</v>
      </c>
      <c r="N21" s="8" t="s">
        <v>185</v>
      </c>
      <c r="O21" s="32">
        <v>42900.0</v>
      </c>
      <c r="P21" s="7">
        <v>0.0</v>
      </c>
      <c r="Q21" s="32">
        <v>45091.0</v>
      </c>
      <c r="R21" s="8" t="s">
        <v>1490</v>
      </c>
      <c r="S21" s="8" t="s">
        <v>54</v>
      </c>
      <c r="T21" s="8" t="s">
        <v>189</v>
      </c>
      <c r="U21" s="8" t="s">
        <v>263</v>
      </c>
    </row>
    <row r="22">
      <c r="A22" s="8" t="s">
        <v>245</v>
      </c>
      <c r="B22" s="8" t="s">
        <v>248</v>
      </c>
      <c r="C22" s="8" t="s">
        <v>57</v>
      </c>
      <c r="D22" s="8" t="s">
        <v>54</v>
      </c>
      <c r="E22" s="8" t="s">
        <v>185</v>
      </c>
      <c r="F22" s="8" t="s">
        <v>2288</v>
      </c>
      <c r="G22" s="8" t="s">
        <v>2289</v>
      </c>
      <c r="H22" s="8" t="s">
        <v>2290</v>
      </c>
      <c r="I22" s="8" t="s">
        <v>55</v>
      </c>
      <c r="J22" s="8" t="s">
        <v>56</v>
      </c>
      <c r="K22" s="7">
        <v>4.50592E7</v>
      </c>
      <c r="L22" s="8" t="s">
        <v>52</v>
      </c>
      <c r="M22" s="8" t="s">
        <v>174</v>
      </c>
      <c r="N22" s="8" t="s">
        <v>185</v>
      </c>
      <c r="O22" s="32">
        <v>42893.0</v>
      </c>
      <c r="P22" s="7" t="s">
        <v>5232</v>
      </c>
      <c r="Q22" s="32">
        <v>45815.0</v>
      </c>
      <c r="R22" s="8" t="s">
        <v>174</v>
      </c>
      <c r="S22" s="8" t="s">
        <v>54</v>
      </c>
      <c r="T22" s="8" t="s">
        <v>49</v>
      </c>
      <c r="U22" s="8" t="s">
        <v>53</v>
      </c>
    </row>
    <row r="23">
      <c r="A23" s="8" t="s">
        <v>108</v>
      </c>
      <c r="B23" s="8" t="s">
        <v>111</v>
      </c>
      <c r="C23" s="8" t="s">
        <v>57</v>
      </c>
      <c r="D23" s="8" t="s">
        <v>54</v>
      </c>
      <c r="E23" s="8" t="s">
        <v>112</v>
      </c>
      <c r="F23" s="8" t="s">
        <v>3327</v>
      </c>
      <c r="G23" s="8" t="s">
        <v>3328</v>
      </c>
      <c r="H23" s="8" t="s">
        <v>3329</v>
      </c>
      <c r="I23" s="8" t="s">
        <v>55</v>
      </c>
      <c r="J23" s="8" t="s">
        <v>56</v>
      </c>
      <c r="K23" s="7" t="s">
        <v>5233</v>
      </c>
      <c r="L23" s="8" t="s">
        <v>52</v>
      </c>
      <c r="M23" s="8" t="s">
        <v>1776</v>
      </c>
      <c r="N23" s="8" t="s">
        <v>112</v>
      </c>
      <c r="O23" s="32">
        <v>42921.0</v>
      </c>
      <c r="P23" s="42">
        <v>2375.0</v>
      </c>
      <c r="Q23" s="32">
        <v>46573.0</v>
      </c>
      <c r="R23" s="8" t="s">
        <v>174</v>
      </c>
      <c r="S23" s="8" t="s">
        <v>190</v>
      </c>
      <c r="T23" s="8" t="s">
        <v>49</v>
      </c>
      <c r="U23" s="8" t="s">
        <v>53</v>
      </c>
    </row>
    <row r="24">
      <c r="A24" s="8" t="s">
        <v>917</v>
      </c>
      <c r="B24" s="8" t="s">
        <v>920</v>
      </c>
      <c r="C24" s="8" t="s">
        <v>57</v>
      </c>
      <c r="D24" s="8" t="s">
        <v>54</v>
      </c>
      <c r="E24" s="8" t="s">
        <v>185</v>
      </c>
      <c r="F24" s="8" t="s">
        <v>2892</v>
      </c>
      <c r="G24" s="8" t="s">
        <v>2893</v>
      </c>
      <c r="H24" s="8" t="s">
        <v>2894</v>
      </c>
      <c r="I24" s="8" t="s">
        <v>421</v>
      </c>
      <c r="J24" s="8" t="s">
        <v>56</v>
      </c>
      <c r="K24" s="7" t="s">
        <v>5234</v>
      </c>
      <c r="L24" s="8" t="s">
        <v>52</v>
      </c>
      <c r="M24" s="8" t="s">
        <v>2895</v>
      </c>
      <c r="N24" s="8" t="s">
        <v>185</v>
      </c>
      <c r="O24" s="32">
        <v>42922.0</v>
      </c>
      <c r="P24" s="42">
        <v>1875.0</v>
      </c>
      <c r="Q24" s="32">
        <v>48401.0</v>
      </c>
      <c r="R24" s="8" t="s">
        <v>174</v>
      </c>
      <c r="S24" s="8" t="s">
        <v>190</v>
      </c>
      <c r="T24" s="8" t="s">
        <v>115</v>
      </c>
      <c r="U24" s="8" t="s">
        <v>53</v>
      </c>
    </row>
    <row r="25">
      <c r="A25" s="8" t="s">
        <v>917</v>
      </c>
      <c r="B25" s="8" t="s">
        <v>920</v>
      </c>
      <c r="C25" s="8" t="s">
        <v>57</v>
      </c>
      <c r="D25" s="8" t="s">
        <v>54</v>
      </c>
      <c r="E25" s="8" t="s">
        <v>185</v>
      </c>
      <c r="F25" s="8" t="s">
        <v>2897</v>
      </c>
      <c r="G25" s="8" t="s">
        <v>2898</v>
      </c>
      <c r="H25" s="8" t="s">
        <v>2899</v>
      </c>
      <c r="I25" s="8" t="s">
        <v>421</v>
      </c>
      <c r="J25" s="8" t="s">
        <v>56</v>
      </c>
      <c r="K25" s="7" t="s">
        <v>5234</v>
      </c>
      <c r="L25" s="8" t="s">
        <v>52</v>
      </c>
      <c r="M25" s="8" t="s">
        <v>2895</v>
      </c>
      <c r="N25" s="8" t="s">
        <v>185</v>
      </c>
      <c r="O25" s="32">
        <v>42922.0</v>
      </c>
      <c r="P25" s="7" t="s">
        <v>5235</v>
      </c>
      <c r="Q25" s="32">
        <v>45479.0</v>
      </c>
      <c r="R25" s="8" t="s">
        <v>174</v>
      </c>
      <c r="S25" s="8" t="s">
        <v>190</v>
      </c>
      <c r="T25" s="8" t="s">
        <v>115</v>
      </c>
      <c r="U25" s="8" t="s">
        <v>53</v>
      </c>
    </row>
    <row r="26">
      <c r="A26" s="8" t="s">
        <v>1360</v>
      </c>
      <c r="B26" s="8" t="s">
        <v>1363</v>
      </c>
      <c r="C26" s="8" t="s">
        <v>392</v>
      </c>
      <c r="D26" s="8" t="s">
        <v>54</v>
      </c>
      <c r="E26" s="8" t="s">
        <v>200</v>
      </c>
      <c r="F26" s="8" t="s">
        <v>3213</v>
      </c>
      <c r="G26" s="8" t="s">
        <v>3214</v>
      </c>
      <c r="H26" s="8" t="s">
        <v>3215</v>
      </c>
      <c r="I26" s="8" t="s">
        <v>117</v>
      </c>
      <c r="J26" s="8" t="s">
        <v>70</v>
      </c>
      <c r="K26" s="7" t="s">
        <v>5236</v>
      </c>
      <c r="L26" s="8" t="s">
        <v>52</v>
      </c>
      <c r="M26" s="8" t="s">
        <v>1771</v>
      </c>
      <c r="N26" s="8" t="s">
        <v>200</v>
      </c>
      <c r="O26" s="32">
        <v>42949.0</v>
      </c>
      <c r="P26" s="7">
        <v>0.0</v>
      </c>
      <c r="Q26" s="32">
        <v>45506.0</v>
      </c>
      <c r="R26" s="8" t="s">
        <v>226</v>
      </c>
      <c r="S26" s="8" t="s">
        <v>175</v>
      </c>
      <c r="T26" s="8" t="s">
        <v>49</v>
      </c>
      <c r="U26" s="8" t="s">
        <v>53</v>
      </c>
    </row>
    <row r="27">
      <c r="A27" s="8" t="s">
        <v>166</v>
      </c>
      <c r="B27" s="8" t="s">
        <v>169</v>
      </c>
      <c r="C27" s="8" t="s">
        <v>57</v>
      </c>
      <c r="D27" s="8" t="s">
        <v>54</v>
      </c>
      <c r="E27" s="8" t="s">
        <v>171</v>
      </c>
      <c r="F27" s="8" t="s">
        <v>2635</v>
      </c>
      <c r="G27" s="8" t="s">
        <v>2636</v>
      </c>
      <c r="H27" s="8" t="s">
        <v>2637</v>
      </c>
      <c r="I27" s="8" t="s">
        <v>55</v>
      </c>
      <c r="J27" s="8" t="s">
        <v>56</v>
      </c>
      <c r="K27" s="7" t="s">
        <v>5237</v>
      </c>
      <c r="L27" s="8" t="s">
        <v>52</v>
      </c>
      <c r="M27" s="8" t="s">
        <v>1771</v>
      </c>
      <c r="N27" s="8" t="s">
        <v>170</v>
      </c>
      <c r="O27" s="32">
        <v>42976.0</v>
      </c>
      <c r="P27" s="7" t="s">
        <v>5238</v>
      </c>
      <c r="Q27" s="32">
        <v>47359.0</v>
      </c>
      <c r="R27" s="8" t="s">
        <v>226</v>
      </c>
      <c r="S27" s="8" t="s">
        <v>175</v>
      </c>
      <c r="T27" s="8" t="s">
        <v>115</v>
      </c>
      <c r="U27" s="8" t="s">
        <v>53</v>
      </c>
    </row>
    <row r="28">
      <c r="A28" s="8" t="s">
        <v>477</v>
      </c>
      <c r="B28" s="8" t="s">
        <v>480</v>
      </c>
      <c r="C28" s="8" t="s">
        <v>57</v>
      </c>
      <c r="D28" s="8" t="s">
        <v>54</v>
      </c>
      <c r="E28" s="8" t="s">
        <v>45</v>
      </c>
      <c r="F28" s="8" t="s">
        <v>1901</v>
      </c>
      <c r="G28" s="8" t="s">
        <v>1902</v>
      </c>
      <c r="H28" s="8" t="s">
        <v>1903</v>
      </c>
      <c r="I28" s="8" t="s">
        <v>55</v>
      </c>
      <c r="J28" s="8" t="s">
        <v>56</v>
      </c>
      <c r="K28" s="7" t="s">
        <v>5239</v>
      </c>
      <c r="L28" s="8" t="s">
        <v>459</v>
      </c>
      <c r="M28" s="8" t="s">
        <v>1771</v>
      </c>
      <c r="N28" s="8" t="s">
        <v>45</v>
      </c>
      <c r="O28" s="32">
        <v>42983.0</v>
      </c>
      <c r="P28" s="42">
        <v>125.0</v>
      </c>
      <c r="Q28" s="32">
        <v>45296.0</v>
      </c>
      <c r="R28" s="8">
        <v>203.0</v>
      </c>
      <c r="S28" s="8" t="s">
        <v>190</v>
      </c>
      <c r="T28" s="8" t="s">
        <v>49</v>
      </c>
      <c r="U28" s="8" t="s">
        <v>53</v>
      </c>
    </row>
    <row r="29">
      <c r="A29" s="8" t="s">
        <v>814</v>
      </c>
      <c r="B29" s="8" t="s">
        <v>817</v>
      </c>
      <c r="C29" s="8" t="s">
        <v>57</v>
      </c>
      <c r="D29" s="8" t="s">
        <v>54</v>
      </c>
      <c r="E29" s="8" t="s">
        <v>185</v>
      </c>
      <c r="F29" s="8" t="s">
        <v>3431</v>
      </c>
      <c r="G29" s="8" t="s">
        <v>3432</v>
      </c>
      <c r="H29" s="8" t="s">
        <v>3433</v>
      </c>
      <c r="I29" s="8" t="s">
        <v>133</v>
      </c>
      <c r="J29" s="8" t="s">
        <v>56</v>
      </c>
      <c r="K29" s="7" t="s">
        <v>5240</v>
      </c>
      <c r="L29" s="8" t="s">
        <v>52</v>
      </c>
      <c r="M29" s="8" t="s">
        <v>1771</v>
      </c>
      <c r="N29" s="8" t="s">
        <v>185</v>
      </c>
      <c r="O29" s="32">
        <v>42990.0</v>
      </c>
      <c r="P29" s="42">
        <v>375.0</v>
      </c>
      <c r="Q29" s="32">
        <v>44816.0</v>
      </c>
      <c r="R29" s="8" t="s">
        <v>226</v>
      </c>
      <c r="S29" s="8" t="s">
        <v>264</v>
      </c>
      <c r="T29" s="8" t="s">
        <v>115</v>
      </c>
      <c r="U29" s="8" t="s">
        <v>53</v>
      </c>
    </row>
    <row r="30">
      <c r="A30" s="8" t="s">
        <v>614</v>
      </c>
      <c r="B30" s="8" t="s">
        <v>617</v>
      </c>
      <c r="C30" s="8" t="s">
        <v>57</v>
      </c>
      <c r="D30" s="8" t="s">
        <v>54</v>
      </c>
      <c r="E30" s="8" t="s">
        <v>200</v>
      </c>
      <c r="F30" s="8" t="s">
        <v>2446</v>
      </c>
      <c r="G30" s="8" t="s">
        <v>2447</v>
      </c>
      <c r="H30" s="8" t="s">
        <v>2448</v>
      </c>
      <c r="I30" s="8" t="s">
        <v>117</v>
      </c>
      <c r="J30" s="8" t="s">
        <v>56</v>
      </c>
      <c r="K30" s="7" t="s">
        <v>5241</v>
      </c>
      <c r="L30" s="8" t="s">
        <v>52</v>
      </c>
      <c r="M30" s="8" t="s">
        <v>1771</v>
      </c>
      <c r="N30" s="8" t="s">
        <v>200</v>
      </c>
      <c r="O30" s="32">
        <v>42993.0</v>
      </c>
      <c r="P30" s="7">
        <v>1.0</v>
      </c>
      <c r="Q30" s="32">
        <v>45730.0</v>
      </c>
      <c r="R30" s="8" t="s">
        <v>226</v>
      </c>
      <c r="S30" s="8" t="s">
        <v>620</v>
      </c>
      <c r="T30" s="8" t="s">
        <v>49</v>
      </c>
      <c r="U30" s="8" t="s">
        <v>53</v>
      </c>
    </row>
    <row r="31">
      <c r="A31" s="8" t="s">
        <v>416</v>
      </c>
      <c r="B31" s="8" t="s">
        <v>419</v>
      </c>
      <c r="C31" s="8" t="s">
        <v>57</v>
      </c>
      <c r="D31" s="8" t="s">
        <v>54</v>
      </c>
      <c r="E31" s="8" t="s">
        <v>367</v>
      </c>
      <c r="F31" s="8" t="s">
        <v>2847</v>
      </c>
      <c r="G31" s="8" t="s">
        <v>2848</v>
      </c>
      <c r="H31" s="8" t="s">
        <v>2849</v>
      </c>
      <c r="I31" s="8" t="s">
        <v>421</v>
      </c>
      <c r="J31" s="8" t="s">
        <v>56</v>
      </c>
      <c r="K31" s="7" t="s">
        <v>5242</v>
      </c>
      <c r="L31" s="8" t="s">
        <v>52</v>
      </c>
      <c r="M31" s="8" t="s">
        <v>1776</v>
      </c>
      <c r="N31" s="8" t="s">
        <v>367</v>
      </c>
      <c r="O31" s="32">
        <v>42997.0</v>
      </c>
      <c r="P31" s="42">
        <v>875.0</v>
      </c>
      <c r="Q31" s="32">
        <v>45554.0</v>
      </c>
      <c r="R31" s="8" t="s">
        <v>174</v>
      </c>
      <c r="S31" s="8" t="s">
        <v>175</v>
      </c>
      <c r="T31" s="8" t="s">
        <v>115</v>
      </c>
      <c r="U31" s="8" t="s">
        <v>53</v>
      </c>
    </row>
    <row r="32">
      <c r="A32" s="8" t="s">
        <v>529</v>
      </c>
      <c r="B32" s="8" t="s">
        <v>532</v>
      </c>
      <c r="C32" s="8" t="s">
        <v>57</v>
      </c>
      <c r="D32" s="8" t="s">
        <v>54</v>
      </c>
      <c r="E32" s="8" t="s">
        <v>258</v>
      </c>
      <c r="F32" s="8" t="s">
        <v>3411</v>
      </c>
      <c r="G32" s="8" t="s">
        <v>3412</v>
      </c>
      <c r="H32" s="8" t="s">
        <v>3413</v>
      </c>
      <c r="I32" s="8" t="s">
        <v>55</v>
      </c>
      <c r="J32" s="8" t="s">
        <v>56</v>
      </c>
      <c r="K32" s="7" t="s">
        <v>5243</v>
      </c>
      <c r="L32" s="8" t="s">
        <v>118</v>
      </c>
      <c r="M32" s="8" t="s">
        <v>174</v>
      </c>
      <c r="N32" s="8" t="s">
        <v>258</v>
      </c>
      <c r="O32" s="32">
        <v>43019.0</v>
      </c>
      <c r="P32" s="7" t="s">
        <v>5244</v>
      </c>
      <c r="Q32" s="32">
        <v>44845.0</v>
      </c>
      <c r="R32" s="8" t="s">
        <v>174</v>
      </c>
      <c r="S32" s="8" t="s">
        <v>54</v>
      </c>
      <c r="T32" s="8" t="s">
        <v>49</v>
      </c>
      <c r="U32" s="8" t="s">
        <v>53</v>
      </c>
    </row>
    <row r="33">
      <c r="A33" s="8" t="s">
        <v>642</v>
      </c>
      <c r="B33" s="8" t="s">
        <v>645</v>
      </c>
      <c r="C33" s="8" t="s">
        <v>71</v>
      </c>
      <c r="D33" s="42">
        <v>3643.0</v>
      </c>
      <c r="E33" s="8" t="s">
        <v>200</v>
      </c>
      <c r="F33" s="8" t="s">
        <v>2418</v>
      </c>
      <c r="G33" s="8" t="s">
        <v>2419</v>
      </c>
      <c r="H33" s="8" t="s">
        <v>2420</v>
      </c>
      <c r="I33" s="8" t="s">
        <v>55</v>
      </c>
      <c r="J33" s="8" t="s">
        <v>56</v>
      </c>
      <c r="K33" s="7" t="s">
        <v>5223</v>
      </c>
      <c r="L33" s="8" t="s">
        <v>52</v>
      </c>
      <c r="M33" s="8" t="s">
        <v>1776</v>
      </c>
      <c r="N33" s="8" t="s">
        <v>367</v>
      </c>
      <c r="O33" s="32">
        <v>43014.0</v>
      </c>
      <c r="P33" s="7" t="s">
        <v>5245</v>
      </c>
      <c r="Q33" s="32">
        <v>46849.0</v>
      </c>
      <c r="R33" s="8" t="s">
        <v>262</v>
      </c>
      <c r="S33" s="8" t="s">
        <v>620</v>
      </c>
      <c r="T33" s="8" t="s">
        <v>49</v>
      </c>
      <c r="U33" s="8" t="s">
        <v>263</v>
      </c>
    </row>
    <row r="34">
      <c r="A34" s="8" t="s">
        <v>642</v>
      </c>
      <c r="B34" s="8" t="s">
        <v>645</v>
      </c>
      <c r="C34" s="8" t="s">
        <v>71</v>
      </c>
      <c r="D34" s="42">
        <v>3643.0</v>
      </c>
      <c r="E34" s="8" t="s">
        <v>200</v>
      </c>
      <c r="F34" s="8" t="s">
        <v>2422</v>
      </c>
      <c r="G34" s="8" t="s">
        <v>2423</v>
      </c>
      <c r="H34" s="8" t="s">
        <v>2424</v>
      </c>
      <c r="I34" s="8" t="s">
        <v>55</v>
      </c>
      <c r="J34" s="8" t="s">
        <v>56</v>
      </c>
      <c r="K34" s="7" t="s">
        <v>5223</v>
      </c>
      <c r="L34" s="8" t="s">
        <v>52</v>
      </c>
      <c r="M34" s="8" t="s">
        <v>1776</v>
      </c>
      <c r="N34" s="8" t="s">
        <v>367</v>
      </c>
      <c r="O34" s="32">
        <v>43014.0</v>
      </c>
      <c r="P34" s="7" t="s">
        <v>5245</v>
      </c>
      <c r="Q34" s="32">
        <v>46849.0</v>
      </c>
      <c r="R34" s="8" t="s">
        <v>271</v>
      </c>
      <c r="S34" s="8" t="s">
        <v>620</v>
      </c>
      <c r="T34" s="8" t="s">
        <v>49</v>
      </c>
      <c r="U34" s="8" t="s">
        <v>263</v>
      </c>
    </row>
    <row r="35">
      <c r="A35" s="8" t="s">
        <v>1580</v>
      </c>
      <c r="B35" s="8" t="s">
        <v>1583</v>
      </c>
      <c r="C35" s="8" t="s">
        <v>71</v>
      </c>
      <c r="D35" s="7" t="s">
        <v>5246</v>
      </c>
      <c r="E35" s="8" t="s">
        <v>259</v>
      </c>
      <c r="F35" s="8" t="s">
        <v>1813</v>
      </c>
      <c r="G35" s="8" t="s">
        <v>1814</v>
      </c>
      <c r="H35" s="8" t="s">
        <v>1815</v>
      </c>
      <c r="I35" s="8" t="s">
        <v>55</v>
      </c>
      <c r="J35" s="8" t="s">
        <v>56</v>
      </c>
      <c r="K35" s="43">
        <v>4.0E8</v>
      </c>
      <c r="L35" s="8" t="s">
        <v>52</v>
      </c>
      <c r="M35" s="8" t="s">
        <v>1816</v>
      </c>
      <c r="N35" s="8" t="s">
        <v>170</v>
      </c>
      <c r="O35" s="32">
        <v>43018.0</v>
      </c>
      <c r="P35" s="7" t="s">
        <v>5246</v>
      </c>
      <c r="Q35" s="32">
        <v>45575.0</v>
      </c>
      <c r="R35" s="8" t="s">
        <v>262</v>
      </c>
      <c r="S35" s="8" t="s">
        <v>885</v>
      </c>
      <c r="T35" s="8" t="s">
        <v>115</v>
      </c>
      <c r="U35" s="8" t="s">
        <v>263</v>
      </c>
    </row>
    <row r="36">
      <c r="A36" s="8" t="s">
        <v>1580</v>
      </c>
      <c r="B36" s="8" t="s">
        <v>1583</v>
      </c>
      <c r="C36" s="8" t="s">
        <v>71</v>
      </c>
      <c r="D36" s="7" t="s">
        <v>5246</v>
      </c>
      <c r="E36" s="8" t="s">
        <v>259</v>
      </c>
      <c r="F36" s="8" t="s">
        <v>1818</v>
      </c>
      <c r="G36" s="8" t="s">
        <v>1819</v>
      </c>
      <c r="H36" s="8" t="s">
        <v>1820</v>
      </c>
      <c r="I36" s="8" t="s">
        <v>55</v>
      </c>
      <c r="J36" s="8" t="s">
        <v>56</v>
      </c>
      <c r="K36" s="43">
        <v>4.0E8</v>
      </c>
      <c r="L36" s="8" t="s">
        <v>52</v>
      </c>
      <c r="M36" s="8" t="s">
        <v>1816</v>
      </c>
      <c r="N36" s="8" t="s">
        <v>170</v>
      </c>
      <c r="O36" s="32">
        <v>43018.0</v>
      </c>
      <c r="P36" s="7" t="s">
        <v>5246</v>
      </c>
      <c r="Q36" s="32">
        <v>45575.0</v>
      </c>
      <c r="R36" s="8" t="s">
        <v>271</v>
      </c>
      <c r="S36" s="8" t="s">
        <v>885</v>
      </c>
      <c r="T36" s="8" t="s">
        <v>115</v>
      </c>
      <c r="U36" s="8" t="s">
        <v>263</v>
      </c>
    </row>
    <row r="37">
      <c r="A37" s="8" t="s">
        <v>917</v>
      </c>
      <c r="B37" s="8" t="s">
        <v>920</v>
      </c>
      <c r="C37" s="8" t="s">
        <v>57</v>
      </c>
      <c r="D37" s="8" t="s">
        <v>54</v>
      </c>
      <c r="E37" s="8" t="s">
        <v>185</v>
      </c>
      <c r="F37" s="8" t="s">
        <v>2901</v>
      </c>
      <c r="G37" s="8" t="s">
        <v>2902</v>
      </c>
      <c r="H37" s="8" t="s">
        <v>2903</v>
      </c>
      <c r="I37" s="8" t="s">
        <v>421</v>
      </c>
      <c r="J37" s="8" t="s">
        <v>56</v>
      </c>
      <c r="K37" s="7" t="s">
        <v>5247</v>
      </c>
      <c r="L37" s="8" t="s">
        <v>52</v>
      </c>
      <c r="M37" s="8" t="s">
        <v>1771</v>
      </c>
      <c r="N37" s="8" t="s">
        <v>185</v>
      </c>
      <c r="O37" s="32">
        <v>43017.0</v>
      </c>
      <c r="P37" s="7" t="s">
        <v>5248</v>
      </c>
      <c r="Q37" s="32">
        <v>45208.0</v>
      </c>
      <c r="R37" s="8" t="s">
        <v>174</v>
      </c>
      <c r="S37" s="8" t="s">
        <v>190</v>
      </c>
      <c r="T37" s="8" t="s">
        <v>115</v>
      </c>
      <c r="U37" s="8" t="s">
        <v>53</v>
      </c>
    </row>
    <row r="38">
      <c r="A38" s="8" t="s">
        <v>1360</v>
      </c>
      <c r="B38" s="8" t="s">
        <v>1363</v>
      </c>
      <c r="C38" s="8" t="s">
        <v>57</v>
      </c>
      <c r="D38" s="8" t="s">
        <v>54</v>
      </c>
      <c r="E38" s="8" t="s">
        <v>200</v>
      </c>
      <c r="F38" s="8" t="s">
        <v>3217</v>
      </c>
      <c r="G38" s="8" t="s">
        <v>3218</v>
      </c>
      <c r="H38" s="8" t="s">
        <v>3219</v>
      </c>
      <c r="I38" s="8" t="s">
        <v>117</v>
      </c>
      <c r="J38" s="8" t="s">
        <v>56</v>
      </c>
      <c r="K38" s="7" t="s">
        <v>5249</v>
      </c>
      <c r="L38" s="8" t="s">
        <v>52</v>
      </c>
      <c r="M38" s="8" t="s">
        <v>1776</v>
      </c>
      <c r="N38" s="8" t="s">
        <v>200</v>
      </c>
      <c r="O38" s="32">
        <v>43033.0</v>
      </c>
      <c r="P38" s="42">
        <v>1375.0</v>
      </c>
      <c r="Q38" s="32">
        <v>46685.0</v>
      </c>
      <c r="R38" s="8" t="s">
        <v>226</v>
      </c>
      <c r="S38" s="8" t="s">
        <v>175</v>
      </c>
      <c r="T38" s="8" t="s">
        <v>115</v>
      </c>
      <c r="U38" s="8" t="s">
        <v>53</v>
      </c>
    </row>
    <row r="39">
      <c r="A39" s="8" t="s">
        <v>775</v>
      </c>
      <c r="B39" s="8" t="s">
        <v>778</v>
      </c>
      <c r="C39" s="8" t="s">
        <v>57</v>
      </c>
      <c r="D39" s="8" t="s">
        <v>54</v>
      </c>
      <c r="E39" s="8" t="s">
        <v>200</v>
      </c>
      <c r="F39" s="8" t="s">
        <v>1773</v>
      </c>
      <c r="G39" s="8" t="s">
        <v>1774</v>
      </c>
      <c r="H39" s="8" t="s">
        <v>1775</v>
      </c>
      <c r="I39" s="8" t="s">
        <v>55</v>
      </c>
      <c r="J39" s="8" t="s">
        <v>56</v>
      </c>
      <c r="K39" s="7" t="s">
        <v>5250</v>
      </c>
      <c r="L39" s="8" t="s">
        <v>52</v>
      </c>
      <c r="M39" s="8" t="s">
        <v>1776</v>
      </c>
      <c r="N39" s="8" t="s">
        <v>200</v>
      </c>
      <c r="O39" s="32">
        <v>43027.0</v>
      </c>
      <c r="P39" s="42">
        <v>1625.0</v>
      </c>
      <c r="Q39" s="32">
        <v>46679.0</v>
      </c>
      <c r="R39" s="8" t="s">
        <v>226</v>
      </c>
      <c r="S39" s="8" t="s">
        <v>175</v>
      </c>
      <c r="T39" s="8" t="s">
        <v>115</v>
      </c>
      <c r="U39" s="8" t="s">
        <v>53</v>
      </c>
    </row>
    <row r="40">
      <c r="A40" s="8" t="s">
        <v>1414</v>
      </c>
      <c r="B40" s="8" t="s">
        <v>1417</v>
      </c>
      <c r="C40" s="8" t="s">
        <v>57</v>
      </c>
      <c r="D40" s="44">
        <v>4.4459</v>
      </c>
      <c r="E40" s="8" t="s">
        <v>200</v>
      </c>
      <c r="F40" s="8" t="s">
        <v>3462</v>
      </c>
      <c r="G40" s="8" t="s">
        <v>3463</v>
      </c>
      <c r="H40" s="8" t="s">
        <v>3464</v>
      </c>
      <c r="I40" s="8" t="s">
        <v>55</v>
      </c>
      <c r="J40" s="8" t="s">
        <v>56</v>
      </c>
      <c r="K40" s="7" t="s">
        <v>5251</v>
      </c>
      <c r="L40" s="8" t="s">
        <v>52</v>
      </c>
      <c r="M40" s="8" t="s">
        <v>1840</v>
      </c>
      <c r="N40" s="8" t="s">
        <v>200</v>
      </c>
      <c r="O40" s="32">
        <v>43034.0</v>
      </c>
      <c r="P40" s="7" t="s">
        <v>5238</v>
      </c>
      <c r="Q40" s="32">
        <v>45591.0</v>
      </c>
      <c r="R40" s="8" t="s">
        <v>174</v>
      </c>
      <c r="S40" s="8" t="s">
        <v>190</v>
      </c>
      <c r="T40" s="8" t="s">
        <v>49</v>
      </c>
      <c r="U40" s="8" t="s">
        <v>53</v>
      </c>
    </row>
    <row r="41">
      <c r="A41" s="8" t="s">
        <v>345</v>
      </c>
      <c r="B41" s="8" t="s">
        <v>348</v>
      </c>
      <c r="C41" s="8" t="s">
        <v>71</v>
      </c>
      <c r="D41" s="42">
        <v>5875.0</v>
      </c>
      <c r="E41" s="8" t="s">
        <v>186</v>
      </c>
      <c r="F41" s="8" t="s">
        <v>2296</v>
      </c>
      <c r="G41" s="8" t="s">
        <v>2297</v>
      </c>
      <c r="H41" s="8" t="s">
        <v>2298</v>
      </c>
      <c r="I41" s="8" t="s">
        <v>55</v>
      </c>
      <c r="J41" s="8" t="s">
        <v>56</v>
      </c>
      <c r="K41" s="43">
        <v>5.0E8</v>
      </c>
      <c r="L41" s="8" t="s">
        <v>52</v>
      </c>
      <c r="M41" s="8" t="s">
        <v>1840</v>
      </c>
      <c r="N41" s="8" t="s">
        <v>185</v>
      </c>
      <c r="O41" s="32">
        <v>43048.0</v>
      </c>
      <c r="P41" s="42">
        <v>5875.0</v>
      </c>
      <c r="Q41" s="32">
        <v>46068.0</v>
      </c>
      <c r="R41" s="8" t="s">
        <v>262</v>
      </c>
      <c r="S41" s="8" t="s">
        <v>351</v>
      </c>
      <c r="T41" s="8" t="s">
        <v>115</v>
      </c>
      <c r="U41" s="8" t="s">
        <v>263</v>
      </c>
    </row>
    <row r="42">
      <c r="A42" s="8" t="s">
        <v>345</v>
      </c>
      <c r="B42" s="8" t="s">
        <v>348</v>
      </c>
      <c r="C42" s="8" t="s">
        <v>71</v>
      </c>
      <c r="D42" s="8" t="s">
        <v>54</v>
      </c>
      <c r="E42" s="8" t="s">
        <v>186</v>
      </c>
      <c r="F42" s="8" t="s">
        <v>2300</v>
      </c>
      <c r="G42" s="8" t="s">
        <v>2301</v>
      </c>
      <c r="H42" s="8" t="s">
        <v>2302</v>
      </c>
      <c r="I42" s="8" t="s">
        <v>55</v>
      </c>
      <c r="J42" s="8" t="s">
        <v>56</v>
      </c>
      <c r="K42" s="7" t="s">
        <v>5252</v>
      </c>
      <c r="L42" s="8" t="s">
        <v>52</v>
      </c>
      <c r="M42" s="8" t="s">
        <v>1840</v>
      </c>
      <c r="N42" s="8" t="s">
        <v>185</v>
      </c>
      <c r="O42" s="32">
        <v>43048.0</v>
      </c>
      <c r="P42" s="7" t="s">
        <v>5253</v>
      </c>
      <c r="Q42" s="32">
        <v>46068.0</v>
      </c>
      <c r="R42" s="8" t="s">
        <v>271</v>
      </c>
      <c r="S42" s="8" t="s">
        <v>351</v>
      </c>
      <c r="T42" s="8" t="s">
        <v>115</v>
      </c>
      <c r="U42" s="8" t="s">
        <v>53</v>
      </c>
    </row>
    <row r="43">
      <c r="A43" s="8" t="s">
        <v>345</v>
      </c>
      <c r="B43" s="8" t="s">
        <v>348</v>
      </c>
      <c r="C43" s="8" t="s">
        <v>71</v>
      </c>
      <c r="D43" s="8" t="s">
        <v>54</v>
      </c>
      <c r="E43" s="8" t="s">
        <v>186</v>
      </c>
      <c r="F43" s="8" t="s">
        <v>2304</v>
      </c>
      <c r="G43" s="8" t="s">
        <v>2305</v>
      </c>
      <c r="H43" s="8" t="s">
        <v>2306</v>
      </c>
      <c r="I43" s="8" t="s">
        <v>55</v>
      </c>
      <c r="J43" s="8" t="s">
        <v>56</v>
      </c>
      <c r="K43" s="7" t="s">
        <v>5252</v>
      </c>
      <c r="L43" s="8" t="s">
        <v>52</v>
      </c>
      <c r="M43" s="8" t="s">
        <v>1840</v>
      </c>
      <c r="N43" s="8" t="s">
        <v>185</v>
      </c>
      <c r="O43" s="32">
        <v>43048.0</v>
      </c>
      <c r="P43" s="7" t="s">
        <v>5253</v>
      </c>
      <c r="Q43" s="32">
        <v>46068.0</v>
      </c>
      <c r="R43" s="8" t="s">
        <v>262</v>
      </c>
      <c r="S43" s="8" t="s">
        <v>351</v>
      </c>
      <c r="T43" s="8" t="s">
        <v>115</v>
      </c>
      <c r="U43" s="8" t="s">
        <v>53</v>
      </c>
    </row>
    <row r="44">
      <c r="A44" s="8" t="s">
        <v>345</v>
      </c>
      <c r="B44" s="8" t="s">
        <v>348</v>
      </c>
      <c r="C44" s="8" t="s">
        <v>71</v>
      </c>
      <c r="D44" s="42">
        <v>5875.0</v>
      </c>
      <c r="E44" s="8" t="s">
        <v>186</v>
      </c>
      <c r="F44" s="8" t="s">
        <v>2308</v>
      </c>
      <c r="G44" s="8" t="s">
        <v>2309</v>
      </c>
      <c r="H44" s="8" t="s">
        <v>2310</v>
      </c>
      <c r="I44" s="8" t="s">
        <v>55</v>
      </c>
      <c r="J44" s="8" t="s">
        <v>56</v>
      </c>
      <c r="K44" s="43">
        <v>5.0E8</v>
      </c>
      <c r="L44" s="8" t="s">
        <v>52</v>
      </c>
      <c r="M44" s="8" t="s">
        <v>1840</v>
      </c>
      <c r="N44" s="8" t="s">
        <v>185</v>
      </c>
      <c r="O44" s="32">
        <v>43048.0</v>
      </c>
      <c r="P44" s="42">
        <v>5875.0</v>
      </c>
      <c r="Q44" s="32">
        <v>46068.0</v>
      </c>
      <c r="R44" s="8" t="s">
        <v>271</v>
      </c>
      <c r="S44" s="8" t="s">
        <v>351</v>
      </c>
      <c r="T44" s="8" t="s">
        <v>115</v>
      </c>
      <c r="U44" s="8" t="s">
        <v>263</v>
      </c>
    </row>
    <row r="45">
      <c r="A45" s="8" t="s">
        <v>1422</v>
      </c>
      <c r="B45" s="8" t="s">
        <v>1425</v>
      </c>
      <c r="C45" s="8" t="s">
        <v>57</v>
      </c>
      <c r="D45" s="8" t="s">
        <v>54</v>
      </c>
      <c r="E45" s="8" t="s">
        <v>200</v>
      </c>
      <c r="F45" s="8" t="s">
        <v>2583</v>
      </c>
      <c r="G45" s="8" t="s">
        <v>2584</v>
      </c>
      <c r="H45" s="8" t="s">
        <v>2585</v>
      </c>
      <c r="I45" s="8" t="s">
        <v>55</v>
      </c>
      <c r="J45" s="8" t="s">
        <v>56</v>
      </c>
      <c r="K45" s="7">
        <v>5.86195E7</v>
      </c>
      <c r="L45" s="8" t="s">
        <v>52</v>
      </c>
      <c r="M45" s="8" t="s">
        <v>174</v>
      </c>
      <c r="N45" s="8" t="s">
        <v>200</v>
      </c>
      <c r="O45" s="32">
        <v>43014.0</v>
      </c>
      <c r="P45" s="42">
        <v>2747.0</v>
      </c>
      <c r="Q45" s="32">
        <v>45571.0</v>
      </c>
      <c r="R45" s="8" t="s">
        <v>174</v>
      </c>
      <c r="S45" s="8" t="s">
        <v>54</v>
      </c>
      <c r="T45" s="8" t="s">
        <v>49</v>
      </c>
      <c r="U45" s="8" t="s">
        <v>53</v>
      </c>
    </row>
    <row r="46">
      <c r="A46" s="8" t="s">
        <v>181</v>
      </c>
      <c r="B46" s="8" t="s">
        <v>184</v>
      </c>
      <c r="C46" s="8" t="s">
        <v>57</v>
      </c>
      <c r="D46" s="8" t="s">
        <v>54</v>
      </c>
      <c r="E46" s="8" t="s">
        <v>186</v>
      </c>
      <c r="F46" s="8" t="s">
        <v>3161</v>
      </c>
      <c r="G46" s="8" t="s">
        <v>3162</v>
      </c>
      <c r="H46" s="8" t="s">
        <v>3163</v>
      </c>
      <c r="I46" s="8" t="s">
        <v>133</v>
      </c>
      <c r="J46" s="8" t="s">
        <v>56</v>
      </c>
      <c r="K46" s="7" t="s">
        <v>5254</v>
      </c>
      <c r="L46" s="8" t="s">
        <v>52</v>
      </c>
      <c r="M46" s="8" t="s">
        <v>1771</v>
      </c>
      <c r="N46" s="8" t="s">
        <v>185</v>
      </c>
      <c r="O46" s="32">
        <v>43082.0</v>
      </c>
      <c r="P46" s="42">
        <v>875.0</v>
      </c>
      <c r="Q46" s="32">
        <v>46369.0</v>
      </c>
      <c r="R46" s="8" t="s">
        <v>226</v>
      </c>
      <c r="S46" s="8" t="s">
        <v>190</v>
      </c>
      <c r="T46" s="8" t="s">
        <v>115</v>
      </c>
      <c r="U46" s="8" t="s">
        <v>53</v>
      </c>
    </row>
    <row r="47">
      <c r="A47" s="8" t="s">
        <v>207</v>
      </c>
      <c r="B47" s="8" t="s">
        <v>210</v>
      </c>
      <c r="C47" s="8" t="s">
        <v>71</v>
      </c>
      <c r="D47" s="8" t="s">
        <v>54</v>
      </c>
      <c r="E47" s="8" t="s">
        <v>112</v>
      </c>
      <c r="F47" s="8" t="s">
        <v>3050</v>
      </c>
      <c r="G47" s="8" t="s">
        <v>3051</v>
      </c>
      <c r="H47" s="8" t="s">
        <v>3052</v>
      </c>
      <c r="I47" s="8" t="s">
        <v>175</v>
      </c>
      <c r="J47" s="8" t="s">
        <v>70</v>
      </c>
      <c r="K47" s="7">
        <v>5.6484E7</v>
      </c>
      <c r="L47" s="8" t="s">
        <v>52</v>
      </c>
      <c r="M47" s="8" t="s">
        <v>174</v>
      </c>
      <c r="N47" s="8" t="s">
        <v>112</v>
      </c>
      <c r="O47" s="32">
        <v>43089.0</v>
      </c>
      <c r="P47" s="7" t="s">
        <v>5255</v>
      </c>
      <c r="Q47" s="32">
        <v>44903.0</v>
      </c>
      <c r="R47" s="8" t="s">
        <v>351</v>
      </c>
      <c r="S47" s="8" t="s">
        <v>54</v>
      </c>
      <c r="T47" s="8" t="s">
        <v>49</v>
      </c>
      <c r="U47" s="8" t="s">
        <v>119</v>
      </c>
    </row>
    <row r="48">
      <c r="A48" s="8" t="s">
        <v>1199</v>
      </c>
      <c r="B48" s="8" t="s">
        <v>1202</v>
      </c>
      <c r="C48" s="8" t="s">
        <v>71</v>
      </c>
      <c r="D48" s="8" t="s">
        <v>54</v>
      </c>
      <c r="E48" s="8" t="s">
        <v>1203</v>
      </c>
      <c r="F48" s="8" t="s">
        <v>2938</v>
      </c>
      <c r="G48" s="8" t="s">
        <v>2939</v>
      </c>
      <c r="H48" s="8" t="s">
        <v>2940</v>
      </c>
      <c r="I48" s="8" t="s">
        <v>55</v>
      </c>
      <c r="J48" s="8" t="s">
        <v>56</v>
      </c>
      <c r="K48" s="7">
        <v>7.30628E7</v>
      </c>
      <c r="L48" s="8" t="s">
        <v>52</v>
      </c>
      <c r="M48" s="8" t="s">
        <v>174</v>
      </c>
      <c r="N48" s="8" t="s">
        <v>1203</v>
      </c>
      <c r="O48" s="32">
        <v>43104.0</v>
      </c>
      <c r="P48" s="7">
        <v>4.0</v>
      </c>
      <c r="Q48" s="32">
        <v>44930.0</v>
      </c>
      <c r="R48" s="8" t="s">
        <v>174</v>
      </c>
      <c r="S48" s="8" t="s">
        <v>54</v>
      </c>
      <c r="T48" s="8" t="s">
        <v>49</v>
      </c>
      <c r="U48" s="8" t="s">
        <v>53</v>
      </c>
    </row>
    <row r="49">
      <c r="A49" s="8" t="s">
        <v>1167</v>
      </c>
      <c r="B49" s="8" t="s">
        <v>1170</v>
      </c>
      <c r="C49" s="8" t="s">
        <v>57</v>
      </c>
      <c r="D49" s="8" t="s">
        <v>54</v>
      </c>
      <c r="E49" s="8" t="s">
        <v>200</v>
      </c>
      <c r="F49" s="8" t="s">
        <v>1827</v>
      </c>
      <c r="G49" s="8" t="s">
        <v>1828</v>
      </c>
      <c r="H49" s="8" t="s">
        <v>1829</v>
      </c>
      <c r="I49" s="8" t="s">
        <v>55</v>
      </c>
      <c r="J49" s="8" t="s">
        <v>56</v>
      </c>
      <c r="K49" s="7" t="s">
        <v>5256</v>
      </c>
      <c r="L49" s="8" t="s">
        <v>1830</v>
      </c>
      <c r="M49" s="8" t="s">
        <v>1831</v>
      </c>
      <c r="N49" s="8" t="s">
        <v>200</v>
      </c>
      <c r="O49" s="32">
        <v>43139.0</v>
      </c>
      <c r="P49" s="42">
        <v>1625.0</v>
      </c>
      <c r="Q49" s="32">
        <v>46791.0</v>
      </c>
      <c r="R49" s="8" t="s">
        <v>226</v>
      </c>
      <c r="S49" s="8" t="s">
        <v>497</v>
      </c>
      <c r="T49" s="8" t="s">
        <v>115</v>
      </c>
      <c r="U49" s="8" t="s">
        <v>53</v>
      </c>
    </row>
    <row r="50">
      <c r="A50" s="8" t="s">
        <v>1640</v>
      </c>
      <c r="B50" s="8" t="s">
        <v>1643</v>
      </c>
      <c r="C50" s="8" t="s">
        <v>57</v>
      </c>
      <c r="D50" s="8" t="s">
        <v>54</v>
      </c>
      <c r="E50" s="8" t="s">
        <v>171</v>
      </c>
      <c r="F50" s="8" t="s">
        <v>2973</v>
      </c>
      <c r="G50" s="8" t="s">
        <v>2974</v>
      </c>
      <c r="H50" s="8" t="s">
        <v>2975</v>
      </c>
      <c r="I50" s="8" t="s">
        <v>55</v>
      </c>
      <c r="J50" s="8" t="s">
        <v>56</v>
      </c>
      <c r="K50" s="7" t="s">
        <v>5257</v>
      </c>
      <c r="L50" s="8" t="s">
        <v>52</v>
      </c>
      <c r="M50" s="8" t="s">
        <v>1771</v>
      </c>
      <c r="N50" s="8" t="s">
        <v>170</v>
      </c>
      <c r="O50" s="32">
        <v>43145.0</v>
      </c>
      <c r="P50" s="7" t="s">
        <v>5248</v>
      </c>
      <c r="Q50" s="32">
        <v>45152.0</v>
      </c>
      <c r="R50" s="8" t="s">
        <v>174</v>
      </c>
      <c r="S50" s="8" t="s">
        <v>1646</v>
      </c>
      <c r="T50" s="8" t="s">
        <v>115</v>
      </c>
      <c r="U50" s="8" t="s">
        <v>53</v>
      </c>
    </row>
    <row r="51">
      <c r="A51" s="8" t="s">
        <v>1640</v>
      </c>
      <c r="B51" s="8" t="s">
        <v>1643</v>
      </c>
      <c r="C51" s="8" t="s">
        <v>57</v>
      </c>
      <c r="D51" s="8" t="s">
        <v>54</v>
      </c>
      <c r="E51" s="8" t="s">
        <v>171</v>
      </c>
      <c r="F51" s="8" t="s">
        <v>2977</v>
      </c>
      <c r="G51" s="8" t="s">
        <v>2978</v>
      </c>
      <c r="H51" s="8" t="s">
        <v>2979</v>
      </c>
      <c r="I51" s="8" t="s">
        <v>55</v>
      </c>
      <c r="J51" s="8" t="s">
        <v>56</v>
      </c>
      <c r="K51" s="7" t="s">
        <v>5257</v>
      </c>
      <c r="L51" s="8" t="s">
        <v>52</v>
      </c>
      <c r="M51" s="8" t="s">
        <v>1771</v>
      </c>
      <c r="N51" s="8" t="s">
        <v>170</v>
      </c>
      <c r="O51" s="32">
        <v>43145.0</v>
      </c>
      <c r="P51" s="42">
        <v>1375.0</v>
      </c>
      <c r="Q51" s="32">
        <v>47709.0</v>
      </c>
      <c r="R51" s="8" t="s">
        <v>174</v>
      </c>
      <c r="S51" s="8" t="s">
        <v>1646</v>
      </c>
      <c r="T51" s="8" t="s">
        <v>115</v>
      </c>
      <c r="U51" s="8" t="s">
        <v>53</v>
      </c>
    </row>
    <row r="52">
      <c r="A52" s="8" t="s">
        <v>1640</v>
      </c>
      <c r="B52" s="8" t="s">
        <v>1643</v>
      </c>
      <c r="C52" s="8" t="s">
        <v>57</v>
      </c>
      <c r="D52" s="8" t="s">
        <v>54</v>
      </c>
      <c r="E52" s="8" t="s">
        <v>171</v>
      </c>
      <c r="F52" s="8" t="s">
        <v>2981</v>
      </c>
      <c r="G52" s="8" t="s">
        <v>2982</v>
      </c>
      <c r="H52" s="8" t="s">
        <v>2983</v>
      </c>
      <c r="I52" s="8" t="s">
        <v>55</v>
      </c>
      <c r="J52" s="8" t="s">
        <v>56</v>
      </c>
      <c r="K52" s="7" t="s">
        <v>5257</v>
      </c>
      <c r="L52" s="8" t="s">
        <v>52</v>
      </c>
      <c r="M52" s="8" t="s">
        <v>1771</v>
      </c>
      <c r="N52" s="8" t="s">
        <v>170</v>
      </c>
      <c r="O52" s="32">
        <v>43145.0</v>
      </c>
      <c r="P52" s="7" t="s">
        <v>5258</v>
      </c>
      <c r="Q52" s="32">
        <v>50631.0</v>
      </c>
      <c r="R52" s="8" t="s">
        <v>174</v>
      </c>
      <c r="S52" s="8" t="s">
        <v>1646</v>
      </c>
      <c r="T52" s="8" t="s">
        <v>115</v>
      </c>
      <c r="U52" s="8" t="s">
        <v>53</v>
      </c>
    </row>
    <row r="53">
      <c r="A53" s="8" t="s">
        <v>477</v>
      </c>
      <c r="B53" s="8" t="s">
        <v>480</v>
      </c>
      <c r="C53" s="8" t="s">
        <v>392</v>
      </c>
      <c r="D53" s="8" t="s">
        <v>54</v>
      </c>
      <c r="E53" s="8" t="s">
        <v>45</v>
      </c>
      <c r="F53" s="8" t="s">
        <v>1905</v>
      </c>
      <c r="G53" s="8" t="s">
        <v>1906</v>
      </c>
      <c r="H53" s="8" t="s">
        <v>1907</v>
      </c>
      <c r="I53" s="8" t="s">
        <v>55</v>
      </c>
      <c r="J53" s="8" t="s">
        <v>70</v>
      </c>
      <c r="K53" s="7">
        <v>6.2358E7</v>
      </c>
      <c r="L53" s="8" t="s">
        <v>459</v>
      </c>
      <c r="M53" s="8" t="s">
        <v>1771</v>
      </c>
      <c r="N53" s="8" t="s">
        <v>45</v>
      </c>
      <c r="O53" s="32">
        <v>43146.0</v>
      </c>
      <c r="P53" s="7">
        <v>0.0</v>
      </c>
      <c r="Q53" s="32">
        <v>44972.0</v>
      </c>
      <c r="R53" s="8" t="s">
        <v>226</v>
      </c>
      <c r="S53" s="8" t="s">
        <v>190</v>
      </c>
      <c r="T53" s="8" t="s">
        <v>49</v>
      </c>
      <c r="U53" s="8" t="s">
        <v>53</v>
      </c>
    </row>
    <row r="54">
      <c r="A54" s="8" t="s">
        <v>477</v>
      </c>
      <c r="B54" s="8" t="s">
        <v>480</v>
      </c>
      <c r="C54" s="8" t="s">
        <v>57</v>
      </c>
      <c r="D54" s="8" t="s">
        <v>54</v>
      </c>
      <c r="E54" s="8" t="s">
        <v>45</v>
      </c>
      <c r="F54" s="8" t="s">
        <v>1909</v>
      </c>
      <c r="G54" s="8" t="s">
        <v>1910</v>
      </c>
      <c r="H54" s="8" t="s">
        <v>1911</v>
      </c>
      <c r="I54" s="8" t="s">
        <v>55</v>
      </c>
      <c r="J54" s="8" t="s">
        <v>56</v>
      </c>
      <c r="K54" s="7" t="s">
        <v>5259</v>
      </c>
      <c r="L54" s="8" t="s">
        <v>459</v>
      </c>
      <c r="M54" s="8" t="s">
        <v>174</v>
      </c>
      <c r="N54" s="8" t="s">
        <v>45</v>
      </c>
      <c r="O54" s="32">
        <v>43157.0</v>
      </c>
      <c r="P54" s="7" t="s">
        <v>5235</v>
      </c>
      <c r="Q54" s="32">
        <v>46079.0</v>
      </c>
      <c r="R54" s="8">
        <v>207.0</v>
      </c>
      <c r="S54" s="8" t="s">
        <v>190</v>
      </c>
      <c r="T54" s="8" t="s">
        <v>49</v>
      </c>
      <c r="U54" s="8" t="s">
        <v>53</v>
      </c>
    </row>
    <row r="55">
      <c r="A55" s="8" t="s">
        <v>1076</v>
      </c>
      <c r="B55" s="8" t="s">
        <v>1079</v>
      </c>
      <c r="C55" s="8" t="s">
        <v>71</v>
      </c>
      <c r="D55" s="8" t="s">
        <v>54</v>
      </c>
      <c r="E55" s="8" t="s">
        <v>185</v>
      </c>
      <c r="F55" s="8" t="s">
        <v>2557</v>
      </c>
      <c r="G55" s="8" t="s">
        <v>2558</v>
      </c>
      <c r="H55" s="8" t="s">
        <v>2559</v>
      </c>
      <c r="I55" s="8" t="s">
        <v>885</v>
      </c>
      <c r="J55" s="8" t="s">
        <v>56</v>
      </c>
      <c r="K55" s="7" t="s">
        <v>5260</v>
      </c>
      <c r="L55" s="8" t="s">
        <v>52</v>
      </c>
      <c r="M55" s="8" t="s">
        <v>1840</v>
      </c>
      <c r="N55" s="8" t="s">
        <v>185</v>
      </c>
      <c r="O55" s="32">
        <v>43167.0</v>
      </c>
      <c r="P55" s="42">
        <v>2625.0</v>
      </c>
      <c r="Q55" s="32">
        <v>45823.0</v>
      </c>
      <c r="R55" s="8" t="s">
        <v>174</v>
      </c>
      <c r="S55" s="8" t="s">
        <v>885</v>
      </c>
      <c r="T55" s="8" t="s">
        <v>115</v>
      </c>
      <c r="U55" s="8" t="s">
        <v>53</v>
      </c>
    </row>
    <row r="56">
      <c r="A56" s="8" t="s">
        <v>917</v>
      </c>
      <c r="B56" s="8" t="s">
        <v>920</v>
      </c>
      <c r="C56" s="8" t="s">
        <v>57</v>
      </c>
      <c r="D56" s="42">
        <v>1082.0</v>
      </c>
      <c r="E56" s="8" t="s">
        <v>185</v>
      </c>
      <c r="F56" s="8" t="s">
        <v>2905</v>
      </c>
      <c r="G56" s="8" t="s">
        <v>2906</v>
      </c>
      <c r="H56" s="8" t="s">
        <v>2907</v>
      </c>
      <c r="I56" s="8" t="s">
        <v>421</v>
      </c>
      <c r="J56" s="8" t="s">
        <v>56</v>
      </c>
      <c r="K56" s="7" t="s">
        <v>5261</v>
      </c>
      <c r="L56" s="8" t="s">
        <v>52</v>
      </c>
      <c r="M56" s="8" t="s">
        <v>1771</v>
      </c>
      <c r="N56" s="8" t="s">
        <v>185</v>
      </c>
      <c r="O56" s="32">
        <v>43165.0</v>
      </c>
      <c r="P56" s="7">
        <v>1.0</v>
      </c>
      <c r="Q56" s="32">
        <v>46087.0</v>
      </c>
      <c r="R56" s="8" t="s">
        <v>174</v>
      </c>
      <c r="S56" s="8" t="s">
        <v>190</v>
      </c>
      <c r="T56" s="8" t="s">
        <v>115</v>
      </c>
      <c r="U56" s="8" t="s">
        <v>53</v>
      </c>
    </row>
    <row r="57">
      <c r="A57" s="8" t="s">
        <v>1059</v>
      </c>
      <c r="B57" s="8" t="s">
        <v>1046</v>
      </c>
      <c r="C57" s="8" t="s">
        <v>71</v>
      </c>
      <c r="D57" s="7">
        <v>6.0</v>
      </c>
      <c r="E57" s="8" t="s">
        <v>1047</v>
      </c>
      <c r="F57" s="8" t="s">
        <v>3363</v>
      </c>
      <c r="G57" s="8" t="s">
        <v>3364</v>
      </c>
      <c r="H57" s="8" t="s">
        <v>3365</v>
      </c>
      <c r="I57" s="8" t="s">
        <v>55</v>
      </c>
      <c r="J57" s="8" t="s">
        <v>56</v>
      </c>
      <c r="K57" s="7" t="s">
        <v>5223</v>
      </c>
      <c r="L57" s="8" t="s">
        <v>52</v>
      </c>
      <c r="M57" s="8" t="s">
        <v>1776</v>
      </c>
      <c r="N57" s="8" t="s">
        <v>367</v>
      </c>
      <c r="O57" s="32">
        <v>43173.0</v>
      </c>
      <c r="P57" s="7">
        <v>6.0</v>
      </c>
      <c r="Q57" s="32">
        <v>45397.0</v>
      </c>
      <c r="R57" s="8" t="s">
        <v>262</v>
      </c>
      <c r="S57" s="8" t="s">
        <v>297</v>
      </c>
      <c r="T57" s="8" t="s">
        <v>115</v>
      </c>
      <c r="U57" s="8" t="s">
        <v>263</v>
      </c>
    </row>
    <row r="58">
      <c r="A58" s="8" t="s">
        <v>1059</v>
      </c>
      <c r="B58" s="8" t="s">
        <v>1046</v>
      </c>
      <c r="C58" s="8" t="s">
        <v>71</v>
      </c>
      <c r="D58" s="7" t="s">
        <v>5262</v>
      </c>
      <c r="E58" s="8" t="s">
        <v>1047</v>
      </c>
      <c r="F58" s="8" t="s">
        <v>3367</v>
      </c>
      <c r="G58" s="8" t="s">
        <v>3368</v>
      </c>
      <c r="H58" s="8" t="s">
        <v>3369</v>
      </c>
      <c r="I58" s="8" t="s">
        <v>55</v>
      </c>
      <c r="J58" s="8" t="s">
        <v>56</v>
      </c>
      <c r="K58" s="7" t="s">
        <v>5223</v>
      </c>
      <c r="L58" s="8" t="s">
        <v>52</v>
      </c>
      <c r="M58" s="8" t="s">
        <v>1776</v>
      </c>
      <c r="N58" s="8" t="s">
        <v>367</v>
      </c>
      <c r="O58" s="32">
        <v>43173.0</v>
      </c>
      <c r="P58" s="7" t="s">
        <v>5262</v>
      </c>
      <c r="Q58" s="32">
        <v>46813.0</v>
      </c>
      <c r="R58" s="8" t="s">
        <v>262</v>
      </c>
      <c r="S58" s="8" t="s">
        <v>297</v>
      </c>
      <c r="T58" s="8" t="s">
        <v>115</v>
      </c>
      <c r="U58" s="8" t="s">
        <v>263</v>
      </c>
    </row>
    <row r="59">
      <c r="A59" s="8" t="s">
        <v>1059</v>
      </c>
      <c r="B59" s="8" t="s">
        <v>1046</v>
      </c>
      <c r="C59" s="8" t="s">
        <v>71</v>
      </c>
      <c r="D59" s="7">
        <v>6.0</v>
      </c>
      <c r="E59" s="8" t="s">
        <v>1047</v>
      </c>
      <c r="F59" s="8" t="s">
        <v>3371</v>
      </c>
      <c r="G59" s="8" t="s">
        <v>3372</v>
      </c>
      <c r="H59" s="8" t="s">
        <v>3373</v>
      </c>
      <c r="I59" s="8" t="s">
        <v>55</v>
      </c>
      <c r="J59" s="8" t="s">
        <v>56</v>
      </c>
      <c r="K59" s="7" t="s">
        <v>5223</v>
      </c>
      <c r="L59" s="8" t="s">
        <v>52</v>
      </c>
      <c r="M59" s="8" t="s">
        <v>1776</v>
      </c>
      <c r="N59" s="8" t="s">
        <v>367</v>
      </c>
      <c r="O59" s="32">
        <v>43173.0</v>
      </c>
      <c r="P59" s="7">
        <v>6.0</v>
      </c>
      <c r="Q59" s="32">
        <v>45397.0</v>
      </c>
      <c r="R59" s="8" t="s">
        <v>271</v>
      </c>
      <c r="S59" s="8" t="s">
        <v>297</v>
      </c>
      <c r="T59" s="8" t="s">
        <v>115</v>
      </c>
      <c r="U59" s="8" t="s">
        <v>263</v>
      </c>
    </row>
    <row r="60">
      <c r="A60" s="8" t="s">
        <v>1059</v>
      </c>
      <c r="B60" s="8" t="s">
        <v>1046</v>
      </c>
      <c r="C60" s="8" t="s">
        <v>71</v>
      </c>
      <c r="D60" s="7" t="s">
        <v>5262</v>
      </c>
      <c r="E60" s="8" t="s">
        <v>1047</v>
      </c>
      <c r="F60" s="8" t="s">
        <v>3375</v>
      </c>
      <c r="G60" s="8" t="s">
        <v>3376</v>
      </c>
      <c r="H60" s="8" t="s">
        <v>3377</v>
      </c>
      <c r="I60" s="8" t="s">
        <v>55</v>
      </c>
      <c r="J60" s="8" t="s">
        <v>56</v>
      </c>
      <c r="K60" s="7" t="s">
        <v>5223</v>
      </c>
      <c r="L60" s="8" t="s">
        <v>52</v>
      </c>
      <c r="M60" s="8" t="s">
        <v>1776</v>
      </c>
      <c r="N60" s="8" t="s">
        <v>367</v>
      </c>
      <c r="O60" s="32">
        <v>43173.0</v>
      </c>
      <c r="P60" s="7" t="s">
        <v>5262</v>
      </c>
      <c r="Q60" s="32">
        <v>46813.0</v>
      </c>
      <c r="R60" s="8" t="s">
        <v>271</v>
      </c>
      <c r="S60" s="8" t="s">
        <v>297</v>
      </c>
      <c r="T60" s="8" t="s">
        <v>115</v>
      </c>
      <c r="U60" s="8" t="s">
        <v>263</v>
      </c>
    </row>
    <row r="61">
      <c r="A61" s="8" t="s">
        <v>1043</v>
      </c>
      <c r="B61" s="8" t="s">
        <v>1046</v>
      </c>
      <c r="C61" s="8" t="s">
        <v>71</v>
      </c>
      <c r="D61" s="7" t="s">
        <v>5263</v>
      </c>
      <c r="E61" s="8" t="s">
        <v>1047</v>
      </c>
      <c r="F61" s="8" t="s">
        <v>3331</v>
      </c>
      <c r="G61" s="8" t="s">
        <v>3332</v>
      </c>
      <c r="H61" s="8" t="s">
        <v>3333</v>
      </c>
      <c r="I61" s="8" t="s">
        <v>55</v>
      </c>
      <c r="J61" s="8" t="s">
        <v>56</v>
      </c>
      <c r="K61" s="7" t="s">
        <v>5264</v>
      </c>
      <c r="L61" s="8" t="s">
        <v>52</v>
      </c>
      <c r="M61" s="8" t="s">
        <v>1776</v>
      </c>
      <c r="N61" s="8" t="s">
        <v>367</v>
      </c>
      <c r="O61" s="32">
        <v>43173.0</v>
      </c>
      <c r="P61" s="7" t="s">
        <v>5263</v>
      </c>
      <c r="Q61" s="32">
        <v>45717.0</v>
      </c>
      <c r="R61" s="8" t="s">
        <v>262</v>
      </c>
      <c r="S61" s="8" t="s">
        <v>297</v>
      </c>
      <c r="T61" s="8" t="s">
        <v>115</v>
      </c>
      <c r="U61" s="8" t="s">
        <v>53</v>
      </c>
    </row>
    <row r="62">
      <c r="A62" s="8" t="s">
        <v>1043</v>
      </c>
      <c r="B62" s="8" t="s">
        <v>1046</v>
      </c>
      <c r="C62" s="8" t="s">
        <v>71</v>
      </c>
      <c r="D62" s="7" t="s">
        <v>5263</v>
      </c>
      <c r="E62" s="8" t="s">
        <v>1047</v>
      </c>
      <c r="F62" s="8" t="s">
        <v>3335</v>
      </c>
      <c r="G62" s="8" t="s">
        <v>3336</v>
      </c>
      <c r="H62" s="8" t="s">
        <v>3337</v>
      </c>
      <c r="I62" s="8" t="s">
        <v>55</v>
      </c>
      <c r="J62" s="8" t="s">
        <v>56</v>
      </c>
      <c r="K62" s="7" t="s">
        <v>5264</v>
      </c>
      <c r="L62" s="8" t="s">
        <v>52</v>
      </c>
      <c r="M62" s="8" t="s">
        <v>1776</v>
      </c>
      <c r="N62" s="8" t="s">
        <v>367</v>
      </c>
      <c r="O62" s="32">
        <v>43173.0</v>
      </c>
      <c r="P62" s="7" t="s">
        <v>5263</v>
      </c>
      <c r="Q62" s="32">
        <v>45717.0</v>
      </c>
      <c r="R62" s="8" t="s">
        <v>271</v>
      </c>
      <c r="S62" s="8" t="s">
        <v>297</v>
      </c>
      <c r="T62" s="8" t="s">
        <v>115</v>
      </c>
      <c r="U62" s="8" t="s">
        <v>53</v>
      </c>
    </row>
    <row r="63">
      <c r="A63" s="8" t="s">
        <v>416</v>
      </c>
      <c r="B63" s="8" t="s">
        <v>419</v>
      </c>
      <c r="C63" s="8" t="s">
        <v>57</v>
      </c>
      <c r="D63" s="8" t="s">
        <v>54</v>
      </c>
      <c r="E63" s="8" t="s">
        <v>367</v>
      </c>
      <c r="F63" s="8" t="s">
        <v>2851</v>
      </c>
      <c r="G63" s="8" t="s">
        <v>2852</v>
      </c>
      <c r="H63" s="8" t="s">
        <v>2853</v>
      </c>
      <c r="I63" s="8" t="s">
        <v>421</v>
      </c>
      <c r="J63" s="8" t="s">
        <v>56</v>
      </c>
      <c r="K63" s="7" t="s">
        <v>5265</v>
      </c>
      <c r="L63" s="8" t="s">
        <v>52</v>
      </c>
      <c r="M63" s="8" t="s">
        <v>1776</v>
      </c>
      <c r="N63" s="8" t="s">
        <v>367</v>
      </c>
      <c r="O63" s="32">
        <v>43178.0</v>
      </c>
      <c r="P63" s="42">
        <v>1125.0</v>
      </c>
      <c r="Q63" s="32">
        <v>46100.0</v>
      </c>
      <c r="R63" s="8" t="s">
        <v>174</v>
      </c>
      <c r="S63" s="8" t="s">
        <v>175</v>
      </c>
      <c r="T63" s="8" t="s">
        <v>115</v>
      </c>
      <c r="U63" s="8" t="s">
        <v>53</v>
      </c>
    </row>
    <row r="64">
      <c r="A64" s="8" t="s">
        <v>1519</v>
      </c>
      <c r="B64" s="8" t="s">
        <v>1522</v>
      </c>
      <c r="C64" s="8" t="s">
        <v>57</v>
      </c>
      <c r="D64" s="7" t="s">
        <v>5266</v>
      </c>
      <c r="E64" s="8" t="s">
        <v>185</v>
      </c>
      <c r="F64" s="8" t="s">
        <v>3076</v>
      </c>
      <c r="G64" s="8" t="s">
        <v>3077</v>
      </c>
      <c r="H64" s="8" t="s">
        <v>3078</v>
      </c>
      <c r="I64" s="8" t="s">
        <v>117</v>
      </c>
      <c r="J64" s="8" t="s">
        <v>56</v>
      </c>
      <c r="K64" s="7" t="s">
        <v>5267</v>
      </c>
      <c r="L64" s="8" t="s">
        <v>52</v>
      </c>
      <c r="M64" s="8" t="s">
        <v>1776</v>
      </c>
      <c r="N64" s="8" t="s">
        <v>185</v>
      </c>
      <c r="O64" s="32">
        <v>43180.0</v>
      </c>
      <c r="P64" s="7" t="s">
        <v>5248</v>
      </c>
      <c r="Q64" s="32">
        <v>45006.0</v>
      </c>
      <c r="R64" s="8" t="s">
        <v>3079</v>
      </c>
      <c r="S64" s="8" t="s">
        <v>484</v>
      </c>
      <c r="T64" s="8" t="s">
        <v>115</v>
      </c>
      <c r="U64" s="8" t="s">
        <v>53</v>
      </c>
    </row>
    <row r="65">
      <c r="A65" s="8" t="s">
        <v>1519</v>
      </c>
      <c r="B65" s="8" t="s">
        <v>1522</v>
      </c>
      <c r="C65" s="8" t="s">
        <v>57</v>
      </c>
      <c r="D65" s="8" t="s">
        <v>54</v>
      </c>
      <c r="E65" s="8" t="s">
        <v>185</v>
      </c>
      <c r="F65" s="8" t="s">
        <v>3081</v>
      </c>
      <c r="G65" s="8" t="s">
        <v>3082</v>
      </c>
      <c r="H65" s="8" t="s">
        <v>3083</v>
      </c>
      <c r="I65" s="8" t="s">
        <v>117</v>
      </c>
      <c r="J65" s="8" t="s">
        <v>56</v>
      </c>
      <c r="K65" s="7" t="s">
        <v>5268</v>
      </c>
      <c r="L65" s="8" t="s">
        <v>52</v>
      </c>
      <c r="M65" s="8" t="s">
        <v>2895</v>
      </c>
      <c r="N65" s="8" t="s">
        <v>185</v>
      </c>
      <c r="O65" s="32">
        <v>43180.0</v>
      </c>
      <c r="P65" s="42">
        <v>1875.0</v>
      </c>
      <c r="Q65" s="32">
        <v>50485.0</v>
      </c>
      <c r="R65" s="8" t="s">
        <v>3084</v>
      </c>
      <c r="S65" s="8" t="s">
        <v>484</v>
      </c>
      <c r="T65" s="8" t="s">
        <v>115</v>
      </c>
      <c r="U65" s="8" t="s">
        <v>53</v>
      </c>
    </row>
    <row r="66">
      <c r="A66" s="8" t="s">
        <v>1519</v>
      </c>
      <c r="B66" s="8" t="s">
        <v>1522</v>
      </c>
      <c r="C66" s="8" t="s">
        <v>57</v>
      </c>
      <c r="D66" s="8" t="s">
        <v>54</v>
      </c>
      <c r="E66" s="8" t="s">
        <v>185</v>
      </c>
      <c r="F66" s="8" t="s">
        <v>3086</v>
      </c>
      <c r="G66" s="8" t="s">
        <v>3087</v>
      </c>
      <c r="H66" s="8" t="s">
        <v>3088</v>
      </c>
      <c r="I66" s="8" t="s">
        <v>117</v>
      </c>
      <c r="J66" s="8" t="s">
        <v>56</v>
      </c>
      <c r="K66" s="7" t="s">
        <v>5269</v>
      </c>
      <c r="L66" s="8" t="s">
        <v>52</v>
      </c>
      <c r="M66" s="8" t="s">
        <v>2895</v>
      </c>
      <c r="N66" s="8" t="s">
        <v>185</v>
      </c>
      <c r="O66" s="32">
        <v>43180.0</v>
      </c>
      <c r="P66" s="42">
        <v>1375.0</v>
      </c>
      <c r="Q66" s="32">
        <v>47563.0</v>
      </c>
      <c r="R66" s="8" t="s">
        <v>3089</v>
      </c>
      <c r="S66" s="8" t="s">
        <v>484</v>
      </c>
      <c r="T66" s="8" t="s">
        <v>115</v>
      </c>
      <c r="U66" s="8" t="s">
        <v>53</v>
      </c>
    </row>
    <row r="67">
      <c r="A67" s="8" t="s">
        <v>1519</v>
      </c>
      <c r="B67" s="8" t="s">
        <v>1522</v>
      </c>
      <c r="C67" s="8" t="s">
        <v>57</v>
      </c>
      <c r="D67" s="7" t="s">
        <v>5270</v>
      </c>
      <c r="E67" s="8" t="s">
        <v>185</v>
      </c>
      <c r="F67" s="8" t="s">
        <v>3091</v>
      </c>
      <c r="G67" s="8" t="s">
        <v>3092</v>
      </c>
      <c r="H67" s="8" t="s">
        <v>3093</v>
      </c>
      <c r="I67" s="8" t="s">
        <v>117</v>
      </c>
      <c r="J67" s="8" t="s">
        <v>56</v>
      </c>
      <c r="K67" s="7" t="s">
        <v>5271</v>
      </c>
      <c r="L67" s="8" t="s">
        <v>52</v>
      </c>
      <c r="M67" s="8" t="s">
        <v>1776</v>
      </c>
      <c r="N67" s="8" t="s">
        <v>185</v>
      </c>
      <c r="O67" s="32">
        <v>43180.0</v>
      </c>
      <c r="P67" s="7">
        <v>1.0</v>
      </c>
      <c r="Q67" s="32">
        <v>46102.0</v>
      </c>
      <c r="R67" s="8" t="s">
        <v>3094</v>
      </c>
      <c r="S67" s="8" t="s">
        <v>484</v>
      </c>
      <c r="T67" s="8" t="s">
        <v>115</v>
      </c>
      <c r="U67" s="8" t="s">
        <v>53</v>
      </c>
    </row>
    <row r="68">
      <c r="A68" s="8" t="s">
        <v>1487</v>
      </c>
      <c r="B68" s="8" t="s">
        <v>1490</v>
      </c>
      <c r="C68" s="8" t="s">
        <v>174</v>
      </c>
      <c r="D68" s="8" t="s">
        <v>54</v>
      </c>
      <c r="E68" s="8" t="s">
        <v>185</v>
      </c>
      <c r="F68" s="8" t="s">
        <v>2255</v>
      </c>
      <c r="G68" s="8" t="s">
        <v>2256</v>
      </c>
      <c r="H68" s="8" t="s">
        <v>2257</v>
      </c>
      <c r="I68" s="8" t="s">
        <v>117</v>
      </c>
      <c r="J68" s="8" t="s">
        <v>676</v>
      </c>
      <c r="K68" s="43">
        <v>5.0E8</v>
      </c>
      <c r="L68" s="8" t="s">
        <v>52</v>
      </c>
      <c r="M68" s="8" t="s">
        <v>2258</v>
      </c>
      <c r="N68" s="8" t="s">
        <v>185</v>
      </c>
      <c r="O68" s="32">
        <v>43186.0</v>
      </c>
      <c r="P68" s="7">
        <v>0.0</v>
      </c>
      <c r="Q68" s="32">
        <v>45378.0</v>
      </c>
      <c r="R68" s="8" t="s">
        <v>174</v>
      </c>
      <c r="S68" s="8" t="s">
        <v>54</v>
      </c>
      <c r="T68" s="8" t="s">
        <v>189</v>
      </c>
      <c r="U68" s="8" t="s">
        <v>263</v>
      </c>
    </row>
    <row r="69">
      <c r="A69" s="8" t="s">
        <v>1262</v>
      </c>
      <c r="B69" s="8" t="s">
        <v>1265</v>
      </c>
      <c r="C69" s="8" t="s">
        <v>71</v>
      </c>
      <c r="D69" s="8" t="s">
        <v>54</v>
      </c>
      <c r="E69" s="8" t="s">
        <v>408</v>
      </c>
      <c r="F69" s="8" t="s">
        <v>2590</v>
      </c>
      <c r="G69" s="8" t="s">
        <v>2591</v>
      </c>
      <c r="H69" s="8" t="s">
        <v>2592</v>
      </c>
      <c r="I69" s="8" t="s">
        <v>55</v>
      </c>
      <c r="J69" s="8" t="s">
        <v>56</v>
      </c>
      <c r="K69" s="7" t="s">
        <v>5272</v>
      </c>
      <c r="L69" s="8" t="s">
        <v>52</v>
      </c>
      <c r="M69" s="8" t="s">
        <v>174</v>
      </c>
      <c r="N69" s="8" t="s">
        <v>408</v>
      </c>
      <c r="O69" s="32">
        <v>43194.0</v>
      </c>
      <c r="P69" s="7" t="s">
        <v>5273</v>
      </c>
      <c r="Q69" s="32">
        <v>45751.0</v>
      </c>
      <c r="R69" s="8" t="s">
        <v>174</v>
      </c>
      <c r="S69" s="8" t="s">
        <v>54</v>
      </c>
      <c r="T69" s="8" t="s">
        <v>49</v>
      </c>
      <c r="U69" s="8" t="s">
        <v>53</v>
      </c>
    </row>
    <row r="70">
      <c r="A70" s="8" t="s">
        <v>1725</v>
      </c>
      <c r="B70" s="8" t="s">
        <v>1728</v>
      </c>
      <c r="C70" s="8" t="s">
        <v>71</v>
      </c>
      <c r="D70" s="42">
        <v>2265.0</v>
      </c>
      <c r="E70" s="8" t="s">
        <v>200</v>
      </c>
      <c r="F70" s="8" t="s">
        <v>2934</v>
      </c>
      <c r="G70" s="8" t="s">
        <v>2935</v>
      </c>
      <c r="H70" s="8" t="s">
        <v>2936</v>
      </c>
      <c r="I70" s="8" t="s">
        <v>55</v>
      </c>
      <c r="J70" s="8" t="s">
        <v>56</v>
      </c>
      <c r="K70" s="7" t="s">
        <v>5274</v>
      </c>
      <c r="L70" s="8" t="s">
        <v>52</v>
      </c>
      <c r="M70" s="8" t="s">
        <v>1840</v>
      </c>
      <c r="N70" s="8" t="s">
        <v>200</v>
      </c>
      <c r="O70" s="32">
        <v>43223.0</v>
      </c>
      <c r="P70" s="42">
        <v>2625.0</v>
      </c>
      <c r="Q70" s="32">
        <v>45412.0</v>
      </c>
      <c r="R70" s="8" t="s">
        <v>174</v>
      </c>
      <c r="S70" s="8" t="s">
        <v>54</v>
      </c>
      <c r="T70" s="8" t="s">
        <v>115</v>
      </c>
      <c r="U70" s="8" t="s">
        <v>53</v>
      </c>
    </row>
    <row r="71">
      <c r="A71" s="8" t="s">
        <v>1059</v>
      </c>
      <c r="B71" s="8" t="s">
        <v>1046</v>
      </c>
      <c r="C71" s="8" t="s">
        <v>71</v>
      </c>
      <c r="D71" s="8" t="s">
        <v>54</v>
      </c>
      <c r="E71" s="8" t="s">
        <v>1047</v>
      </c>
      <c r="F71" s="8" t="s">
        <v>3379</v>
      </c>
      <c r="G71" s="8" t="s">
        <v>3380</v>
      </c>
      <c r="H71" s="8" t="s">
        <v>3381</v>
      </c>
      <c r="I71" s="8" t="s">
        <v>55</v>
      </c>
      <c r="J71" s="8" t="s">
        <v>56</v>
      </c>
      <c r="K71" s="7" t="s">
        <v>5223</v>
      </c>
      <c r="L71" s="8" t="s">
        <v>52</v>
      </c>
      <c r="M71" s="8" t="s">
        <v>1776</v>
      </c>
      <c r="N71" s="8" t="s">
        <v>367</v>
      </c>
      <c r="O71" s="32">
        <v>43237.0</v>
      </c>
      <c r="P71" s="7">
        <v>6.0</v>
      </c>
      <c r="Q71" s="32">
        <v>45397.0</v>
      </c>
      <c r="R71" s="8" t="s">
        <v>174</v>
      </c>
      <c r="S71" s="8" t="s">
        <v>297</v>
      </c>
      <c r="T71" s="8" t="s">
        <v>115</v>
      </c>
      <c r="U71" s="8" t="s">
        <v>263</v>
      </c>
    </row>
    <row r="72">
      <c r="A72" s="8" t="s">
        <v>1059</v>
      </c>
      <c r="B72" s="8" t="s">
        <v>1046</v>
      </c>
      <c r="C72" s="8" t="s">
        <v>71</v>
      </c>
      <c r="D72" s="8" t="s">
        <v>54</v>
      </c>
      <c r="E72" s="8" t="s">
        <v>1047</v>
      </c>
      <c r="F72" s="8" t="s">
        <v>3383</v>
      </c>
      <c r="G72" s="8" t="s">
        <v>3384</v>
      </c>
      <c r="H72" s="8" t="s">
        <v>3385</v>
      </c>
      <c r="I72" s="8" t="s">
        <v>55</v>
      </c>
      <c r="J72" s="8" t="s">
        <v>56</v>
      </c>
      <c r="K72" s="7" t="s">
        <v>5223</v>
      </c>
      <c r="L72" s="8" t="s">
        <v>52</v>
      </c>
      <c r="M72" s="8" t="s">
        <v>1776</v>
      </c>
      <c r="N72" s="8" t="s">
        <v>367</v>
      </c>
      <c r="O72" s="32">
        <v>43237.0</v>
      </c>
      <c r="P72" s="7" t="s">
        <v>5262</v>
      </c>
      <c r="Q72" s="32">
        <v>46813.0</v>
      </c>
      <c r="R72" s="8" t="s">
        <v>174</v>
      </c>
      <c r="S72" s="8" t="s">
        <v>297</v>
      </c>
      <c r="T72" s="8" t="s">
        <v>115</v>
      </c>
      <c r="U72" s="8" t="s">
        <v>263</v>
      </c>
    </row>
    <row r="73">
      <c r="A73" s="8" t="s">
        <v>1043</v>
      </c>
      <c r="B73" s="8" t="s">
        <v>1046</v>
      </c>
      <c r="C73" s="8" t="s">
        <v>71</v>
      </c>
      <c r="D73" s="8" t="s">
        <v>54</v>
      </c>
      <c r="E73" s="8" t="s">
        <v>1047</v>
      </c>
      <c r="F73" s="8" t="s">
        <v>3339</v>
      </c>
      <c r="G73" s="8" t="s">
        <v>3340</v>
      </c>
      <c r="H73" s="8" t="s">
        <v>3341</v>
      </c>
      <c r="I73" s="8" t="s">
        <v>55</v>
      </c>
      <c r="J73" s="8" t="s">
        <v>56</v>
      </c>
      <c r="K73" s="7" t="s">
        <v>5275</v>
      </c>
      <c r="L73" s="8" t="s">
        <v>52</v>
      </c>
      <c r="M73" s="8" t="s">
        <v>1776</v>
      </c>
      <c r="N73" s="8" t="s">
        <v>367</v>
      </c>
      <c r="O73" s="32">
        <v>43237.0</v>
      </c>
      <c r="P73" s="7" t="s">
        <v>5263</v>
      </c>
      <c r="Q73" s="32">
        <v>45717.0</v>
      </c>
      <c r="R73" s="8" t="s">
        <v>174</v>
      </c>
      <c r="S73" s="8" t="s">
        <v>297</v>
      </c>
      <c r="T73" s="8" t="s">
        <v>115</v>
      </c>
      <c r="U73" s="8" t="s">
        <v>53</v>
      </c>
    </row>
    <row r="74">
      <c r="A74" s="8" t="s">
        <v>933</v>
      </c>
      <c r="B74" s="8" t="s">
        <v>936</v>
      </c>
      <c r="C74" s="8" t="s">
        <v>71</v>
      </c>
      <c r="D74" s="8" t="s">
        <v>54</v>
      </c>
      <c r="E74" s="8" t="s">
        <v>45</v>
      </c>
      <c r="F74" s="8" t="s">
        <v>2238</v>
      </c>
      <c r="G74" s="8" t="s">
        <v>174</v>
      </c>
      <c r="H74" s="8" t="s">
        <v>2239</v>
      </c>
      <c r="I74" s="8" t="s">
        <v>55</v>
      </c>
      <c r="J74" s="8" t="s">
        <v>70</v>
      </c>
      <c r="K74" s="7">
        <v>7.18572E7</v>
      </c>
      <c r="L74" s="8" t="s">
        <v>52</v>
      </c>
      <c r="M74" s="8" t="s">
        <v>174</v>
      </c>
      <c r="N74" s="8" t="s">
        <v>45</v>
      </c>
      <c r="O74" s="32">
        <v>43234.0</v>
      </c>
      <c r="P74" s="7">
        <v>0.0</v>
      </c>
      <c r="Q74" s="32">
        <v>45060.0</v>
      </c>
      <c r="R74" s="8" t="s">
        <v>76</v>
      </c>
      <c r="S74" s="8" t="s">
        <v>54</v>
      </c>
      <c r="T74" s="8" t="s">
        <v>49</v>
      </c>
      <c r="U74" s="8" t="s">
        <v>53</v>
      </c>
    </row>
    <row r="75">
      <c r="A75" s="8" t="s">
        <v>933</v>
      </c>
      <c r="B75" s="8" t="s">
        <v>936</v>
      </c>
      <c r="C75" s="8" t="s">
        <v>71</v>
      </c>
      <c r="D75" s="8" t="s">
        <v>54</v>
      </c>
      <c r="E75" s="8" t="s">
        <v>45</v>
      </c>
      <c r="F75" s="8" t="s">
        <v>2241</v>
      </c>
      <c r="G75" s="8" t="s">
        <v>174</v>
      </c>
      <c r="H75" s="8" t="s">
        <v>2242</v>
      </c>
      <c r="I75" s="8" t="s">
        <v>55</v>
      </c>
      <c r="J75" s="8" t="s">
        <v>70</v>
      </c>
      <c r="K75" s="7">
        <v>7.18572E7</v>
      </c>
      <c r="L75" s="8" t="s">
        <v>52</v>
      </c>
      <c r="M75" s="8" t="s">
        <v>174</v>
      </c>
      <c r="N75" s="8" t="s">
        <v>45</v>
      </c>
      <c r="O75" s="32">
        <v>43234.0</v>
      </c>
      <c r="P75" s="7">
        <v>0.0</v>
      </c>
      <c r="Q75" s="32">
        <v>45426.0</v>
      </c>
      <c r="R75" s="8" t="s">
        <v>158</v>
      </c>
      <c r="S75" s="8" t="s">
        <v>54</v>
      </c>
      <c r="T75" s="8" t="s">
        <v>49</v>
      </c>
      <c r="U75" s="8" t="s">
        <v>53</v>
      </c>
    </row>
    <row r="76">
      <c r="A76" s="8" t="s">
        <v>933</v>
      </c>
      <c r="B76" s="8" t="s">
        <v>936</v>
      </c>
      <c r="C76" s="8" t="s">
        <v>71</v>
      </c>
      <c r="D76" s="8" t="s">
        <v>54</v>
      </c>
      <c r="E76" s="8" t="s">
        <v>45</v>
      </c>
      <c r="F76" s="8" t="s">
        <v>2244</v>
      </c>
      <c r="G76" s="8" t="s">
        <v>174</v>
      </c>
      <c r="H76" s="8" t="s">
        <v>2245</v>
      </c>
      <c r="I76" s="8" t="s">
        <v>55</v>
      </c>
      <c r="J76" s="8" t="s">
        <v>70</v>
      </c>
      <c r="K76" s="7">
        <v>7.18572E7</v>
      </c>
      <c r="L76" s="8" t="s">
        <v>52</v>
      </c>
      <c r="M76" s="8" t="s">
        <v>174</v>
      </c>
      <c r="N76" s="8" t="s">
        <v>45</v>
      </c>
      <c r="O76" s="32">
        <v>43234.0</v>
      </c>
      <c r="P76" s="7">
        <v>0.0</v>
      </c>
      <c r="Q76" s="32">
        <v>45791.0</v>
      </c>
      <c r="R76" s="8" t="s">
        <v>69</v>
      </c>
      <c r="S76" s="8" t="s">
        <v>54</v>
      </c>
      <c r="T76" s="8" t="s">
        <v>49</v>
      </c>
      <c r="U76" s="8" t="s">
        <v>53</v>
      </c>
    </row>
    <row r="77">
      <c r="A77" s="8" t="s">
        <v>1604</v>
      </c>
      <c r="B77" s="8" t="s">
        <v>1607</v>
      </c>
      <c r="C77" s="8" t="s">
        <v>71</v>
      </c>
      <c r="D77" s="8" t="s">
        <v>54</v>
      </c>
      <c r="E77" s="8" t="s">
        <v>45</v>
      </c>
      <c r="F77" s="8" t="s">
        <v>3152</v>
      </c>
      <c r="G77" s="8" t="s">
        <v>174</v>
      </c>
      <c r="H77" s="8" t="s">
        <v>3153</v>
      </c>
      <c r="I77" s="8" t="s">
        <v>55</v>
      </c>
      <c r="J77" s="8" t="s">
        <v>70</v>
      </c>
      <c r="K77" s="7" t="s">
        <v>5276</v>
      </c>
      <c r="L77" s="8" t="s">
        <v>52</v>
      </c>
      <c r="M77" s="8" t="s">
        <v>174</v>
      </c>
      <c r="N77" s="8" t="s">
        <v>45</v>
      </c>
      <c r="O77" s="32">
        <v>43112.0</v>
      </c>
      <c r="P77" s="7">
        <v>0.0</v>
      </c>
      <c r="Q77" s="32">
        <v>44938.0</v>
      </c>
      <c r="R77" s="8" t="s">
        <v>76</v>
      </c>
      <c r="S77" s="8" t="s">
        <v>54</v>
      </c>
      <c r="T77" s="8" t="s">
        <v>49</v>
      </c>
      <c r="U77" s="8" t="s">
        <v>53</v>
      </c>
    </row>
    <row r="78">
      <c r="A78" s="8" t="s">
        <v>1604</v>
      </c>
      <c r="B78" s="8" t="s">
        <v>1607</v>
      </c>
      <c r="C78" s="8" t="s">
        <v>71</v>
      </c>
      <c r="D78" s="8" t="s">
        <v>54</v>
      </c>
      <c r="E78" s="8" t="s">
        <v>45</v>
      </c>
      <c r="F78" s="8" t="s">
        <v>3155</v>
      </c>
      <c r="G78" s="8" t="s">
        <v>174</v>
      </c>
      <c r="H78" s="8" t="s">
        <v>3156</v>
      </c>
      <c r="I78" s="8" t="s">
        <v>55</v>
      </c>
      <c r="J78" s="8" t="s">
        <v>70</v>
      </c>
      <c r="K78" s="7" t="s">
        <v>5276</v>
      </c>
      <c r="L78" s="8" t="s">
        <v>52</v>
      </c>
      <c r="M78" s="8" t="s">
        <v>174</v>
      </c>
      <c r="N78" s="8" t="s">
        <v>45</v>
      </c>
      <c r="O78" s="32">
        <v>43112.0</v>
      </c>
      <c r="P78" s="7">
        <v>0.0</v>
      </c>
      <c r="Q78" s="32">
        <v>45669.0</v>
      </c>
      <c r="R78" s="8" t="s">
        <v>69</v>
      </c>
      <c r="S78" s="8" t="s">
        <v>54</v>
      </c>
      <c r="T78" s="8" t="s">
        <v>49</v>
      </c>
      <c r="U78" s="8" t="s">
        <v>53</v>
      </c>
    </row>
    <row r="79">
      <c r="A79" s="8" t="s">
        <v>1604</v>
      </c>
      <c r="B79" s="8" t="s">
        <v>1607</v>
      </c>
      <c r="C79" s="8" t="s">
        <v>71</v>
      </c>
      <c r="D79" s="8" t="s">
        <v>54</v>
      </c>
      <c r="E79" s="8" t="s">
        <v>45</v>
      </c>
      <c r="F79" s="8" t="s">
        <v>3158</v>
      </c>
      <c r="G79" s="8" t="s">
        <v>174</v>
      </c>
      <c r="H79" s="8" t="s">
        <v>3159</v>
      </c>
      <c r="I79" s="8" t="s">
        <v>55</v>
      </c>
      <c r="J79" s="8" t="s">
        <v>70</v>
      </c>
      <c r="K79" s="7" t="s">
        <v>5276</v>
      </c>
      <c r="L79" s="8" t="s">
        <v>52</v>
      </c>
      <c r="M79" s="8" t="s">
        <v>174</v>
      </c>
      <c r="N79" s="8" t="s">
        <v>45</v>
      </c>
      <c r="O79" s="32">
        <v>43112.0</v>
      </c>
      <c r="P79" s="7">
        <v>0.0</v>
      </c>
      <c r="Q79" s="32">
        <v>46764.0</v>
      </c>
      <c r="R79" s="8" t="s">
        <v>51</v>
      </c>
      <c r="S79" s="8" t="s">
        <v>54</v>
      </c>
      <c r="T79" s="8" t="s">
        <v>49</v>
      </c>
      <c r="U79" s="8" t="s">
        <v>53</v>
      </c>
    </row>
    <row r="80">
      <c r="A80" s="8" t="s">
        <v>1217</v>
      </c>
      <c r="B80" s="8" t="s">
        <v>1220</v>
      </c>
      <c r="C80" s="8" t="s">
        <v>57</v>
      </c>
      <c r="D80" s="8" t="s">
        <v>54</v>
      </c>
      <c r="E80" s="8" t="s">
        <v>45</v>
      </c>
      <c r="F80" s="8" t="s">
        <v>2880</v>
      </c>
      <c r="G80" s="8" t="s">
        <v>2881</v>
      </c>
      <c r="H80" s="8" t="s">
        <v>2882</v>
      </c>
      <c r="I80" s="8" t="s">
        <v>421</v>
      </c>
      <c r="J80" s="8" t="s">
        <v>56</v>
      </c>
      <c r="K80" s="7" t="s">
        <v>5277</v>
      </c>
      <c r="L80" s="8" t="s">
        <v>52</v>
      </c>
      <c r="M80" s="8" t="s">
        <v>1776</v>
      </c>
      <c r="N80" s="8" t="s">
        <v>45</v>
      </c>
      <c r="O80" s="32">
        <v>43236.0</v>
      </c>
      <c r="P80" s="42">
        <v>1125.0</v>
      </c>
      <c r="Q80" s="32">
        <v>45793.0</v>
      </c>
      <c r="R80" s="8" t="s">
        <v>226</v>
      </c>
      <c r="S80" s="8" t="s">
        <v>175</v>
      </c>
      <c r="T80" s="8" t="s">
        <v>115</v>
      </c>
      <c r="U80" s="8" t="s">
        <v>53</v>
      </c>
    </row>
    <row r="81">
      <c r="A81" s="8" t="s">
        <v>477</v>
      </c>
      <c r="B81" s="8" t="s">
        <v>480</v>
      </c>
      <c r="C81" s="8" t="s">
        <v>57</v>
      </c>
      <c r="D81" s="8" t="s">
        <v>54</v>
      </c>
      <c r="E81" s="8" t="s">
        <v>45</v>
      </c>
      <c r="F81" s="8" t="s">
        <v>1913</v>
      </c>
      <c r="G81" s="8" t="s">
        <v>1914</v>
      </c>
      <c r="H81" s="8" t="s">
        <v>1915</v>
      </c>
      <c r="I81" s="8" t="s">
        <v>55</v>
      </c>
      <c r="J81" s="8" t="s">
        <v>56</v>
      </c>
      <c r="K81" s="7" t="s">
        <v>5278</v>
      </c>
      <c r="L81" s="8" t="s">
        <v>459</v>
      </c>
      <c r="M81" s="8" t="s">
        <v>1771</v>
      </c>
      <c r="N81" s="8" t="s">
        <v>45</v>
      </c>
      <c r="O81" s="32">
        <v>43250.0</v>
      </c>
      <c r="P81" s="7" t="s">
        <v>5279</v>
      </c>
      <c r="Q81" s="32">
        <v>45076.0</v>
      </c>
      <c r="R81" s="8" t="s">
        <v>226</v>
      </c>
      <c r="S81" s="8" t="s">
        <v>190</v>
      </c>
      <c r="T81" s="8" t="s">
        <v>49</v>
      </c>
      <c r="U81" s="8" t="s">
        <v>53</v>
      </c>
    </row>
    <row r="82">
      <c r="A82" s="8" t="s">
        <v>207</v>
      </c>
      <c r="B82" s="8" t="s">
        <v>210</v>
      </c>
      <c r="C82" s="8" t="s">
        <v>71</v>
      </c>
      <c r="D82" s="8" t="s">
        <v>54</v>
      </c>
      <c r="E82" s="8" t="s">
        <v>112</v>
      </c>
      <c r="F82" s="8" t="s">
        <v>3054</v>
      </c>
      <c r="G82" s="8" t="s">
        <v>3055</v>
      </c>
      <c r="H82" s="8" t="s">
        <v>3056</v>
      </c>
      <c r="I82" s="8" t="s">
        <v>175</v>
      </c>
      <c r="J82" s="8" t="s">
        <v>70</v>
      </c>
      <c r="K82" s="7">
        <v>5.47468E7</v>
      </c>
      <c r="L82" s="8" t="s">
        <v>52</v>
      </c>
      <c r="M82" s="8" t="s">
        <v>174</v>
      </c>
      <c r="N82" s="8" t="s">
        <v>112</v>
      </c>
      <c r="O82" s="32">
        <v>43256.0</v>
      </c>
      <c r="P82" s="7" t="s">
        <v>5280</v>
      </c>
      <c r="Q82" s="32">
        <v>44717.0</v>
      </c>
      <c r="R82" s="8" t="s">
        <v>213</v>
      </c>
      <c r="S82" s="8" t="s">
        <v>54</v>
      </c>
      <c r="T82" s="8" t="s">
        <v>49</v>
      </c>
      <c r="U82" s="8" t="s">
        <v>119</v>
      </c>
    </row>
    <row r="83">
      <c r="A83" s="8" t="s">
        <v>1487</v>
      </c>
      <c r="B83" s="8" t="s">
        <v>1490</v>
      </c>
      <c r="C83" s="8" t="s">
        <v>57</v>
      </c>
      <c r="D83" s="8" t="s">
        <v>54</v>
      </c>
      <c r="E83" s="8" t="s">
        <v>185</v>
      </c>
      <c r="F83" s="8" t="s">
        <v>2260</v>
      </c>
      <c r="G83" s="8" t="s">
        <v>2261</v>
      </c>
      <c r="H83" s="8" t="s">
        <v>2262</v>
      </c>
      <c r="I83" s="8" t="s">
        <v>117</v>
      </c>
      <c r="J83" s="8" t="s">
        <v>56</v>
      </c>
      <c r="K83" s="7" t="s">
        <v>5281</v>
      </c>
      <c r="L83" s="8" t="s">
        <v>52</v>
      </c>
      <c r="M83" s="8" t="s">
        <v>1771</v>
      </c>
      <c r="N83" s="8" t="s">
        <v>185</v>
      </c>
      <c r="O83" s="32">
        <v>43263.0</v>
      </c>
      <c r="P83" s="42">
        <v>875.0</v>
      </c>
      <c r="Q83" s="32">
        <v>45089.0</v>
      </c>
      <c r="R83" s="8" t="s">
        <v>226</v>
      </c>
      <c r="S83" s="8" t="s">
        <v>190</v>
      </c>
      <c r="T83" s="8" t="s">
        <v>115</v>
      </c>
      <c r="U83" s="8" t="s">
        <v>53</v>
      </c>
    </row>
    <row r="84">
      <c r="A84" s="8" t="s">
        <v>1292</v>
      </c>
      <c r="B84" s="8" t="s">
        <v>1295</v>
      </c>
      <c r="C84" s="8" t="s">
        <v>71</v>
      </c>
      <c r="D84" s="8" t="s">
        <v>54</v>
      </c>
      <c r="E84" s="8" t="s">
        <v>45</v>
      </c>
      <c r="F84" s="8" t="s">
        <v>1882</v>
      </c>
      <c r="G84" s="8" t="s">
        <v>174</v>
      </c>
      <c r="H84" s="8" t="s">
        <v>1883</v>
      </c>
      <c r="I84" s="8" t="s">
        <v>55</v>
      </c>
      <c r="J84" s="8" t="s">
        <v>70</v>
      </c>
      <c r="K84" s="7">
        <v>6.732234E7</v>
      </c>
      <c r="L84" s="8" t="s">
        <v>52</v>
      </c>
      <c r="M84" s="8" t="s">
        <v>174</v>
      </c>
      <c r="N84" s="8" t="s">
        <v>45</v>
      </c>
      <c r="O84" s="32">
        <v>43300.0</v>
      </c>
      <c r="P84" s="7">
        <v>0.0</v>
      </c>
      <c r="Q84" s="32">
        <v>45126.0</v>
      </c>
      <c r="R84" s="8" t="s">
        <v>76</v>
      </c>
      <c r="S84" s="8" t="s">
        <v>54</v>
      </c>
      <c r="T84" s="8" t="s">
        <v>49</v>
      </c>
      <c r="U84" s="8" t="s">
        <v>53</v>
      </c>
    </row>
    <row r="85">
      <c r="A85" s="8" t="s">
        <v>1292</v>
      </c>
      <c r="B85" s="8" t="s">
        <v>1295</v>
      </c>
      <c r="C85" s="8" t="s">
        <v>71</v>
      </c>
      <c r="D85" s="8" t="s">
        <v>54</v>
      </c>
      <c r="E85" s="8" t="s">
        <v>45</v>
      </c>
      <c r="F85" s="8" t="s">
        <v>1885</v>
      </c>
      <c r="G85" s="8" t="s">
        <v>174</v>
      </c>
      <c r="H85" s="8" t="s">
        <v>1886</v>
      </c>
      <c r="I85" s="8" t="s">
        <v>55</v>
      </c>
      <c r="J85" s="8" t="s">
        <v>70</v>
      </c>
      <c r="K85" s="7">
        <v>6.732234E7</v>
      </c>
      <c r="L85" s="8" t="s">
        <v>52</v>
      </c>
      <c r="M85" s="8" t="s">
        <v>174</v>
      </c>
      <c r="N85" s="8" t="s">
        <v>45</v>
      </c>
      <c r="O85" s="32">
        <v>43300.0</v>
      </c>
      <c r="P85" s="7">
        <v>0.0</v>
      </c>
      <c r="Q85" s="32">
        <v>45857.0</v>
      </c>
      <c r="R85" s="8" t="s">
        <v>69</v>
      </c>
      <c r="S85" s="8" t="s">
        <v>54</v>
      </c>
      <c r="T85" s="8" t="s">
        <v>49</v>
      </c>
      <c r="U85" s="8" t="s">
        <v>53</v>
      </c>
    </row>
    <row r="86">
      <c r="A86" s="8" t="s">
        <v>1560</v>
      </c>
      <c r="B86" s="8" t="s">
        <v>1563</v>
      </c>
      <c r="C86" s="8" t="s">
        <v>57</v>
      </c>
      <c r="D86" s="42">
        <v>1855.0</v>
      </c>
      <c r="E86" s="8" t="s">
        <v>258</v>
      </c>
      <c r="F86" s="8" t="s">
        <v>2731</v>
      </c>
      <c r="G86" s="8" t="s">
        <v>2732</v>
      </c>
      <c r="H86" s="8" t="s">
        <v>2733</v>
      </c>
      <c r="I86" s="8" t="s">
        <v>55</v>
      </c>
      <c r="J86" s="8" t="s">
        <v>56</v>
      </c>
      <c r="K86" s="7" t="s">
        <v>5282</v>
      </c>
      <c r="L86" s="8" t="s">
        <v>52</v>
      </c>
      <c r="M86" s="8" t="s">
        <v>1771</v>
      </c>
      <c r="N86" s="8" t="s">
        <v>367</v>
      </c>
      <c r="O86" s="32">
        <v>43276.0</v>
      </c>
      <c r="P86" s="7" t="s">
        <v>5238</v>
      </c>
      <c r="Q86" s="32">
        <v>46198.0</v>
      </c>
      <c r="R86" s="8" t="s">
        <v>174</v>
      </c>
      <c r="S86" s="8" t="s">
        <v>175</v>
      </c>
      <c r="T86" s="8" t="s">
        <v>49</v>
      </c>
      <c r="U86" s="8" t="s">
        <v>53</v>
      </c>
    </row>
    <row r="87">
      <c r="A87" s="8" t="s">
        <v>814</v>
      </c>
      <c r="B87" s="8" t="s">
        <v>817</v>
      </c>
      <c r="C87" s="8" t="s">
        <v>57</v>
      </c>
      <c r="D87" s="42">
        <v>1554.0</v>
      </c>
      <c r="E87" s="8" t="s">
        <v>185</v>
      </c>
      <c r="F87" s="8" t="s">
        <v>3435</v>
      </c>
      <c r="G87" s="8" t="s">
        <v>3436</v>
      </c>
      <c r="H87" s="8" t="s">
        <v>3437</v>
      </c>
      <c r="I87" s="8" t="s">
        <v>133</v>
      </c>
      <c r="J87" s="8" t="s">
        <v>56</v>
      </c>
      <c r="K87" s="7" t="s">
        <v>5283</v>
      </c>
      <c r="L87" s="8" t="s">
        <v>52</v>
      </c>
      <c r="M87" s="8" t="s">
        <v>1771</v>
      </c>
      <c r="N87" s="8" t="s">
        <v>185</v>
      </c>
      <c r="O87" s="32">
        <v>43269.0</v>
      </c>
      <c r="P87" s="7" t="s">
        <v>5214</v>
      </c>
      <c r="Q87" s="32">
        <v>45826.0</v>
      </c>
      <c r="R87" s="8" t="s">
        <v>2135</v>
      </c>
      <c r="S87" s="8" t="s">
        <v>264</v>
      </c>
      <c r="T87" s="8" t="s">
        <v>115</v>
      </c>
      <c r="U87" s="8" t="s">
        <v>53</v>
      </c>
    </row>
    <row r="88">
      <c r="A88" s="8" t="s">
        <v>1519</v>
      </c>
      <c r="B88" s="8" t="s">
        <v>1522</v>
      </c>
      <c r="C88" s="8" t="s">
        <v>71</v>
      </c>
      <c r="D88" s="42">
        <v>3413.0</v>
      </c>
      <c r="E88" s="8" t="s">
        <v>185</v>
      </c>
      <c r="F88" s="8" t="s">
        <v>3096</v>
      </c>
      <c r="G88" s="8" t="s">
        <v>3097</v>
      </c>
      <c r="H88" s="8" t="s">
        <v>3098</v>
      </c>
      <c r="I88" s="8" t="s">
        <v>117</v>
      </c>
      <c r="J88" s="8" t="s">
        <v>56</v>
      </c>
      <c r="K88" s="43">
        <v>1.0E9</v>
      </c>
      <c r="L88" s="8" t="s">
        <v>52</v>
      </c>
      <c r="M88" s="8" t="s">
        <v>1771</v>
      </c>
      <c r="N88" s="8" t="s">
        <v>185</v>
      </c>
      <c r="O88" s="32">
        <v>43270.0</v>
      </c>
      <c r="P88" s="42">
        <v>3375.0</v>
      </c>
      <c r="Q88" s="32">
        <v>45096.0</v>
      </c>
      <c r="R88" s="8" t="s">
        <v>174</v>
      </c>
      <c r="S88" s="8" t="s">
        <v>484</v>
      </c>
      <c r="T88" s="8" t="s">
        <v>115</v>
      </c>
      <c r="U88" s="8" t="s">
        <v>263</v>
      </c>
    </row>
    <row r="89">
      <c r="A89" s="8" t="s">
        <v>1519</v>
      </c>
      <c r="B89" s="8" t="s">
        <v>1522</v>
      </c>
      <c r="C89" s="8" t="s">
        <v>71</v>
      </c>
      <c r="D89" s="42">
        <v>3713.0</v>
      </c>
      <c r="E89" s="8" t="s">
        <v>185</v>
      </c>
      <c r="F89" s="8" t="s">
        <v>3100</v>
      </c>
      <c r="G89" s="8" t="s">
        <v>3101</v>
      </c>
      <c r="H89" s="8" t="s">
        <v>3102</v>
      </c>
      <c r="I89" s="8" t="s">
        <v>117</v>
      </c>
      <c r="J89" s="8" t="s">
        <v>56</v>
      </c>
      <c r="K89" s="43">
        <v>1.0E9</v>
      </c>
      <c r="L89" s="8" t="s">
        <v>52</v>
      </c>
      <c r="M89" s="8" t="s">
        <v>1771</v>
      </c>
      <c r="N89" s="8" t="s">
        <v>185</v>
      </c>
      <c r="O89" s="32">
        <v>43270.0</v>
      </c>
      <c r="P89" s="42">
        <v>3625.0</v>
      </c>
      <c r="Q89" s="32">
        <v>46923.0</v>
      </c>
      <c r="R89" s="8" t="s">
        <v>174</v>
      </c>
      <c r="S89" s="8" t="s">
        <v>484</v>
      </c>
      <c r="T89" s="8" t="s">
        <v>115</v>
      </c>
      <c r="U89" s="8" t="s">
        <v>263</v>
      </c>
    </row>
    <row r="90">
      <c r="A90" s="8" t="s">
        <v>181</v>
      </c>
      <c r="B90" s="8" t="s">
        <v>184</v>
      </c>
      <c r="C90" s="8" t="s">
        <v>57</v>
      </c>
      <c r="D90" s="8" t="s">
        <v>54</v>
      </c>
      <c r="E90" s="8" t="s">
        <v>186</v>
      </c>
      <c r="F90" s="8" t="s">
        <v>3165</v>
      </c>
      <c r="G90" s="8" t="s">
        <v>3166</v>
      </c>
      <c r="H90" s="8" t="s">
        <v>3167</v>
      </c>
      <c r="I90" s="8" t="s">
        <v>133</v>
      </c>
      <c r="J90" s="8" t="s">
        <v>56</v>
      </c>
      <c r="K90" s="7" t="s">
        <v>5284</v>
      </c>
      <c r="L90" s="8" t="s">
        <v>52</v>
      </c>
      <c r="M90" s="8" t="s">
        <v>1771</v>
      </c>
      <c r="N90" s="8" t="s">
        <v>185</v>
      </c>
      <c r="O90" s="32">
        <v>43272.0</v>
      </c>
      <c r="P90" s="42">
        <v>1375.0</v>
      </c>
      <c r="Q90" s="32">
        <v>46559.0</v>
      </c>
      <c r="R90" s="8" t="s">
        <v>226</v>
      </c>
      <c r="S90" s="8" t="s">
        <v>190</v>
      </c>
      <c r="T90" s="8" t="s">
        <v>115</v>
      </c>
      <c r="U90" s="8" t="s">
        <v>53</v>
      </c>
    </row>
    <row r="91">
      <c r="A91" s="8" t="s">
        <v>127</v>
      </c>
      <c r="B91" s="8" t="s">
        <v>130</v>
      </c>
      <c r="C91" s="8" t="s">
        <v>71</v>
      </c>
      <c r="D91" s="8" t="s">
        <v>54</v>
      </c>
      <c r="E91" s="8" t="s">
        <v>45</v>
      </c>
      <c r="F91" s="8" t="s">
        <v>3067</v>
      </c>
      <c r="G91" s="8" t="s">
        <v>174</v>
      </c>
      <c r="H91" s="8" t="s">
        <v>3068</v>
      </c>
      <c r="I91" s="8" t="s">
        <v>133</v>
      </c>
      <c r="J91" s="8" t="s">
        <v>70</v>
      </c>
      <c r="K91" s="7" t="s">
        <v>5285</v>
      </c>
      <c r="L91" s="8" t="s">
        <v>52</v>
      </c>
      <c r="M91" s="8" t="s">
        <v>174</v>
      </c>
      <c r="N91" s="8" t="s">
        <v>45</v>
      </c>
      <c r="O91" s="32">
        <v>43297.0</v>
      </c>
      <c r="P91" s="7">
        <v>0.0</v>
      </c>
      <c r="Q91" s="32">
        <v>45123.0</v>
      </c>
      <c r="R91" s="8" t="s">
        <v>76</v>
      </c>
      <c r="S91" s="8" t="s">
        <v>54</v>
      </c>
      <c r="T91" s="8" t="s">
        <v>49</v>
      </c>
      <c r="U91" s="8" t="s">
        <v>53</v>
      </c>
    </row>
    <row r="92">
      <c r="A92" s="8" t="s">
        <v>1560</v>
      </c>
      <c r="B92" s="8" t="s">
        <v>1563</v>
      </c>
      <c r="C92" s="8" t="s">
        <v>57</v>
      </c>
      <c r="D92" s="42">
        <v>2514.0</v>
      </c>
      <c r="E92" s="8" t="s">
        <v>258</v>
      </c>
      <c r="F92" s="8" t="s">
        <v>2735</v>
      </c>
      <c r="G92" s="8" t="s">
        <v>2736</v>
      </c>
      <c r="H92" s="8" t="s">
        <v>2737</v>
      </c>
      <c r="I92" s="8" t="s">
        <v>55</v>
      </c>
      <c r="J92" s="8" t="s">
        <v>56</v>
      </c>
      <c r="K92" s="7" t="s">
        <v>5282</v>
      </c>
      <c r="L92" s="8" t="s">
        <v>52</v>
      </c>
      <c r="M92" s="8" t="s">
        <v>1771</v>
      </c>
      <c r="N92" s="8" t="s">
        <v>367</v>
      </c>
      <c r="O92" s="32">
        <v>43276.0</v>
      </c>
      <c r="P92" s="7" t="s">
        <v>5219</v>
      </c>
      <c r="Q92" s="32">
        <v>47294.0</v>
      </c>
      <c r="R92" s="8" t="s">
        <v>2738</v>
      </c>
      <c r="S92" s="8" t="s">
        <v>175</v>
      </c>
      <c r="T92" s="8" t="s">
        <v>49</v>
      </c>
      <c r="U92" s="8" t="s">
        <v>53</v>
      </c>
    </row>
    <row r="93">
      <c r="A93" s="8" t="s">
        <v>207</v>
      </c>
      <c r="B93" s="8" t="s">
        <v>210</v>
      </c>
      <c r="C93" s="8" t="s">
        <v>71</v>
      </c>
      <c r="D93" s="8" t="s">
        <v>54</v>
      </c>
      <c r="E93" s="8" t="s">
        <v>112</v>
      </c>
      <c r="F93" s="8" t="s">
        <v>3058</v>
      </c>
      <c r="G93" s="8" t="s">
        <v>3059</v>
      </c>
      <c r="H93" s="8" t="s">
        <v>3060</v>
      </c>
      <c r="I93" s="8" t="s">
        <v>175</v>
      </c>
      <c r="J93" s="8" t="s">
        <v>70</v>
      </c>
      <c r="K93" s="7">
        <v>5.36142E7</v>
      </c>
      <c r="L93" s="8" t="s">
        <v>52</v>
      </c>
      <c r="M93" s="8" t="s">
        <v>174</v>
      </c>
      <c r="N93" s="8" t="s">
        <v>112</v>
      </c>
      <c r="O93" s="32">
        <v>43270.0</v>
      </c>
      <c r="P93" s="7" t="s">
        <v>5286</v>
      </c>
      <c r="Q93" s="32">
        <v>44731.0</v>
      </c>
      <c r="R93" s="8" t="s">
        <v>431</v>
      </c>
      <c r="S93" s="8" t="s">
        <v>54</v>
      </c>
      <c r="T93" s="8" t="s">
        <v>49</v>
      </c>
      <c r="U93" s="8" t="s">
        <v>119</v>
      </c>
    </row>
    <row r="94">
      <c r="A94" s="8" t="s">
        <v>1626</v>
      </c>
      <c r="B94" s="8" t="s">
        <v>1629</v>
      </c>
      <c r="C94" s="8" t="s">
        <v>71</v>
      </c>
      <c r="D94" s="8" t="s">
        <v>54</v>
      </c>
      <c r="E94" s="8" t="s">
        <v>45</v>
      </c>
      <c r="F94" s="8" t="s">
        <v>2699</v>
      </c>
      <c r="G94" s="8" t="s">
        <v>174</v>
      </c>
      <c r="H94" s="8" t="s">
        <v>2700</v>
      </c>
      <c r="I94" s="8" t="s">
        <v>55</v>
      </c>
      <c r="J94" s="8" t="s">
        <v>70</v>
      </c>
      <c r="K94" s="7">
        <v>7.11936E7</v>
      </c>
      <c r="L94" s="8" t="s">
        <v>52</v>
      </c>
      <c r="M94" s="8" t="s">
        <v>174</v>
      </c>
      <c r="N94" s="8" t="s">
        <v>45</v>
      </c>
      <c r="O94" s="32">
        <v>43235.0</v>
      </c>
      <c r="P94" s="7">
        <v>0.0</v>
      </c>
      <c r="Q94" s="32">
        <v>45061.0</v>
      </c>
      <c r="R94" s="8" t="s">
        <v>76</v>
      </c>
      <c r="S94" s="8" t="s">
        <v>54</v>
      </c>
      <c r="T94" s="8" t="s">
        <v>49</v>
      </c>
      <c r="U94" s="8" t="s">
        <v>53</v>
      </c>
    </row>
    <row r="95">
      <c r="A95" s="8" t="s">
        <v>1626</v>
      </c>
      <c r="B95" s="8" t="s">
        <v>1629</v>
      </c>
      <c r="C95" s="8" t="s">
        <v>71</v>
      </c>
      <c r="D95" s="8" t="s">
        <v>54</v>
      </c>
      <c r="E95" s="8" t="s">
        <v>45</v>
      </c>
      <c r="F95" s="8" t="s">
        <v>2702</v>
      </c>
      <c r="G95" s="8" t="s">
        <v>174</v>
      </c>
      <c r="H95" s="8" t="s">
        <v>2703</v>
      </c>
      <c r="I95" s="8" t="s">
        <v>55</v>
      </c>
      <c r="J95" s="8" t="s">
        <v>70</v>
      </c>
      <c r="K95" s="7">
        <v>7.11936E7</v>
      </c>
      <c r="L95" s="8" t="s">
        <v>52</v>
      </c>
      <c r="M95" s="8" t="s">
        <v>174</v>
      </c>
      <c r="N95" s="8" t="s">
        <v>45</v>
      </c>
      <c r="O95" s="32">
        <v>43235.0</v>
      </c>
      <c r="P95" s="7">
        <v>0.0</v>
      </c>
      <c r="Q95" s="32">
        <v>45792.0</v>
      </c>
      <c r="R95" s="8" t="s">
        <v>69</v>
      </c>
      <c r="S95" s="8" t="s">
        <v>54</v>
      </c>
      <c r="T95" s="8" t="s">
        <v>49</v>
      </c>
      <c r="U95" s="8" t="s">
        <v>53</v>
      </c>
    </row>
    <row r="96">
      <c r="A96" s="8" t="s">
        <v>477</v>
      </c>
      <c r="B96" s="8" t="s">
        <v>480</v>
      </c>
      <c r="C96" s="8" t="s">
        <v>57</v>
      </c>
      <c r="D96" s="8" t="s">
        <v>54</v>
      </c>
      <c r="E96" s="8" t="s">
        <v>45</v>
      </c>
      <c r="F96" s="8" t="s">
        <v>1917</v>
      </c>
      <c r="G96" s="8" t="s">
        <v>1918</v>
      </c>
      <c r="H96" s="8" t="s">
        <v>1919</v>
      </c>
      <c r="I96" s="8" t="s">
        <v>55</v>
      </c>
      <c r="J96" s="8" t="s">
        <v>56</v>
      </c>
      <c r="K96" s="7" t="s">
        <v>5287</v>
      </c>
      <c r="L96" s="8" t="s">
        <v>459</v>
      </c>
      <c r="M96" s="8" t="s">
        <v>1771</v>
      </c>
      <c r="N96" s="8" t="s">
        <v>45</v>
      </c>
      <c r="O96" s="32">
        <v>43290.0</v>
      </c>
      <c r="P96" s="7">
        <v>0.0</v>
      </c>
      <c r="Q96" s="32">
        <v>44844.0</v>
      </c>
      <c r="R96" s="8" t="s">
        <v>226</v>
      </c>
      <c r="S96" s="8" t="s">
        <v>190</v>
      </c>
      <c r="T96" s="8" t="s">
        <v>49</v>
      </c>
      <c r="U96" s="8" t="s">
        <v>53</v>
      </c>
    </row>
    <row r="97">
      <c r="A97" s="8" t="s">
        <v>207</v>
      </c>
      <c r="B97" s="8" t="s">
        <v>210</v>
      </c>
      <c r="C97" s="8" t="s">
        <v>71</v>
      </c>
      <c r="D97" s="8" t="s">
        <v>54</v>
      </c>
      <c r="E97" s="8" t="s">
        <v>112</v>
      </c>
      <c r="F97" s="8" t="s">
        <v>3062</v>
      </c>
      <c r="G97" s="8" t="s">
        <v>3063</v>
      </c>
      <c r="H97" s="8" t="s">
        <v>3064</v>
      </c>
      <c r="I97" s="8" t="s">
        <v>175</v>
      </c>
      <c r="J97" s="8" t="s">
        <v>70</v>
      </c>
      <c r="K97" s="7">
        <v>5.41264E7</v>
      </c>
      <c r="L97" s="8" t="s">
        <v>52</v>
      </c>
      <c r="M97" s="8" t="s">
        <v>174</v>
      </c>
      <c r="N97" s="8" t="s">
        <v>112</v>
      </c>
      <c r="O97" s="32">
        <v>43294.0</v>
      </c>
      <c r="P97" s="7" t="s">
        <v>5288</v>
      </c>
      <c r="Q97" s="32">
        <v>44755.0</v>
      </c>
      <c r="R97" s="8" t="s">
        <v>3065</v>
      </c>
      <c r="S97" s="8" t="s">
        <v>54</v>
      </c>
      <c r="T97" s="8" t="s">
        <v>49</v>
      </c>
      <c r="U97" s="8" t="s">
        <v>119</v>
      </c>
    </row>
    <row r="98">
      <c r="A98" s="8" t="s">
        <v>1011</v>
      </c>
      <c r="B98" s="8" t="s">
        <v>1014</v>
      </c>
      <c r="C98" s="8" t="s">
        <v>71</v>
      </c>
      <c r="D98" s="8" t="s">
        <v>54</v>
      </c>
      <c r="E98" s="8" t="s">
        <v>185</v>
      </c>
      <c r="F98" s="8" t="s">
        <v>3197</v>
      </c>
      <c r="G98" s="8" t="s">
        <v>3198</v>
      </c>
      <c r="H98" s="8" t="s">
        <v>3199</v>
      </c>
      <c r="I98" s="8" t="s">
        <v>55</v>
      </c>
      <c r="J98" s="8" t="s">
        <v>56</v>
      </c>
      <c r="K98" s="7" t="s">
        <v>5289</v>
      </c>
      <c r="L98" s="8" t="s">
        <v>52</v>
      </c>
      <c r="M98" s="8" t="s">
        <v>174</v>
      </c>
      <c r="N98" s="8" t="s">
        <v>185</v>
      </c>
      <c r="O98" s="32">
        <v>43299.0</v>
      </c>
      <c r="P98" s="7" t="s">
        <v>5244</v>
      </c>
      <c r="Q98" s="32">
        <v>45856.0</v>
      </c>
      <c r="R98" s="8" t="s">
        <v>174</v>
      </c>
      <c r="S98" s="8" t="s">
        <v>54</v>
      </c>
      <c r="T98" s="8" t="s">
        <v>115</v>
      </c>
      <c r="U98" s="8" t="s">
        <v>53</v>
      </c>
    </row>
    <row r="99">
      <c r="A99" s="8" t="s">
        <v>477</v>
      </c>
      <c r="B99" s="8" t="s">
        <v>480</v>
      </c>
      <c r="C99" s="8" t="s">
        <v>57</v>
      </c>
      <c r="D99" s="7" t="s">
        <v>5290</v>
      </c>
      <c r="E99" s="8" t="s">
        <v>45</v>
      </c>
      <c r="F99" s="8" t="s">
        <v>1921</v>
      </c>
      <c r="G99" s="8" t="s">
        <v>1922</v>
      </c>
      <c r="H99" s="8" t="s">
        <v>1923</v>
      </c>
      <c r="I99" s="8" t="s">
        <v>55</v>
      </c>
      <c r="J99" s="8" t="s">
        <v>56</v>
      </c>
      <c r="K99" s="7" t="s">
        <v>5251</v>
      </c>
      <c r="L99" s="8" t="s">
        <v>483</v>
      </c>
      <c r="M99" s="8" t="s">
        <v>174</v>
      </c>
      <c r="N99" s="8" t="s">
        <v>45</v>
      </c>
      <c r="O99" s="32">
        <v>43339.0</v>
      </c>
      <c r="P99" s="42">
        <v>375.0</v>
      </c>
      <c r="Q99" s="32">
        <v>45166.0</v>
      </c>
      <c r="R99" s="8" t="s">
        <v>226</v>
      </c>
      <c r="S99" s="8" t="s">
        <v>484</v>
      </c>
      <c r="T99" s="8" t="s">
        <v>49</v>
      </c>
      <c r="U99" s="8" t="s">
        <v>53</v>
      </c>
    </row>
    <row r="100">
      <c r="A100" s="8" t="s">
        <v>1011</v>
      </c>
      <c r="B100" s="8" t="s">
        <v>1014</v>
      </c>
      <c r="C100" s="8" t="s">
        <v>71</v>
      </c>
      <c r="D100" s="8" t="s">
        <v>54</v>
      </c>
      <c r="E100" s="8" t="s">
        <v>185</v>
      </c>
      <c r="F100" s="8" t="s">
        <v>3201</v>
      </c>
      <c r="G100" s="8" t="s">
        <v>3202</v>
      </c>
      <c r="H100" s="8" t="s">
        <v>3203</v>
      </c>
      <c r="I100" s="8" t="s">
        <v>55</v>
      </c>
      <c r="J100" s="8" t="s">
        <v>56</v>
      </c>
      <c r="K100" s="7">
        <v>2330560.0</v>
      </c>
      <c r="L100" s="8" t="s">
        <v>52</v>
      </c>
      <c r="M100" s="8" t="s">
        <v>174</v>
      </c>
      <c r="N100" s="8" t="s">
        <v>185</v>
      </c>
      <c r="O100" s="32">
        <v>43299.0</v>
      </c>
      <c r="P100" s="7">
        <v>3.0</v>
      </c>
      <c r="Q100" s="32">
        <v>45491.0</v>
      </c>
      <c r="R100" s="8" t="s">
        <v>174</v>
      </c>
      <c r="S100" s="8" t="s">
        <v>54</v>
      </c>
      <c r="T100" s="8" t="s">
        <v>115</v>
      </c>
      <c r="U100" s="8" t="s">
        <v>53</v>
      </c>
    </row>
    <row r="101">
      <c r="A101" s="8" t="s">
        <v>680</v>
      </c>
      <c r="B101" s="8" t="s">
        <v>683</v>
      </c>
      <c r="C101" s="8" t="s">
        <v>57</v>
      </c>
      <c r="D101" s="8" t="s">
        <v>54</v>
      </c>
      <c r="E101" s="8" t="s">
        <v>368</v>
      </c>
      <c r="F101" s="8" t="s">
        <v>3274</v>
      </c>
      <c r="G101" s="8" t="s">
        <v>3275</v>
      </c>
      <c r="H101" s="8" t="s">
        <v>3276</v>
      </c>
      <c r="I101" s="8" t="s">
        <v>55</v>
      </c>
      <c r="J101" s="8" t="s">
        <v>56</v>
      </c>
      <c r="K101" s="7" t="s">
        <v>5291</v>
      </c>
      <c r="L101" s="8" t="s">
        <v>52</v>
      </c>
      <c r="M101" s="8" t="s">
        <v>1771</v>
      </c>
      <c r="N101" s="8" t="s">
        <v>368</v>
      </c>
      <c r="O101" s="32">
        <v>43349.0</v>
      </c>
      <c r="P101" s="42">
        <v>2875.0</v>
      </c>
      <c r="Q101" s="32">
        <v>45175.0</v>
      </c>
      <c r="R101" s="8" t="s">
        <v>226</v>
      </c>
      <c r="S101" s="8" t="s">
        <v>54</v>
      </c>
      <c r="T101" s="8" t="s">
        <v>49</v>
      </c>
      <c r="U101" s="8" t="s">
        <v>53</v>
      </c>
    </row>
    <row r="102">
      <c r="A102" s="8" t="s">
        <v>614</v>
      </c>
      <c r="B102" s="8" t="s">
        <v>617</v>
      </c>
      <c r="C102" s="8" t="s">
        <v>71</v>
      </c>
      <c r="D102" s="7" t="s">
        <v>5292</v>
      </c>
      <c r="E102" s="8" t="s">
        <v>200</v>
      </c>
      <c r="F102" s="8" t="s">
        <v>2450</v>
      </c>
      <c r="G102" s="8" t="s">
        <v>2451</v>
      </c>
      <c r="H102" s="8" t="s">
        <v>2452</v>
      </c>
      <c r="I102" s="8" t="s">
        <v>117</v>
      </c>
      <c r="J102" s="8" t="s">
        <v>56</v>
      </c>
      <c r="K102" s="43">
        <v>1.0E9</v>
      </c>
      <c r="L102" s="8" t="s">
        <v>52</v>
      </c>
      <c r="M102" s="8" t="s">
        <v>1776</v>
      </c>
      <c r="N102" s="8" t="s">
        <v>200</v>
      </c>
      <c r="O102" s="32">
        <v>43355.0</v>
      </c>
      <c r="P102" s="7">
        <v>4.0</v>
      </c>
      <c r="Q102" s="32">
        <v>45181.0</v>
      </c>
      <c r="R102" s="8" t="s">
        <v>2453</v>
      </c>
      <c r="S102" s="8" t="s">
        <v>620</v>
      </c>
      <c r="T102" s="8" t="s">
        <v>49</v>
      </c>
      <c r="U102" s="8" t="s">
        <v>263</v>
      </c>
    </row>
    <row r="103">
      <c r="A103" s="8" t="s">
        <v>614</v>
      </c>
      <c r="B103" s="8" t="s">
        <v>617</v>
      </c>
      <c r="C103" s="8" t="s">
        <v>71</v>
      </c>
      <c r="D103" s="7" t="s">
        <v>5292</v>
      </c>
      <c r="E103" s="8" t="s">
        <v>200</v>
      </c>
      <c r="F103" s="8" t="s">
        <v>2455</v>
      </c>
      <c r="G103" s="8" t="s">
        <v>2456</v>
      </c>
      <c r="H103" s="8" t="s">
        <v>2457</v>
      </c>
      <c r="I103" s="8" t="s">
        <v>117</v>
      </c>
      <c r="J103" s="8" t="s">
        <v>56</v>
      </c>
      <c r="K103" s="43">
        <v>1.0E9</v>
      </c>
      <c r="L103" s="8" t="s">
        <v>52</v>
      </c>
      <c r="M103" s="8" t="s">
        <v>1776</v>
      </c>
      <c r="N103" s="8" t="s">
        <v>200</v>
      </c>
      <c r="O103" s="32">
        <v>43355.0</v>
      </c>
      <c r="P103" s="7">
        <v>4.0</v>
      </c>
      <c r="Q103" s="32">
        <v>45181.0</v>
      </c>
      <c r="R103" s="8" t="s">
        <v>271</v>
      </c>
      <c r="S103" s="8" t="s">
        <v>620</v>
      </c>
      <c r="T103" s="8" t="s">
        <v>49</v>
      </c>
      <c r="U103" s="8" t="s">
        <v>263</v>
      </c>
    </row>
    <row r="104">
      <c r="A104" s="8" t="s">
        <v>614</v>
      </c>
      <c r="B104" s="8" t="s">
        <v>617</v>
      </c>
      <c r="C104" s="8" t="s">
        <v>71</v>
      </c>
      <c r="D104" s="42">
        <v>4852.0</v>
      </c>
      <c r="E104" s="8" t="s">
        <v>200</v>
      </c>
      <c r="F104" s="8" t="s">
        <v>2459</v>
      </c>
      <c r="G104" s="8" t="s">
        <v>2460</v>
      </c>
      <c r="H104" s="8" t="s">
        <v>2461</v>
      </c>
      <c r="I104" s="8" t="s">
        <v>117</v>
      </c>
      <c r="J104" s="8" t="s">
        <v>56</v>
      </c>
      <c r="K104" s="43">
        <v>1.0E9</v>
      </c>
      <c r="L104" s="8" t="s">
        <v>52</v>
      </c>
      <c r="M104" s="8" t="s">
        <v>1776</v>
      </c>
      <c r="N104" s="8" t="s">
        <v>200</v>
      </c>
      <c r="O104" s="32">
        <v>43355.0</v>
      </c>
      <c r="P104" s="7" t="s">
        <v>5229</v>
      </c>
      <c r="Q104" s="32">
        <v>47008.0</v>
      </c>
      <c r="R104" s="8" t="s">
        <v>2453</v>
      </c>
      <c r="S104" s="8" t="s">
        <v>620</v>
      </c>
      <c r="T104" s="8" t="s">
        <v>49</v>
      </c>
      <c r="U104" s="8" t="s">
        <v>263</v>
      </c>
    </row>
    <row r="105">
      <c r="A105" s="8" t="s">
        <v>614</v>
      </c>
      <c r="B105" s="8" t="s">
        <v>617</v>
      </c>
      <c r="C105" s="8" t="s">
        <v>71</v>
      </c>
      <c r="D105" s="42">
        <v>4852.0</v>
      </c>
      <c r="E105" s="8" t="s">
        <v>200</v>
      </c>
      <c r="F105" s="8" t="s">
        <v>2463</v>
      </c>
      <c r="G105" s="8" t="s">
        <v>2464</v>
      </c>
      <c r="H105" s="8" t="s">
        <v>2465</v>
      </c>
      <c r="I105" s="8" t="s">
        <v>117</v>
      </c>
      <c r="J105" s="8" t="s">
        <v>56</v>
      </c>
      <c r="K105" s="43">
        <v>1.0E9</v>
      </c>
      <c r="L105" s="8" t="s">
        <v>52</v>
      </c>
      <c r="M105" s="8" t="s">
        <v>1776</v>
      </c>
      <c r="N105" s="8" t="s">
        <v>200</v>
      </c>
      <c r="O105" s="32">
        <v>43355.0</v>
      </c>
      <c r="P105" s="7" t="s">
        <v>5229</v>
      </c>
      <c r="Q105" s="32">
        <v>47008.0</v>
      </c>
      <c r="R105" s="8" t="s">
        <v>271</v>
      </c>
      <c r="S105" s="8" t="s">
        <v>620</v>
      </c>
      <c r="T105" s="8" t="s">
        <v>49</v>
      </c>
      <c r="U105" s="8" t="s">
        <v>263</v>
      </c>
    </row>
    <row r="106">
      <c r="A106" s="8" t="s">
        <v>614</v>
      </c>
      <c r="B106" s="8" t="s">
        <v>617</v>
      </c>
      <c r="C106" s="8" t="s">
        <v>71</v>
      </c>
      <c r="D106" s="42">
        <v>4852.0</v>
      </c>
      <c r="E106" s="8" t="s">
        <v>200</v>
      </c>
      <c r="F106" s="8" t="s">
        <v>2467</v>
      </c>
      <c r="G106" s="8" t="s">
        <v>2468</v>
      </c>
      <c r="H106" s="8" t="s">
        <v>2469</v>
      </c>
      <c r="I106" s="8" t="s">
        <v>117</v>
      </c>
      <c r="J106" s="8" t="s">
        <v>56</v>
      </c>
      <c r="K106" s="43">
        <v>1.0E9</v>
      </c>
      <c r="L106" s="8" t="s">
        <v>52</v>
      </c>
      <c r="M106" s="8" t="s">
        <v>1776</v>
      </c>
      <c r="N106" s="8" t="s">
        <v>200</v>
      </c>
      <c r="O106" s="32">
        <v>43355.0</v>
      </c>
      <c r="P106" s="7" t="s">
        <v>5229</v>
      </c>
      <c r="Q106" s="32">
        <v>47008.0</v>
      </c>
      <c r="R106" s="8" t="s">
        <v>2470</v>
      </c>
      <c r="S106" s="8" t="s">
        <v>620</v>
      </c>
      <c r="T106" s="8" t="s">
        <v>49</v>
      </c>
      <c r="U106" s="8" t="s">
        <v>263</v>
      </c>
    </row>
    <row r="107">
      <c r="A107" s="8" t="s">
        <v>614</v>
      </c>
      <c r="B107" s="8" t="s">
        <v>617</v>
      </c>
      <c r="C107" s="8" t="s">
        <v>71</v>
      </c>
      <c r="D107" s="42">
        <v>4852.0</v>
      </c>
      <c r="E107" s="8" t="s">
        <v>200</v>
      </c>
      <c r="F107" s="8" t="s">
        <v>2472</v>
      </c>
      <c r="G107" s="8" t="s">
        <v>2473</v>
      </c>
      <c r="H107" s="8" t="s">
        <v>2474</v>
      </c>
      <c r="I107" s="8" t="s">
        <v>117</v>
      </c>
      <c r="J107" s="8" t="s">
        <v>56</v>
      </c>
      <c r="K107" s="43">
        <v>1.0E9</v>
      </c>
      <c r="L107" s="8" t="s">
        <v>52</v>
      </c>
      <c r="M107" s="8" t="s">
        <v>1776</v>
      </c>
      <c r="N107" s="8" t="s">
        <v>200</v>
      </c>
      <c r="O107" s="32">
        <v>43355.0</v>
      </c>
      <c r="P107" s="7" t="s">
        <v>5229</v>
      </c>
      <c r="Q107" s="32">
        <v>47008.0</v>
      </c>
      <c r="R107" s="8" t="s">
        <v>2475</v>
      </c>
      <c r="S107" s="8" t="s">
        <v>620</v>
      </c>
      <c r="T107" s="8" t="s">
        <v>49</v>
      </c>
      <c r="U107" s="8" t="s">
        <v>263</v>
      </c>
    </row>
    <row r="108">
      <c r="A108" s="8" t="s">
        <v>614</v>
      </c>
      <c r="B108" s="8" t="s">
        <v>617</v>
      </c>
      <c r="C108" s="8" t="s">
        <v>71</v>
      </c>
      <c r="D108" s="7" t="s">
        <v>5292</v>
      </c>
      <c r="E108" s="8" t="s">
        <v>200</v>
      </c>
      <c r="F108" s="8" t="s">
        <v>2477</v>
      </c>
      <c r="G108" s="8" t="s">
        <v>2478</v>
      </c>
      <c r="H108" s="8" t="s">
        <v>2479</v>
      </c>
      <c r="I108" s="8" t="s">
        <v>117</v>
      </c>
      <c r="J108" s="8" t="s">
        <v>56</v>
      </c>
      <c r="K108" s="43">
        <v>1.0E9</v>
      </c>
      <c r="L108" s="8" t="s">
        <v>52</v>
      </c>
      <c r="M108" s="8" t="s">
        <v>1776</v>
      </c>
      <c r="N108" s="8" t="s">
        <v>200</v>
      </c>
      <c r="O108" s="32">
        <v>43355.0</v>
      </c>
      <c r="P108" s="7">
        <v>4.0</v>
      </c>
      <c r="Q108" s="32">
        <v>45181.0</v>
      </c>
      <c r="R108" s="8" t="s">
        <v>2470</v>
      </c>
      <c r="S108" s="8" t="s">
        <v>620</v>
      </c>
      <c r="T108" s="8" t="s">
        <v>49</v>
      </c>
      <c r="U108" s="8" t="s">
        <v>263</v>
      </c>
    </row>
    <row r="109">
      <c r="A109" s="8" t="s">
        <v>614</v>
      </c>
      <c r="B109" s="8" t="s">
        <v>617</v>
      </c>
      <c r="C109" s="8" t="s">
        <v>71</v>
      </c>
      <c r="D109" s="7" t="s">
        <v>5292</v>
      </c>
      <c r="E109" s="8" t="s">
        <v>200</v>
      </c>
      <c r="F109" s="8" t="s">
        <v>2481</v>
      </c>
      <c r="G109" s="8" t="s">
        <v>2482</v>
      </c>
      <c r="H109" s="8" t="s">
        <v>2483</v>
      </c>
      <c r="I109" s="8" t="s">
        <v>117</v>
      </c>
      <c r="J109" s="8" t="s">
        <v>56</v>
      </c>
      <c r="K109" s="43">
        <v>1.0E9</v>
      </c>
      <c r="L109" s="8" t="s">
        <v>52</v>
      </c>
      <c r="M109" s="8" t="s">
        <v>1776</v>
      </c>
      <c r="N109" s="8" t="s">
        <v>200</v>
      </c>
      <c r="O109" s="32">
        <v>43355.0</v>
      </c>
      <c r="P109" s="7">
        <v>4.0</v>
      </c>
      <c r="Q109" s="32">
        <v>45181.0</v>
      </c>
      <c r="R109" s="8" t="s">
        <v>2475</v>
      </c>
      <c r="S109" s="8" t="s">
        <v>620</v>
      </c>
      <c r="T109" s="8" t="s">
        <v>49</v>
      </c>
      <c r="U109" s="8" t="s">
        <v>263</v>
      </c>
    </row>
    <row r="110">
      <c r="A110" s="8" t="s">
        <v>614</v>
      </c>
      <c r="B110" s="8" t="s">
        <v>617</v>
      </c>
      <c r="C110" s="8" t="s">
        <v>71</v>
      </c>
      <c r="D110" s="42">
        <v>4852.0</v>
      </c>
      <c r="E110" s="8" t="s">
        <v>200</v>
      </c>
      <c r="F110" s="8" t="s">
        <v>2485</v>
      </c>
      <c r="G110" s="8" t="s">
        <v>2486</v>
      </c>
      <c r="H110" s="8" t="s">
        <v>2487</v>
      </c>
      <c r="I110" s="8" t="s">
        <v>117</v>
      </c>
      <c r="J110" s="8" t="s">
        <v>56</v>
      </c>
      <c r="K110" s="43">
        <v>1.0E9</v>
      </c>
      <c r="L110" s="8" t="s">
        <v>52</v>
      </c>
      <c r="M110" s="8" t="s">
        <v>1776</v>
      </c>
      <c r="N110" s="8" t="s">
        <v>200</v>
      </c>
      <c r="O110" s="32">
        <v>43355.0</v>
      </c>
      <c r="P110" s="7" t="s">
        <v>5229</v>
      </c>
      <c r="Q110" s="32">
        <v>47008.0</v>
      </c>
      <c r="R110" s="8" t="s">
        <v>50</v>
      </c>
      <c r="S110" s="8" t="s">
        <v>190</v>
      </c>
      <c r="T110" s="8" t="s">
        <v>49</v>
      </c>
      <c r="U110" s="8" t="s">
        <v>263</v>
      </c>
    </row>
    <row r="111">
      <c r="A111" s="8" t="s">
        <v>614</v>
      </c>
      <c r="B111" s="8" t="s">
        <v>617</v>
      </c>
      <c r="C111" s="8" t="s">
        <v>71</v>
      </c>
      <c r="D111" s="7" t="s">
        <v>5292</v>
      </c>
      <c r="E111" s="8" t="s">
        <v>200</v>
      </c>
      <c r="F111" s="8" t="s">
        <v>2489</v>
      </c>
      <c r="G111" s="8" t="s">
        <v>2490</v>
      </c>
      <c r="H111" s="8" t="s">
        <v>2491</v>
      </c>
      <c r="I111" s="8" t="s">
        <v>117</v>
      </c>
      <c r="J111" s="8" t="s">
        <v>56</v>
      </c>
      <c r="K111" s="43">
        <v>1.0E9</v>
      </c>
      <c r="L111" s="8" t="s">
        <v>52</v>
      </c>
      <c r="M111" s="8" t="s">
        <v>1776</v>
      </c>
      <c r="N111" s="8" t="s">
        <v>200</v>
      </c>
      <c r="O111" s="32">
        <v>43355.0</v>
      </c>
      <c r="P111" s="7">
        <v>4.0</v>
      </c>
      <c r="Q111" s="32">
        <v>45181.0</v>
      </c>
      <c r="R111" s="8" t="s">
        <v>50</v>
      </c>
      <c r="S111" s="8" t="s">
        <v>190</v>
      </c>
      <c r="T111" s="8" t="s">
        <v>49</v>
      </c>
      <c r="U111" s="8" t="s">
        <v>263</v>
      </c>
    </row>
    <row r="112">
      <c r="A112" s="8" t="s">
        <v>1292</v>
      </c>
      <c r="B112" s="8" t="s">
        <v>1295</v>
      </c>
      <c r="C112" s="8" t="s">
        <v>71</v>
      </c>
      <c r="D112" s="8" t="s">
        <v>54</v>
      </c>
      <c r="E112" s="8" t="s">
        <v>45</v>
      </c>
      <c r="F112" s="8" t="s">
        <v>1888</v>
      </c>
      <c r="G112" s="8" t="s">
        <v>174</v>
      </c>
      <c r="H112" s="8" t="s">
        <v>1889</v>
      </c>
      <c r="I112" s="8" t="s">
        <v>55</v>
      </c>
      <c r="J112" s="8" t="s">
        <v>70</v>
      </c>
      <c r="K112" s="7">
        <v>7.96047E7</v>
      </c>
      <c r="L112" s="8" t="s">
        <v>52</v>
      </c>
      <c r="M112" s="8" t="s">
        <v>1840</v>
      </c>
      <c r="N112" s="8" t="s">
        <v>45</v>
      </c>
      <c r="O112" s="32">
        <v>43398.0</v>
      </c>
      <c r="P112" s="7">
        <v>0.0</v>
      </c>
      <c r="Q112" s="32">
        <v>45224.0</v>
      </c>
      <c r="R112" s="8" t="s">
        <v>76</v>
      </c>
      <c r="S112" s="8" t="s">
        <v>54</v>
      </c>
      <c r="T112" s="8" t="s">
        <v>49</v>
      </c>
      <c r="U112" s="8" t="s">
        <v>53</v>
      </c>
    </row>
    <row r="113">
      <c r="A113" s="8" t="s">
        <v>1292</v>
      </c>
      <c r="B113" s="8" t="s">
        <v>1295</v>
      </c>
      <c r="C113" s="8" t="s">
        <v>71</v>
      </c>
      <c r="D113" s="8" t="s">
        <v>54</v>
      </c>
      <c r="E113" s="8" t="s">
        <v>45</v>
      </c>
      <c r="F113" s="8" t="s">
        <v>1891</v>
      </c>
      <c r="G113" s="8" t="s">
        <v>174</v>
      </c>
      <c r="H113" s="8" t="s">
        <v>1892</v>
      </c>
      <c r="I113" s="8" t="s">
        <v>55</v>
      </c>
      <c r="J113" s="8" t="s">
        <v>70</v>
      </c>
      <c r="K113" s="7">
        <v>7.96047E7</v>
      </c>
      <c r="L113" s="8" t="s">
        <v>52</v>
      </c>
      <c r="M113" s="8" t="s">
        <v>1840</v>
      </c>
      <c r="N113" s="8" t="s">
        <v>45</v>
      </c>
      <c r="O113" s="32">
        <v>43398.0</v>
      </c>
      <c r="P113" s="7">
        <v>0.0</v>
      </c>
      <c r="Q113" s="32">
        <v>45955.0</v>
      </c>
      <c r="R113" s="8" t="s">
        <v>69</v>
      </c>
      <c r="S113" s="8" t="s">
        <v>54</v>
      </c>
      <c r="T113" s="8" t="s">
        <v>49</v>
      </c>
      <c r="U113" s="8" t="s">
        <v>53</v>
      </c>
    </row>
    <row r="114">
      <c r="A114" s="8" t="s">
        <v>1292</v>
      </c>
      <c r="B114" s="8" t="s">
        <v>1295</v>
      </c>
      <c r="C114" s="8" t="s">
        <v>71</v>
      </c>
      <c r="D114" s="8" t="s">
        <v>54</v>
      </c>
      <c r="E114" s="8" t="s">
        <v>45</v>
      </c>
      <c r="F114" s="8" t="s">
        <v>1894</v>
      </c>
      <c r="G114" s="8" t="s">
        <v>174</v>
      </c>
      <c r="H114" s="8" t="s">
        <v>1895</v>
      </c>
      <c r="I114" s="8" t="s">
        <v>55</v>
      </c>
      <c r="J114" s="8" t="s">
        <v>70</v>
      </c>
      <c r="K114" s="7">
        <v>7.96047E7</v>
      </c>
      <c r="L114" s="8" t="s">
        <v>52</v>
      </c>
      <c r="M114" s="8" t="s">
        <v>1840</v>
      </c>
      <c r="N114" s="8" t="s">
        <v>45</v>
      </c>
      <c r="O114" s="32">
        <v>43398.0</v>
      </c>
      <c r="P114" s="7">
        <v>0.0</v>
      </c>
      <c r="Q114" s="32">
        <v>47051.0</v>
      </c>
      <c r="R114" s="8" t="s">
        <v>51</v>
      </c>
      <c r="S114" s="8" t="s">
        <v>54</v>
      </c>
      <c r="T114" s="8" t="s">
        <v>49</v>
      </c>
      <c r="U114" s="8" t="s">
        <v>53</v>
      </c>
    </row>
    <row r="115">
      <c r="A115" s="8" t="s">
        <v>1360</v>
      </c>
      <c r="B115" s="8" t="s">
        <v>1363</v>
      </c>
      <c r="C115" s="8" t="s">
        <v>57</v>
      </c>
      <c r="D115" s="8" t="s">
        <v>54</v>
      </c>
      <c r="E115" s="8" t="s">
        <v>200</v>
      </c>
      <c r="F115" s="8" t="s">
        <v>3221</v>
      </c>
      <c r="G115" s="8" t="s">
        <v>3222</v>
      </c>
      <c r="H115" s="8" t="s">
        <v>3223</v>
      </c>
      <c r="I115" s="8" t="s">
        <v>117</v>
      </c>
      <c r="J115" s="8" t="s">
        <v>56</v>
      </c>
      <c r="K115" s="7" t="s">
        <v>5293</v>
      </c>
      <c r="L115" s="8" t="s">
        <v>52</v>
      </c>
      <c r="M115" s="8" t="s">
        <v>1771</v>
      </c>
      <c r="N115" s="8" t="s">
        <v>200</v>
      </c>
      <c r="O115" s="32">
        <v>43361.0</v>
      </c>
      <c r="P115" s="7">
        <v>1.0</v>
      </c>
      <c r="Q115" s="32">
        <v>45187.0</v>
      </c>
      <c r="R115" s="8" t="s">
        <v>226</v>
      </c>
      <c r="S115" s="8" t="s">
        <v>175</v>
      </c>
      <c r="T115" s="8" t="s">
        <v>115</v>
      </c>
      <c r="U115" s="8" t="s">
        <v>53</v>
      </c>
    </row>
    <row r="116">
      <c r="A116" s="8" t="s">
        <v>642</v>
      </c>
      <c r="B116" s="8" t="s">
        <v>645</v>
      </c>
      <c r="C116" s="8" t="s">
        <v>71</v>
      </c>
      <c r="D116" s="42">
        <v>4974.0</v>
      </c>
      <c r="E116" s="8" t="s">
        <v>200</v>
      </c>
      <c r="F116" s="8" t="s">
        <v>2426</v>
      </c>
      <c r="G116" s="8" t="s">
        <v>2427</v>
      </c>
      <c r="H116" s="8" t="s">
        <v>2428</v>
      </c>
      <c r="I116" s="8" t="s">
        <v>55</v>
      </c>
      <c r="J116" s="8" t="s">
        <v>56</v>
      </c>
      <c r="K116" s="7" t="s">
        <v>5223</v>
      </c>
      <c r="L116" s="8" t="s">
        <v>52</v>
      </c>
      <c r="M116" s="8" t="s">
        <v>1776</v>
      </c>
      <c r="N116" s="8" t="s">
        <v>367</v>
      </c>
      <c r="O116" s="32">
        <v>43357.0</v>
      </c>
      <c r="P116" s="42">
        <v>4875.0</v>
      </c>
      <c r="Q116" s="32">
        <v>47283.0</v>
      </c>
      <c r="R116" s="8" t="s">
        <v>262</v>
      </c>
      <c r="S116" s="8" t="s">
        <v>620</v>
      </c>
      <c r="T116" s="8" t="s">
        <v>49</v>
      </c>
      <c r="U116" s="8" t="s">
        <v>263</v>
      </c>
    </row>
    <row r="117">
      <c r="A117" s="8" t="s">
        <v>642</v>
      </c>
      <c r="B117" s="8" t="s">
        <v>645</v>
      </c>
      <c r="C117" s="8" t="s">
        <v>71</v>
      </c>
      <c r="D117" s="42">
        <v>4974.0</v>
      </c>
      <c r="E117" s="8" t="s">
        <v>200</v>
      </c>
      <c r="F117" s="8" t="s">
        <v>2430</v>
      </c>
      <c r="G117" s="8" t="s">
        <v>2431</v>
      </c>
      <c r="H117" s="8" t="s">
        <v>2432</v>
      </c>
      <c r="I117" s="8" t="s">
        <v>55</v>
      </c>
      <c r="J117" s="8" t="s">
        <v>56</v>
      </c>
      <c r="K117" s="7" t="s">
        <v>5223</v>
      </c>
      <c r="L117" s="8" t="s">
        <v>52</v>
      </c>
      <c r="M117" s="8" t="s">
        <v>1776</v>
      </c>
      <c r="N117" s="8" t="s">
        <v>367</v>
      </c>
      <c r="O117" s="32">
        <v>43357.0</v>
      </c>
      <c r="P117" s="42">
        <v>4875.0</v>
      </c>
      <c r="Q117" s="32">
        <v>47283.0</v>
      </c>
      <c r="R117" s="8" t="s">
        <v>271</v>
      </c>
      <c r="S117" s="8" t="s">
        <v>620</v>
      </c>
      <c r="T117" s="8" t="s">
        <v>49</v>
      </c>
      <c r="U117" s="8" t="s">
        <v>263</v>
      </c>
    </row>
    <row r="118">
      <c r="A118" s="8" t="s">
        <v>894</v>
      </c>
      <c r="B118" s="8" t="s">
        <v>897</v>
      </c>
      <c r="C118" s="8" t="s">
        <v>392</v>
      </c>
      <c r="D118" s="8" t="s">
        <v>54</v>
      </c>
      <c r="E118" s="8" t="s">
        <v>368</v>
      </c>
      <c r="F118" s="8" t="s">
        <v>2598</v>
      </c>
      <c r="G118" s="8" t="s">
        <v>2599</v>
      </c>
      <c r="H118" s="8" t="s">
        <v>2600</v>
      </c>
      <c r="I118" s="8" t="s">
        <v>55</v>
      </c>
      <c r="J118" s="8" t="s">
        <v>70</v>
      </c>
      <c r="K118" s="7">
        <v>3.41481E7</v>
      </c>
      <c r="L118" s="8" t="s">
        <v>52</v>
      </c>
      <c r="M118" s="8" t="s">
        <v>174</v>
      </c>
      <c r="N118" s="8" t="s">
        <v>368</v>
      </c>
      <c r="O118" s="32">
        <v>43363.0</v>
      </c>
      <c r="P118" s="42">
        <v>1661.0</v>
      </c>
      <c r="Q118" s="32">
        <v>45189.0</v>
      </c>
      <c r="R118" s="8" t="s">
        <v>686</v>
      </c>
      <c r="S118" s="8" t="s">
        <v>54</v>
      </c>
      <c r="T118" s="8" t="s">
        <v>49</v>
      </c>
      <c r="U118" s="8" t="s">
        <v>687</v>
      </c>
    </row>
    <row r="119">
      <c r="A119" s="8" t="s">
        <v>755</v>
      </c>
      <c r="B119" s="8" t="s">
        <v>758</v>
      </c>
      <c r="C119" s="8" t="s">
        <v>71</v>
      </c>
      <c r="D119" s="42">
        <v>6125.0</v>
      </c>
      <c r="E119" s="8" t="s">
        <v>259</v>
      </c>
      <c r="F119" s="8" t="s">
        <v>3303</v>
      </c>
      <c r="G119" s="8" t="s">
        <v>3304</v>
      </c>
      <c r="H119" s="8" t="s">
        <v>3305</v>
      </c>
      <c r="I119" s="8" t="s">
        <v>55</v>
      </c>
      <c r="J119" s="8" t="s">
        <v>56</v>
      </c>
      <c r="K119" s="7" t="s">
        <v>5294</v>
      </c>
      <c r="L119" s="8" t="s">
        <v>52</v>
      </c>
      <c r="M119" s="8" t="s">
        <v>1776</v>
      </c>
      <c r="N119" s="8" t="s">
        <v>258</v>
      </c>
      <c r="O119" s="32">
        <v>43363.0</v>
      </c>
      <c r="P119" s="7">
        <v>6.0</v>
      </c>
      <c r="Q119" s="32">
        <v>47133.0</v>
      </c>
      <c r="R119" s="8" t="s">
        <v>262</v>
      </c>
      <c r="S119" s="8" t="s">
        <v>497</v>
      </c>
      <c r="T119" s="8" t="s">
        <v>115</v>
      </c>
      <c r="U119" s="8" t="s">
        <v>263</v>
      </c>
    </row>
    <row r="120">
      <c r="A120" s="8" t="s">
        <v>755</v>
      </c>
      <c r="B120" s="8" t="s">
        <v>758</v>
      </c>
      <c r="C120" s="8" t="s">
        <v>71</v>
      </c>
      <c r="D120" s="42">
        <v>6125.0</v>
      </c>
      <c r="E120" s="8" t="s">
        <v>259</v>
      </c>
      <c r="F120" s="8" t="s">
        <v>3307</v>
      </c>
      <c r="G120" s="8" t="s">
        <v>3308</v>
      </c>
      <c r="H120" s="8" t="s">
        <v>3309</v>
      </c>
      <c r="I120" s="8" t="s">
        <v>55</v>
      </c>
      <c r="J120" s="8" t="s">
        <v>56</v>
      </c>
      <c r="K120" s="7" t="s">
        <v>5294</v>
      </c>
      <c r="L120" s="8" t="s">
        <v>52</v>
      </c>
      <c r="M120" s="8" t="s">
        <v>1776</v>
      </c>
      <c r="N120" s="8" t="s">
        <v>258</v>
      </c>
      <c r="O120" s="32">
        <v>43363.0</v>
      </c>
      <c r="P120" s="7">
        <v>6.0</v>
      </c>
      <c r="Q120" s="32">
        <v>47133.0</v>
      </c>
      <c r="R120" s="8" t="s">
        <v>271</v>
      </c>
      <c r="S120" s="8" t="s">
        <v>497</v>
      </c>
      <c r="T120" s="8" t="s">
        <v>115</v>
      </c>
      <c r="U120" s="8" t="s">
        <v>263</v>
      </c>
    </row>
    <row r="121">
      <c r="A121" s="8" t="s">
        <v>947</v>
      </c>
      <c r="B121" s="8" t="s">
        <v>950</v>
      </c>
      <c r="C121" s="8" t="s">
        <v>57</v>
      </c>
      <c r="D121" s="8" t="s">
        <v>54</v>
      </c>
      <c r="E121" s="8" t="s">
        <v>367</v>
      </c>
      <c r="F121" s="8" t="s">
        <v>2957</v>
      </c>
      <c r="G121" s="8" t="s">
        <v>2958</v>
      </c>
      <c r="H121" s="8" t="s">
        <v>2959</v>
      </c>
      <c r="I121" s="8" t="s">
        <v>55</v>
      </c>
      <c r="J121" s="8" t="s">
        <v>56</v>
      </c>
      <c r="K121" s="7" t="s">
        <v>5295</v>
      </c>
      <c r="L121" s="8" t="s">
        <v>52</v>
      </c>
      <c r="M121" s="8" t="s">
        <v>1771</v>
      </c>
      <c r="N121" s="8" t="s">
        <v>367</v>
      </c>
      <c r="O121" s="32">
        <v>43389.0</v>
      </c>
      <c r="P121" s="42">
        <v>1375.0</v>
      </c>
      <c r="Q121" s="32">
        <v>47042.0</v>
      </c>
      <c r="R121" s="8" t="s">
        <v>226</v>
      </c>
      <c r="S121" s="8" t="s">
        <v>1646</v>
      </c>
      <c r="T121" s="8" t="s">
        <v>115</v>
      </c>
      <c r="U121" s="8" t="s">
        <v>53</v>
      </c>
    </row>
    <row r="122">
      <c r="A122" s="8" t="s">
        <v>1336</v>
      </c>
      <c r="B122" s="8" t="s">
        <v>1339</v>
      </c>
      <c r="C122" s="8" t="s">
        <v>57</v>
      </c>
      <c r="D122" s="8" t="s">
        <v>54</v>
      </c>
      <c r="E122" s="8" t="s">
        <v>1340</v>
      </c>
      <c r="F122" s="8" t="s">
        <v>2320</v>
      </c>
      <c r="G122" s="8" t="s">
        <v>2321</v>
      </c>
      <c r="H122" s="8" t="s">
        <v>2322</v>
      </c>
      <c r="I122" s="8" t="s">
        <v>55</v>
      </c>
      <c r="J122" s="8" t="s">
        <v>56</v>
      </c>
      <c r="K122" s="7" t="s">
        <v>5296</v>
      </c>
      <c r="L122" s="8" t="s">
        <v>52</v>
      </c>
      <c r="M122" s="8" t="s">
        <v>174</v>
      </c>
      <c r="N122" s="8" t="s">
        <v>170</v>
      </c>
      <c r="O122" s="32">
        <v>43398.0</v>
      </c>
      <c r="P122" s="7" t="s">
        <v>5297</v>
      </c>
      <c r="Q122" s="32">
        <v>45224.0</v>
      </c>
      <c r="R122" s="8" t="s">
        <v>226</v>
      </c>
      <c r="S122" s="8" t="s">
        <v>175</v>
      </c>
      <c r="T122" s="8" t="s">
        <v>115</v>
      </c>
      <c r="U122" s="8" t="s">
        <v>1807</v>
      </c>
    </row>
    <row r="123">
      <c r="A123" s="8" t="s">
        <v>529</v>
      </c>
      <c r="B123" s="8" t="s">
        <v>532</v>
      </c>
      <c r="C123" s="8" t="s">
        <v>57</v>
      </c>
      <c r="D123" s="8" t="s">
        <v>54</v>
      </c>
      <c r="E123" s="8" t="s">
        <v>258</v>
      </c>
      <c r="F123" s="8" t="s">
        <v>3415</v>
      </c>
      <c r="G123" s="8" t="s">
        <v>3416</v>
      </c>
      <c r="H123" s="8" t="s">
        <v>3417</v>
      </c>
      <c r="I123" s="8" t="s">
        <v>55</v>
      </c>
      <c r="J123" s="8" t="s">
        <v>56</v>
      </c>
      <c r="K123" s="7" t="s">
        <v>5298</v>
      </c>
      <c r="L123" s="8" t="s">
        <v>52</v>
      </c>
      <c r="M123" s="8" t="s">
        <v>1840</v>
      </c>
      <c r="N123" s="8" t="s">
        <v>258</v>
      </c>
      <c r="O123" s="32">
        <v>43420.0</v>
      </c>
      <c r="P123" s="42">
        <v>3125.0</v>
      </c>
      <c r="Q123" s="32">
        <v>45246.0</v>
      </c>
      <c r="R123" s="8" t="s">
        <v>174</v>
      </c>
      <c r="S123" s="8" t="s">
        <v>54</v>
      </c>
      <c r="T123" s="8" t="s">
        <v>49</v>
      </c>
      <c r="U123" s="8" t="s">
        <v>53</v>
      </c>
    </row>
    <row r="124">
      <c r="A124" s="8" t="s">
        <v>1067</v>
      </c>
      <c r="B124" s="8" t="s">
        <v>1070</v>
      </c>
      <c r="C124" s="8" t="s">
        <v>57</v>
      </c>
      <c r="D124" s="8" t="s">
        <v>54</v>
      </c>
      <c r="E124" s="8" t="s">
        <v>185</v>
      </c>
      <c r="F124" s="8" t="s">
        <v>1837</v>
      </c>
      <c r="G124" s="8" t="s">
        <v>1838</v>
      </c>
      <c r="H124" s="8" t="s">
        <v>1839</v>
      </c>
      <c r="I124" s="8" t="s">
        <v>55</v>
      </c>
      <c r="J124" s="8" t="s">
        <v>56</v>
      </c>
      <c r="K124" s="7" t="s">
        <v>5299</v>
      </c>
      <c r="L124" s="8" t="s">
        <v>52</v>
      </c>
      <c r="M124" s="8" t="s">
        <v>1840</v>
      </c>
      <c r="N124" s="8" t="s">
        <v>185</v>
      </c>
      <c r="O124" s="32">
        <v>43411.0</v>
      </c>
      <c r="P124" s="7" t="s">
        <v>5238</v>
      </c>
      <c r="Q124" s="32">
        <v>45784.0</v>
      </c>
      <c r="R124" s="8" t="s">
        <v>174</v>
      </c>
      <c r="S124" s="8" t="s">
        <v>190</v>
      </c>
      <c r="T124" s="8" t="s">
        <v>115</v>
      </c>
      <c r="U124" s="8" t="s">
        <v>53</v>
      </c>
    </row>
    <row r="125">
      <c r="A125" s="8" t="s">
        <v>1432</v>
      </c>
      <c r="B125" s="8" t="s">
        <v>1435</v>
      </c>
      <c r="C125" s="8" t="s">
        <v>57</v>
      </c>
      <c r="D125" s="8" t="s">
        <v>54</v>
      </c>
      <c r="E125" s="8" t="s">
        <v>368</v>
      </c>
      <c r="F125" s="8" t="s">
        <v>1862</v>
      </c>
      <c r="G125" s="8" t="s">
        <v>1863</v>
      </c>
      <c r="H125" s="8" t="s">
        <v>1864</v>
      </c>
      <c r="I125" s="8" t="s">
        <v>55</v>
      </c>
      <c r="J125" s="8" t="s">
        <v>56</v>
      </c>
      <c r="K125" s="7">
        <v>5.97265E7</v>
      </c>
      <c r="L125" s="8" t="s">
        <v>52</v>
      </c>
      <c r="M125" s="8" t="s">
        <v>174</v>
      </c>
      <c r="N125" s="8" t="s">
        <v>368</v>
      </c>
      <c r="O125" s="32">
        <v>43410.0</v>
      </c>
      <c r="P125" s="42">
        <v>3845.0</v>
      </c>
      <c r="Q125" s="32">
        <v>47063.0</v>
      </c>
      <c r="R125" s="8" t="s">
        <v>174</v>
      </c>
      <c r="S125" s="8" t="s">
        <v>54</v>
      </c>
      <c r="T125" s="8" t="s">
        <v>49</v>
      </c>
      <c r="U125" s="8" t="s">
        <v>610</v>
      </c>
    </row>
    <row r="126">
      <c r="A126" s="8" t="s">
        <v>1067</v>
      </c>
      <c r="B126" s="8" t="s">
        <v>1070</v>
      </c>
      <c r="C126" s="8" t="s">
        <v>57</v>
      </c>
      <c r="D126" s="8" t="s">
        <v>54</v>
      </c>
      <c r="E126" s="8" t="s">
        <v>185</v>
      </c>
      <c r="F126" s="8" t="s">
        <v>1842</v>
      </c>
      <c r="G126" s="8" t="s">
        <v>1843</v>
      </c>
      <c r="H126" s="8" t="s">
        <v>1844</v>
      </c>
      <c r="I126" s="8" t="s">
        <v>55</v>
      </c>
      <c r="J126" s="8" t="s">
        <v>56</v>
      </c>
      <c r="K126" s="7" t="s">
        <v>5215</v>
      </c>
      <c r="L126" s="8" t="s">
        <v>52</v>
      </c>
      <c r="M126" s="8" t="s">
        <v>1840</v>
      </c>
      <c r="N126" s="8" t="s">
        <v>185</v>
      </c>
      <c r="O126" s="32">
        <v>43411.0</v>
      </c>
      <c r="P126" s="7" t="s">
        <v>5235</v>
      </c>
      <c r="Q126" s="32">
        <v>44688.0</v>
      </c>
      <c r="R126" s="8" t="s">
        <v>174</v>
      </c>
      <c r="S126" s="8" t="s">
        <v>190</v>
      </c>
      <c r="T126" s="8" t="s">
        <v>115</v>
      </c>
      <c r="U126" s="8" t="s">
        <v>53</v>
      </c>
    </row>
    <row r="127">
      <c r="A127" s="8" t="s">
        <v>1067</v>
      </c>
      <c r="B127" s="8" t="s">
        <v>1070</v>
      </c>
      <c r="C127" s="8" t="s">
        <v>57</v>
      </c>
      <c r="D127" s="8" t="s">
        <v>54</v>
      </c>
      <c r="E127" s="8" t="s">
        <v>185</v>
      </c>
      <c r="F127" s="8" t="s">
        <v>1846</v>
      </c>
      <c r="G127" s="8" t="s">
        <v>1847</v>
      </c>
      <c r="H127" s="8" t="s">
        <v>1848</v>
      </c>
      <c r="I127" s="8" t="s">
        <v>55</v>
      </c>
      <c r="J127" s="8" t="s">
        <v>56</v>
      </c>
      <c r="K127" s="7" t="s">
        <v>5300</v>
      </c>
      <c r="L127" s="8" t="s">
        <v>52</v>
      </c>
      <c r="M127" s="8" t="s">
        <v>1776</v>
      </c>
      <c r="N127" s="8" t="s">
        <v>185</v>
      </c>
      <c r="O127" s="32">
        <v>43411.0</v>
      </c>
      <c r="P127" s="7" t="s">
        <v>5219</v>
      </c>
      <c r="Q127" s="32">
        <v>47064.0</v>
      </c>
      <c r="R127" s="8" t="s">
        <v>174</v>
      </c>
      <c r="S127" s="8" t="s">
        <v>190</v>
      </c>
      <c r="T127" s="8" t="s">
        <v>115</v>
      </c>
      <c r="U127" s="8" t="s">
        <v>53</v>
      </c>
    </row>
    <row r="128">
      <c r="A128" s="8" t="s">
        <v>1199</v>
      </c>
      <c r="B128" s="8" t="s">
        <v>1202</v>
      </c>
      <c r="C128" s="8" t="s">
        <v>71</v>
      </c>
      <c r="D128" s="8" t="s">
        <v>54</v>
      </c>
      <c r="E128" s="8" t="s">
        <v>1203</v>
      </c>
      <c r="F128" s="8" t="s">
        <v>2943</v>
      </c>
      <c r="G128" s="8" t="s">
        <v>2944</v>
      </c>
      <c r="H128" s="8" t="s">
        <v>2945</v>
      </c>
      <c r="I128" s="8" t="s">
        <v>55</v>
      </c>
      <c r="J128" s="8" t="s">
        <v>56</v>
      </c>
      <c r="K128" s="7" t="s">
        <v>5301</v>
      </c>
      <c r="L128" s="8" t="s">
        <v>52</v>
      </c>
      <c r="M128" s="8" t="s">
        <v>174</v>
      </c>
      <c r="N128" s="8" t="s">
        <v>1203</v>
      </c>
      <c r="O128" s="32">
        <v>43432.0</v>
      </c>
      <c r="P128" s="7" t="s">
        <v>5263</v>
      </c>
      <c r="Q128" s="32">
        <v>44893.0</v>
      </c>
      <c r="R128" s="8" t="s">
        <v>174</v>
      </c>
      <c r="S128" s="8" t="s">
        <v>54</v>
      </c>
      <c r="T128" s="8" t="s">
        <v>49</v>
      </c>
      <c r="U128" s="8" t="s">
        <v>53</v>
      </c>
    </row>
    <row r="129">
      <c r="A129" s="8" t="s">
        <v>1076</v>
      </c>
      <c r="B129" s="8" t="s">
        <v>1079</v>
      </c>
      <c r="C129" s="8" t="s">
        <v>71</v>
      </c>
      <c r="D129" s="8" t="s">
        <v>54</v>
      </c>
      <c r="E129" s="8" t="s">
        <v>185</v>
      </c>
      <c r="F129" s="8" t="s">
        <v>2561</v>
      </c>
      <c r="G129" s="8" t="s">
        <v>174</v>
      </c>
      <c r="H129" s="8" t="s">
        <v>2562</v>
      </c>
      <c r="I129" s="8" t="s">
        <v>885</v>
      </c>
      <c r="J129" s="8" t="s">
        <v>70</v>
      </c>
      <c r="K129" s="7" t="s">
        <v>5302</v>
      </c>
      <c r="L129" s="8" t="s">
        <v>52</v>
      </c>
      <c r="M129" s="8" t="s">
        <v>2563</v>
      </c>
      <c r="N129" s="8" t="s">
        <v>185</v>
      </c>
      <c r="O129" s="32">
        <v>43454.0</v>
      </c>
      <c r="P129" s="7">
        <v>0.0</v>
      </c>
      <c r="Q129" s="32">
        <v>44915.0</v>
      </c>
      <c r="R129" s="8" t="s">
        <v>162</v>
      </c>
      <c r="S129" s="8" t="s">
        <v>54</v>
      </c>
      <c r="T129" s="8" t="s">
        <v>49</v>
      </c>
      <c r="U129" s="8" t="s">
        <v>53</v>
      </c>
    </row>
    <row r="130">
      <c r="A130" s="8" t="s">
        <v>1076</v>
      </c>
      <c r="B130" s="8" t="s">
        <v>1079</v>
      </c>
      <c r="C130" s="8" t="s">
        <v>71</v>
      </c>
      <c r="D130" s="8" t="s">
        <v>54</v>
      </c>
      <c r="E130" s="8" t="s">
        <v>185</v>
      </c>
      <c r="F130" s="8" t="s">
        <v>2565</v>
      </c>
      <c r="G130" s="8" t="s">
        <v>174</v>
      </c>
      <c r="H130" s="8" t="s">
        <v>2566</v>
      </c>
      <c r="I130" s="8" t="s">
        <v>885</v>
      </c>
      <c r="J130" s="8" t="s">
        <v>70</v>
      </c>
      <c r="K130" s="7" t="s">
        <v>5303</v>
      </c>
      <c r="L130" s="8" t="s">
        <v>52</v>
      </c>
      <c r="M130" s="8" t="s">
        <v>2563</v>
      </c>
      <c r="N130" s="8" t="s">
        <v>185</v>
      </c>
      <c r="O130" s="32">
        <v>43454.0</v>
      </c>
      <c r="P130" s="7">
        <v>0.0</v>
      </c>
      <c r="Q130" s="32">
        <v>45646.0</v>
      </c>
      <c r="R130" s="8" t="s">
        <v>158</v>
      </c>
      <c r="S130" s="8" t="s">
        <v>54</v>
      </c>
      <c r="T130" s="8" t="s">
        <v>49</v>
      </c>
      <c r="U130" s="8" t="s">
        <v>53</v>
      </c>
    </row>
    <row r="131">
      <c r="A131" s="8" t="s">
        <v>1076</v>
      </c>
      <c r="B131" s="8" t="s">
        <v>1079</v>
      </c>
      <c r="C131" s="8" t="s">
        <v>392</v>
      </c>
      <c r="D131" s="8" t="s">
        <v>54</v>
      </c>
      <c r="E131" s="8" t="s">
        <v>185</v>
      </c>
      <c r="F131" s="8" t="s">
        <v>2568</v>
      </c>
      <c r="G131" s="8" t="s">
        <v>174</v>
      </c>
      <c r="H131" s="8" t="s">
        <v>2569</v>
      </c>
      <c r="I131" s="8" t="s">
        <v>885</v>
      </c>
      <c r="J131" s="8" t="s">
        <v>70</v>
      </c>
      <c r="K131" s="7" t="s">
        <v>5304</v>
      </c>
      <c r="L131" s="8" t="s">
        <v>52</v>
      </c>
      <c r="M131" s="8" t="s">
        <v>2563</v>
      </c>
      <c r="N131" s="8" t="s">
        <v>185</v>
      </c>
      <c r="O131" s="32">
        <v>43454.0</v>
      </c>
      <c r="P131" s="7">
        <v>0.0</v>
      </c>
      <c r="Q131" s="32">
        <v>45280.0</v>
      </c>
      <c r="R131" s="8" t="s">
        <v>76</v>
      </c>
      <c r="S131" s="8" t="s">
        <v>54</v>
      </c>
      <c r="T131" s="8" t="s">
        <v>49</v>
      </c>
      <c r="U131" s="8" t="s">
        <v>263</v>
      </c>
    </row>
    <row r="132">
      <c r="A132" s="8" t="s">
        <v>1487</v>
      </c>
      <c r="B132" s="8" t="s">
        <v>1490</v>
      </c>
      <c r="C132" s="8" t="s">
        <v>57</v>
      </c>
      <c r="D132" s="8" t="s">
        <v>54</v>
      </c>
      <c r="E132" s="8" t="s">
        <v>185</v>
      </c>
      <c r="F132" s="8" t="s">
        <v>2264</v>
      </c>
      <c r="G132" s="8" t="s">
        <v>2265</v>
      </c>
      <c r="H132" s="8" t="s">
        <v>2266</v>
      </c>
      <c r="I132" s="8" t="s">
        <v>117</v>
      </c>
      <c r="J132" s="8" t="s">
        <v>56</v>
      </c>
      <c r="K132" s="7" t="s">
        <v>5233</v>
      </c>
      <c r="L132" s="8" t="s">
        <v>52</v>
      </c>
      <c r="M132" s="8" t="s">
        <v>1771</v>
      </c>
      <c r="N132" s="8" t="s">
        <v>185</v>
      </c>
      <c r="O132" s="32">
        <v>43438.0</v>
      </c>
      <c r="P132" s="7" t="s">
        <v>5238</v>
      </c>
      <c r="Q132" s="32">
        <v>46146.0</v>
      </c>
      <c r="R132" s="8" t="s">
        <v>226</v>
      </c>
      <c r="S132" s="8" t="s">
        <v>190</v>
      </c>
      <c r="T132" s="8" t="s">
        <v>115</v>
      </c>
      <c r="U132" s="8" t="s">
        <v>53</v>
      </c>
    </row>
    <row r="133">
      <c r="A133" s="8" t="s">
        <v>671</v>
      </c>
      <c r="B133" s="8" t="s">
        <v>674</v>
      </c>
      <c r="C133" s="8" t="s">
        <v>57</v>
      </c>
      <c r="D133" s="8" t="s">
        <v>54</v>
      </c>
      <c r="E133" s="8" t="s">
        <v>185</v>
      </c>
      <c r="F133" s="8" t="s">
        <v>2371</v>
      </c>
      <c r="G133" s="8" t="s">
        <v>2372</v>
      </c>
      <c r="H133" s="8" t="s">
        <v>2373</v>
      </c>
      <c r="I133" s="8" t="s">
        <v>421</v>
      </c>
      <c r="J133" s="8" t="s">
        <v>56</v>
      </c>
      <c r="K133" s="7" t="s">
        <v>5305</v>
      </c>
      <c r="L133" s="8" t="s">
        <v>52</v>
      </c>
      <c r="M133" s="8" t="s">
        <v>1771</v>
      </c>
      <c r="N133" s="8" t="s">
        <v>185</v>
      </c>
      <c r="O133" s="32">
        <v>43440.0</v>
      </c>
      <c r="P133" s="42">
        <v>1875.0</v>
      </c>
      <c r="Q133" s="32">
        <v>46087.0</v>
      </c>
      <c r="R133" s="8" t="s">
        <v>174</v>
      </c>
      <c r="S133" s="8" t="s">
        <v>190</v>
      </c>
      <c r="T133" s="8" t="s">
        <v>115</v>
      </c>
      <c r="U133" s="8" t="s">
        <v>53</v>
      </c>
    </row>
    <row r="134">
      <c r="A134" s="8" t="s">
        <v>1336</v>
      </c>
      <c r="B134" s="8" t="s">
        <v>1339</v>
      </c>
      <c r="C134" s="8" t="s">
        <v>71</v>
      </c>
      <c r="D134" s="42">
        <v>1995.0</v>
      </c>
      <c r="E134" s="8" t="s">
        <v>1340</v>
      </c>
      <c r="F134" s="8" t="s">
        <v>2324</v>
      </c>
      <c r="G134" s="8" t="s">
        <v>2325</v>
      </c>
      <c r="H134" s="8" t="s">
        <v>2326</v>
      </c>
      <c r="I134" s="8" t="s">
        <v>55</v>
      </c>
      <c r="J134" s="8" t="s">
        <v>56</v>
      </c>
      <c r="K134" s="7">
        <v>2.651991E7</v>
      </c>
      <c r="L134" s="8" t="s">
        <v>52</v>
      </c>
      <c r="M134" s="8" t="s">
        <v>1776</v>
      </c>
      <c r="N134" s="8" t="s">
        <v>170</v>
      </c>
      <c r="O134" s="32">
        <v>43444.0</v>
      </c>
      <c r="P134" s="42">
        <v>1995.0</v>
      </c>
      <c r="Q134" s="32">
        <v>47095.0</v>
      </c>
      <c r="R134" s="8" t="s">
        <v>226</v>
      </c>
      <c r="S134" s="8" t="s">
        <v>175</v>
      </c>
      <c r="T134" s="8" t="s">
        <v>49</v>
      </c>
      <c r="U134" s="8" t="s">
        <v>976</v>
      </c>
    </row>
    <row r="135">
      <c r="A135" s="8" t="s">
        <v>477</v>
      </c>
      <c r="B135" s="8" t="s">
        <v>480</v>
      </c>
      <c r="C135" s="8" t="s">
        <v>57</v>
      </c>
      <c r="D135" s="8" t="s">
        <v>54</v>
      </c>
      <c r="E135" s="8" t="s">
        <v>45</v>
      </c>
      <c r="F135" s="8" t="s">
        <v>1925</v>
      </c>
      <c r="G135" s="8" t="s">
        <v>1926</v>
      </c>
      <c r="H135" s="8" t="s">
        <v>1927</v>
      </c>
      <c r="I135" s="8" t="s">
        <v>55</v>
      </c>
      <c r="J135" s="8" t="s">
        <v>56</v>
      </c>
      <c r="K135" s="7">
        <v>1.13767E7</v>
      </c>
      <c r="L135" s="8" t="s">
        <v>459</v>
      </c>
      <c r="M135" s="8" t="s">
        <v>174</v>
      </c>
      <c r="N135" s="8" t="s">
        <v>45</v>
      </c>
      <c r="O135" s="32">
        <v>43446.0</v>
      </c>
      <c r="P135" s="7" t="s">
        <v>5306</v>
      </c>
      <c r="Q135" s="32">
        <v>47099.0</v>
      </c>
      <c r="R135" s="8">
        <v>212.0</v>
      </c>
      <c r="S135" s="8" t="s">
        <v>190</v>
      </c>
      <c r="T135" s="8" t="s">
        <v>49</v>
      </c>
      <c r="U135" s="8" t="s">
        <v>53</v>
      </c>
    </row>
    <row r="136">
      <c r="A136" s="8" t="s">
        <v>181</v>
      </c>
      <c r="B136" s="8" t="s">
        <v>184</v>
      </c>
      <c r="C136" s="8" t="s">
        <v>57</v>
      </c>
      <c r="D136" s="8" t="s">
        <v>54</v>
      </c>
      <c r="E136" s="8" t="s">
        <v>186</v>
      </c>
      <c r="F136" s="8" t="s">
        <v>3169</v>
      </c>
      <c r="G136" s="8" t="s">
        <v>3170</v>
      </c>
      <c r="H136" s="8" t="s">
        <v>3171</v>
      </c>
      <c r="I136" s="8" t="s">
        <v>133</v>
      </c>
      <c r="J136" s="8" t="s">
        <v>56</v>
      </c>
      <c r="K136" s="7" t="s">
        <v>5307</v>
      </c>
      <c r="L136" s="8" t="s">
        <v>52</v>
      </c>
      <c r="M136" s="8" t="s">
        <v>1771</v>
      </c>
      <c r="N136" s="8" t="s">
        <v>185</v>
      </c>
      <c r="O136" s="32">
        <v>43480.0</v>
      </c>
      <c r="P136" s="7" t="s">
        <v>5214</v>
      </c>
      <c r="Q136" s="32">
        <v>46767.0</v>
      </c>
      <c r="R136" s="8" t="s">
        <v>226</v>
      </c>
      <c r="S136" s="8" t="s">
        <v>190</v>
      </c>
      <c r="T136" s="8" t="s">
        <v>115</v>
      </c>
      <c r="U136" s="8" t="s">
        <v>53</v>
      </c>
    </row>
    <row r="137">
      <c r="A137" s="8" t="s">
        <v>1158</v>
      </c>
      <c r="B137" s="8" t="s">
        <v>1161</v>
      </c>
      <c r="C137" s="8" t="s">
        <v>57</v>
      </c>
      <c r="D137" s="8" t="s">
        <v>54</v>
      </c>
      <c r="E137" s="8" t="s">
        <v>185</v>
      </c>
      <c r="F137" s="8" t="s">
        <v>1795</v>
      </c>
      <c r="G137" s="8" t="s">
        <v>1796</v>
      </c>
      <c r="H137" s="8" t="s">
        <v>1797</v>
      </c>
      <c r="I137" s="8" t="s">
        <v>117</v>
      </c>
      <c r="J137" s="8" t="s">
        <v>56</v>
      </c>
      <c r="K137" s="7" t="s">
        <v>5308</v>
      </c>
      <c r="L137" s="8" t="s">
        <v>52</v>
      </c>
      <c r="M137" s="8" t="s">
        <v>1776</v>
      </c>
      <c r="N137" s="8" t="s">
        <v>185</v>
      </c>
      <c r="O137" s="32">
        <v>43500.0</v>
      </c>
      <c r="P137" s="7">
        <v>3.0</v>
      </c>
      <c r="Q137" s="32">
        <v>46057.0</v>
      </c>
      <c r="R137" s="8" t="s">
        <v>174</v>
      </c>
      <c r="S137" s="8" t="s">
        <v>264</v>
      </c>
      <c r="T137" s="8" t="s">
        <v>115</v>
      </c>
      <c r="U137" s="8" t="s">
        <v>53</v>
      </c>
    </row>
    <row r="138">
      <c r="A138" s="8" t="s">
        <v>477</v>
      </c>
      <c r="B138" s="8" t="s">
        <v>480</v>
      </c>
      <c r="C138" s="8" t="s">
        <v>57</v>
      </c>
      <c r="D138" s="8" t="s">
        <v>54</v>
      </c>
      <c r="E138" s="8" t="s">
        <v>45</v>
      </c>
      <c r="F138" s="8" t="s">
        <v>1929</v>
      </c>
      <c r="G138" s="8" t="s">
        <v>1930</v>
      </c>
      <c r="H138" s="8" t="s">
        <v>1931</v>
      </c>
      <c r="I138" s="8" t="s">
        <v>55</v>
      </c>
      <c r="J138" s="8" t="s">
        <v>56</v>
      </c>
      <c r="K138" s="7" t="s">
        <v>5302</v>
      </c>
      <c r="L138" s="8" t="s">
        <v>483</v>
      </c>
      <c r="M138" s="8" t="s">
        <v>174</v>
      </c>
      <c r="N138" s="8" t="s">
        <v>45</v>
      </c>
      <c r="O138" s="32">
        <v>43501.0</v>
      </c>
      <c r="P138" s="7">
        <v>1.0</v>
      </c>
      <c r="Q138" s="32">
        <v>46058.0</v>
      </c>
      <c r="R138" s="8" t="s">
        <v>226</v>
      </c>
      <c r="S138" s="8" t="s">
        <v>484</v>
      </c>
      <c r="T138" s="8" t="s">
        <v>49</v>
      </c>
      <c r="U138" s="8" t="s">
        <v>53</v>
      </c>
    </row>
    <row r="139">
      <c r="A139" s="8" t="s">
        <v>1360</v>
      </c>
      <c r="B139" s="8" t="s">
        <v>1363</v>
      </c>
      <c r="C139" s="8" t="s">
        <v>57</v>
      </c>
      <c r="D139" s="8" t="s">
        <v>54</v>
      </c>
      <c r="E139" s="8" t="s">
        <v>200</v>
      </c>
      <c r="F139" s="8" t="s">
        <v>3225</v>
      </c>
      <c r="G139" s="8" t="s">
        <v>3226</v>
      </c>
      <c r="H139" s="8" t="s">
        <v>3227</v>
      </c>
      <c r="I139" s="8" t="s">
        <v>117</v>
      </c>
      <c r="J139" s="8" t="s">
        <v>56</v>
      </c>
      <c r="K139" s="7" t="s">
        <v>5305</v>
      </c>
      <c r="L139" s="8" t="s">
        <v>52</v>
      </c>
      <c r="M139" s="8" t="s">
        <v>174</v>
      </c>
      <c r="N139" s="8" t="s">
        <v>200</v>
      </c>
      <c r="O139" s="32">
        <v>43524.0</v>
      </c>
      <c r="P139" s="7" t="s">
        <v>5217</v>
      </c>
      <c r="Q139" s="32">
        <v>45897.0</v>
      </c>
      <c r="R139" s="8" t="s">
        <v>226</v>
      </c>
      <c r="S139" s="8" t="s">
        <v>175</v>
      </c>
      <c r="T139" s="8" t="s">
        <v>115</v>
      </c>
      <c r="U139" s="8" t="s">
        <v>53</v>
      </c>
    </row>
    <row r="140">
      <c r="A140" s="8" t="s">
        <v>1336</v>
      </c>
      <c r="B140" s="8" t="s">
        <v>1339</v>
      </c>
      <c r="C140" s="8" t="s">
        <v>57</v>
      </c>
      <c r="D140" s="7" t="s">
        <v>5309</v>
      </c>
      <c r="E140" s="8" t="s">
        <v>1340</v>
      </c>
      <c r="F140" s="8" t="s">
        <v>2328</v>
      </c>
      <c r="G140" s="8" t="s">
        <v>2329</v>
      </c>
      <c r="H140" s="8" t="s">
        <v>2330</v>
      </c>
      <c r="I140" s="8" t="s">
        <v>55</v>
      </c>
      <c r="J140" s="8" t="s">
        <v>56</v>
      </c>
      <c r="K140" s="7">
        <v>5.73354E7</v>
      </c>
      <c r="L140" s="8" t="s">
        <v>52</v>
      </c>
      <c r="M140" s="8" t="s">
        <v>174</v>
      </c>
      <c r="N140" s="8" t="s">
        <v>170</v>
      </c>
      <c r="O140" s="32">
        <v>43508.0</v>
      </c>
      <c r="P140" s="7" t="s">
        <v>5309</v>
      </c>
      <c r="Q140" s="32">
        <v>45334.0</v>
      </c>
      <c r="R140" s="8" t="s">
        <v>226</v>
      </c>
      <c r="S140" s="8" t="s">
        <v>175</v>
      </c>
      <c r="T140" s="8" t="s">
        <v>49</v>
      </c>
      <c r="U140" s="8" t="s">
        <v>2331</v>
      </c>
    </row>
    <row r="141">
      <c r="A141" s="8" t="s">
        <v>1336</v>
      </c>
      <c r="B141" s="8" t="s">
        <v>1339</v>
      </c>
      <c r="C141" s="8" t="s">
        <v>57</v>
      </c>
      <c r="D141" s="8" t="s">
        <v>54</v>
      </c>
      <c r="E141" s="8" t="s">
        <v>1340</v>
      </c>
      <c r="F141" s="8" t="s">
        <v>2333</v>
      </c>
      <c r="G141" s="8" t="s">
        <v>174</v>
      </c>
      <c r="H141" s="8" t="s">
        <v>2334</v>
      </c>
      <c r="I141" s="8" t="s">
        <v>55</v>
      </c>
      <c r="J141" s="8" t="s">
        <v>56</v>
      </c>
      <c r="K141" s="7" t="s">
        <v>5310</v>
      </c>
      <c r="L141" s="8" t="s">
        <v>52</v>
      </c>
      <c r="M141" s="8" t="s">
        <v>1776</v>
      </c>
      <c r="N141" s="8" t="s">
        <v>170</v>
      </c>
      <c r="O141" s="32">
        <v>43545.0</v>
      </c>
      <c r="P141" s="42">
        <v>2696.0</v>
      </c>
      <c r="Q141" s="32">
        <v>46467.0</v>
      </c>
      <c r="R141" s="8" t="s">
        <v>1036</v>
      </c>
      <c r="S141" s="8" t="s">
        <v>54</v>
      </c>
      <c r="T141" s="8" t="s">
        <v>49</v>
      </c>
      <c r="U141" s="8" t="s">
        <v>53</v>
      </c>
    </row>
    <row r="142">
      <c r="A142" s="8" t="s">
        <v>1432</v>
      </c>
      <c r="B142" s="8" t="s">
        <v>1435</v>
      </c>
      <c r="C142" s="8" t="s">
        <v>57</v>
      </c>
      <c r="D142" s="8" t="s">
        <v>54</v>
      </c>
      <c r="E142" s="8" t="s">
        <v>368</v>
      </c>
      <c r="F142" s="8" t="s">
        <v>1866</v>
      </c>
      <c r="G142" s="8" t="s">
        <v>1867</v>
      </c>
      <c r="H142" s="8" t="s">
        <v>1868</v>
      </c>
      <c r="I142" s="8" t="s">
        <v>55</v>
      </c>
      <c r="J142" s="8" t="s">
        <v>56</v>
      </c>
      <c r="K142" s="7">
        <v>5.82935E7</v>
      </c>
      <c r="L142" s="8" t="s">
        <v>52</v>
      </c>
      <c r="M142" s="8" t="s">
        <v>1771</v>
      </c>
      <c r="N142" s="8" t="s">
        <v>368</v>
      </c>
      <c r="O142" s="32">
        <v>43522.0</v>
      </c>
      <c r="P142" s="42">
        <v>3225.0</v>
      </c>
      <c r="Q142" s="32">
        <v>45348.0</v>
      </c>
      <c r="R142" s="8" t="s">
        <v>686</v>
      </c>
      <c r="S142" s="8" t="s">
        <v>54</v>
      </c>
      <c r="T142" s="8" t="s">
        <v>49</v>
      </c>
      <c r="U142" s="8" t="s">
        <v>610</v>
      </c>
    </row>
    <row r="143">
      <c r="A143" s="8" t="s">
        <v>814</v>
      </c>
      <c r="B143" s="8" t="s">
        <v>817</v>
      </c>
      <c r="C143" s="8" t="s">
        <v>71</v>
      </c>
      <c r="D143" s="8" t="s">
        <v>54</v>
      </c>
      <c r="E143" s="8" t="s">
        <v>185</v>
      </c>
      <c r="F143" s="8" t="s">
        <v>3439</v>
      </c>
      <c r="G143" s="8" t="s">
        <v>174</v>
      </c>
      <c r="H143" s="8" t="s">
        <v>3440</v>
      </c>
      <c r="I143" s="8" t="s">
        <v>133</v>
      </c>
      <c r="J143" s="8" t="s">
        <v>70</v>
      </c>
      <c r="K143" s="7" t="s">
        <v>5311</v>
      </c>
      <c r="L143" s="8" t="s">
        <v>52</v>
      </c>
      <c r="M143" s="8" t="s">
        <v>174</v>
      </c>
      <c r="N143" s="8" t="s">
        <v>185</v>
      </c>
      <c r="O143" s="32">
        <v>43564.0</v>
      </c>
      <c r="P143" s="42">
        <v>795.0</v>
      </c>
      <c r="Q143" s="32">
        <v>45756.0</v>
      </c>
      <c r="R143" s="8" t="s">
        <v>1097</v>
      </c>
      <c r="S143" s="8" t="s">
        <v>54</v>
      </c>
      <c r="T143" s="8" t="s">
        <v>49</v>
      </c>
      <c r="U143" s="8" t="s">
        <v>53</v>
      </c>
    </row>
    <row r="144">
      <c r="A144" s="8" t="s">
        <v>814</v>
      </c>
      <c r="B144" s="8" t="s">
        <v>817</v>
      </c>
      <c r="C144" s="8" t="s">
        <v>71</v>
      </c>
      <c r="D144" s="8" t="s">
        <v>54</v>
      </c>
      <c r="E144" s="8" t="s">
        <v>185</v>
      </c>
      <c r="F144" s="8" t="s">
        <v>3442</v>
      </c>
      <c r="G144" s="8" t="s">
        <v>174</v>
      </c>
      <c r="H144" s="8" t="s">
        <v>3443</v>
      </c>
      <c r="I144" s="8" t="s">
        <v>133</v>
      </c>
      <c r="J144" s="8" t="s">
        <v>70</v>
      </c>
      <c r="K144" s="7" t="s">
        <v>5311</v>
      </c>
      <c r="L144" s="8" t="s">
        <v>52</v>
      </c>
      <c r="M144" s="8" t="s">
        <v>174</v>
      </c>
      <c r="N144" s="8" t="s">
        <v>185</v>
      </c>
      <c r="O144" s="32">
        <v>43564.0</v>
      </c>
      <c r="P144" s="42">
        <v>595.0</v>
      </c>
      <c r="Q144" s="32">
        <v>45025.0</v>
      </c>
      <c r="R144" s="8" t="s">
        <v>1088</v>
      </c>
      <c r="S144" s="8" t="s">
        <v>54</v>
      </c>
      <c r="T144" s="8" t="s">
        <v>49</v>
      </c>
      <c r="U144" s="8" t="s">
        <v>53</v>
      </c>
    </row>
    <row r="145">
      <c r="A145" s="8" t="s">
        <v>1519</v>
      </c>
      <c r="B145" s="8" t="s">
        <v>1522</v>
      </c>
      <c r="C145" s="8" t="s">
        <v>57</v>
      </c>
      <c r="D145" s="8" t="s">
        <v>54</v>
      </c>
      <c r="E145" s="8" t="s">
        <v>185</v>
      </c>
      <c r="F145" s="8" t="s">
        <v>3104</v>
      </c>
      <c r="G145" s="8" t="s">
        <v>3105</v>
      </c>
      <c r="H145" s="8" t="s">
        <v>3106</v>
      </c>
      <c r="I145" s="8" t="s">
        <v>117</v>
      </c>
      <c r="J145" s="8" t="s">
        <v>56</v>
      </c>
      <c r="K145" s="7" t="s">
        <v>5312</v>
      </c>
      <c r="L145" s="8" t="s">
        <v>52</v>
      </c>
      <c r="M145" s="8" t="s">
        <v>1771</v>
      </c>
      <c r="N145" s="8" t="s">
        <v>185</v>
      </c>
      <c r="O145" s="32">
        <v>43545.0</v>
      </c>
      <c r="P145" s="42">
        <v>875.0</v>
      </c>
      <c r="Q145" s="32">
        <v>47198.0</v>
      </c>
      <c r="R145" s="8" t="s">
        <v>226</v>
      </c>
      <c r="S145" s="8" t="s">
        <v>484</v>
      </c>
      <c r="T145" s="8" t="s">
        <v>115</v>
      </c>
      <c r="U145" s="8" t="s">
        <v>53</v>
      </c>
    </row>
    <row r="146">
      <c r="A146" s="8" t="s">
        <v>1519</v>
      </c>
      <c r="B146" s="8" t="s">
        <v>1522</v>
      </c>
      <c r="C146" s="8" t="s">
        <v>57</v>
      </c>
      <c r="D146" s="8" t="s">
        <v>54</v>
      </c>
      <c r="E146" s="8" t="s">
        <v>185</v>
      </c>
      <c r="F146" s="8" t="s">
        <v>3108</v>
      </c>
      <c r="G146" s="8" t="s">
        <v>3109</v>
      </c>
      <c r="H146" s="8" t="s">
        <v>3110</v>
      </c>
      <c r="I146" s="8" t="s">
        <v>117</v>
      </c>
      <c r="J146" s="8" t="s">
        <v>56</v>
      </c>
      <c r="K146" s="7" t="s">
        <v>5313</v>
      </c>
      <c r="L146" s="8" t="s">
        <v>52</v>
      </c>
      <c r="M146" s="8" t="s">
        <v>1771</v>
      </c>
      <c r="N146" s="8" t="s">
        <v>185</v>
      </c>
      <c r="O146" s="32">
        <v>43545.0</v>
      </c>
      <c r="P146" s="7" t="s">
        <v>5217</v>
      </c>
      <c r="Q146" s="32">
        <v>49024.0</v>
      </c>
      <c r="R146" s="8" t="s">
        <v>226</v>
      </c>
      <c r="S146" s="8" t="s">
        <v>484</v>
      </c>
      <c r="T146" s="8" t="s">
        <v>115</v>
      </c>
      <c r="U146" s="8" t="s">
        <v>53</v>
      </c>
    </row>
    <row r="147">
      <c r="A147" s="8" t="s">
        <v>1076</v>
      </c>
      <c r="B147" s="8" t="s">
        <v>1079</v>
      </c>
      <c r="C147" s="8" t="s">
        <v>71</v>
      </c>
      <c r="D147" s="44">
        <v>4.2665</v>
      </c>
      <c r="E147" s="8" t="s">
        <v>185</v>
      </c>
      <c r="F147" s="8" t="s">
        <v>2571</v>
      </c>
      <c r="G147" s="8" t="s">
        <v>2572</v>
      </c>
      <c r="H147" s="8" t="s">
        <v>2573</v>
      </c>
      <c r="I147" s="8" t="s">
        <v>885</v>
      </c>
      <c r="J147" s="8" t="s">
        <v>56</v>
      </c>
      <c r="K147" s="7" t="s">
        <v>5314</v>
      </c>
      <c r="L147" s="8" t="s">
        <v>52</v>
      </c>
      <c r="M147" s="8" t="s">
        <v>1840</v>
      </c>
      <c r="N147" s="8" t="s">
        <v>185</v>
      </c>
      <c r="O147" s="32">
        <v>43551.0</v>
      </c>
      <c r="P147" s="42">
        <v>3125.0</v>
      </c>
      <c r="Q147" s="32">
        <v>46188.0</v>
      </c>
      <c r="R147" s="8" t="s">
        <v>174</v>
      </c>
      <c r="S147" s="8" t="s">
        <v>885</v>
      </c>
      <c r="T147" s="8" t="s">
        <v>115</v>
      </c>
      <c r="U147" s="8" t="s">
        <v>53</v>
      </c>
    </row>
    <row r="148">
      <c r="A148" s="8" t="s">
        <v>254</v>
      </c>
      <c r="B148" s="8" t="s">
        <v>257</v>
      </c>
      <c r="C148" s="8" t="s">
        <v>71</v>
      </c>
      <c r="D148" s="7" t="s">
        <v>5315</v>
      </c>
      <c r="E148" s="8" t="s">
        <v>259</v>
      </c>
      <c r="F148" s="8" t="s">
        <v>2831</v>
      </c>
      <c r="G148" s="8" t="s">
        <v>2832</v>
      </c>
      <c r="H148" s="8" t="s">
        <v>2833</v>
      </c>
      <c r="I148" s="8" t="s">
        <v>55</v>
      </c>
      <c r="J148" s="8" t="s">
        <v>56</v>
      </c>
      <c r="K148" s="7" t="s">
        <v>5316</v>
      </c>
      <c r="L148" s="8" t="s">
        <v>52</v>
      </c>
      <c r="M148" s="8" t="s">
        <v>1840</v>
      </c>
      <c r="N148" s="8" t="s">
        <v>258</v>
      </c>
      <c r="O148" s="32">
        <v>43558.0</v>
      </c>
      <c r="P148" s="7" t="s">
        <v>5246</v>
      </c>
      <c r="Q148" s="32">
        <v>47211.0</v>
      </c>
      <c r="R148" s="8" t="s">
        <v>262</v>
      </c>
      <c r="S148" s="8" t="s">
        <v>264</v>
      </c>
      <c r="T148" s="8" t="s">
        <v>115</v>
      </c>
      <c r="U148" s="8" t="s">
        <v>263</v>
      </c>
    </row>
    <row r="149">
      <c r="A149" s="8" t="s">
        <v>254</v>
      </c>
      <c r="B149" s="8" t="s">
        <v>257</v>
      </c>
      <c r="C149" s="8" t="s">
        <v>71</v>
      </c>
      <c r="D149" s="7" t="s">
        <v>5315</v>
      </c>
      <c r="E149" s="8" t="s">
        <v>259</v>
      </c>
      <c r="F149" s="8" t="s">
        <v>2835</v>
      </c>
      <c r="G149" s="8" t="s">
        <v>2836</v>
      </c>
      <c r="H149" s="8" t="s">
        <v>2837</v>
      </c>
      <c r="I149" s="8" t="s">
        <v>55</v>
      </c>
      <c r="J149" s="8" t="s">
        <v>56</v>
      </c>
      <c r="K149" s="7" t="s">
        <v>5316</v>
      </c>
      <c r="L149" s="8" t="s">
        <v>52</v>
      </c>
      <c r="M149" s="8" t="s">
        <v>1840</v>
      </c>
      <c r="N149" s="8" t="s">
        <v>258</v>
      </c>
      <c r="O149" s="32">
        <v>43558.0</v>
      </c>
      <c r="P149" s="7" t="s">
        <v>5246</v>
      </c>
      <c r="Q149" s="32">
        <v>47211.0</v>
      </c>
      <c r="R149" s="8" t="s">
        <v>271</v>
      </c>
      <c r="S149" s="8" t="s">
        <v>264</v>
      </c>
      <c r="T149" s="8" t="s">
        <v>115</v>
      </c>
      <c r="U149" s="8" t="s">
        <v>263</v>
      </c>
    </row>
    <row r="150">
      <c r="A150" s="8" t="s">
        <v>917</v>
      </c>
      <c r="B150" s="8" t="s">
        <v>920</v>
      </c>
      <c r="C150" s="8" t="s">
        <v>57</v>
      </c>
      <c r="D150" s="8" t="s">
        <v>54</v>
      </c>
      <c r="E150" s="8" t="s">
        <v>185</v>
      </c>
      <c r="F150" s="8" t="s">
        <v>2909</v>
      </c>
      <c r="G150" s="8" t="s">
        <v>2910</v>
      </c>
      <c r="H150" s="8" t="s">
        <v>2911</v>
      </c>
      <c r="I150" s="8" t="s">
        <v>421</v>
      </c>
      <c r="J150" s="8" t="s">
        <v>56</v>
      </c>
      <c r="K150" s="7" t="s">
        <v>5317</v>
      </c>
      <c r="L150" s="8" t="s">
        <v>52</v>
      </c>
      <c r="M150" s="8" t="s">
        <v>1771</v>
      </c>
      <c r="N150" s="8" t="s">
        <v>185</v>
      </c>
      <c r="O150" s="32">
        <v>43640.0</v>
      </c>
      <c r="P150" s="42">
        <v>625.0</v>
      </c>
      <c r="Q150" s="32">
        <v>46928.0</v>
      </c>
      <c r="R150" s="8" t="s">
        <v>174</v>
      </c>
      <c r="S150" s="8" t="s">
        <v>190</v>
      </c>
      <c r="T150" s="8" t="s">
        <v>115</v>
      </c>
      <c r="U150" s="8" t="s">
        <v>53</v>
      </c>
    </row>
    <row r="151">
      <c r="A151" s="8" t="s">
        <v>680</v>
      </c>
      <c r="B151" s="8" t="s">
        <v>683</v>
      </c>
      <c r="C151" s="8" t="s">
        <v>57</v>
      </c>
      <c r="D151" s="8" t="s">
        <v>54</v>
      </c>
      <c r="E151" s="8" t="s">
        <v>368</v>
      </c>
      <c r="F151" s="8" t="s">
        <v>3278</v>
      </c>
      <c r="G151" s="8" t="s">
        <v>3279</v>
      </c>
      <c r="H151" s="8" t="s">
        <v>3280</v>
      </c>
      <c r="I151" s="8" t="s">
        <v>55</v>
      </c>
      <c r="J151" s="8" t="s">
        <v>56</v>
      </c>
      <c r="K151" s="7">
        <v>6.4815E7</v>
      </c>
      <c r="L151" s="8" t="s">
        <v>52</v>
      </c>
      <c r="M151" s="8" t="s">
        <v>174</v>
      </c>
      <c r="N151" s="8" t="s">
        <v>368</v>
      </c>
      <c r="O151" s="32">
        <v>43642.0</v>
      </c>
      <c r="P151" s="7" t="s">
        <v>5318</v>
      </c>
      <c r="Q151" s="32">
        <v>45469.0</v>
      </c>
      <c r="R151" s="8" t="s">
        <v>226</v>
      </c>
      <c r="S151" s="8" t="s">
        <v>54</v>
      </c>
      <c r="T151" s="8" t="s">
        <v>49</v>
      </c>
      <c r="U151" s="8" t="s">
        <v>687</v>
      </c>
    </row>
    <row r="152">
      <c r="A152" s="8" t="s">
        <v>680</v>
      </c>
      <c r="B152" s="8" t="s">
        <v>683</v>
      </c>
      <c r="C152" s="8" t="s">
        <v>392</v>
      </c>
      <c r="D152" s="8" t="s">
        <v>54</v>
      </c>
      <c r="E152" s="8" t="s">
        <v>368</v>
      </c>
      <c r="F152" s="8" t="s">
        <v>3282</v>
      </c>
      <c r="G152" s="8" t="s">
        <v>3283</v>
      </c>
      <c r="H152" s="8" t="s">
        <v>3284</v>
      </c>
      <c r="I152" s="8" t="s">
        <v>55</v>
      </c>
      <c r="J152" s="8" t="s">
        <v>70</v>
      </c>
      <c r="K152" s="7" t="s">
        <v>5319</v>
      </c>
      <c r="L152" s="8" t="s">
        <v>52</v>
      </c>
      <c r="M152" s="8" t="s">
        <v>174</v>
      </c>
      <c r="N152" s="8" t="s">
        <v>368</v>
      </c>
      <c r="O152" s="32">
        <v>43642.0</v>
      </c>
      <c r="P152" s="42">
        <v>2763.0</v>
      </c>
      <c r="Q152" s="32">
        <v>45469.0</v>
      </c>
      <c r="R152" s="8" t="s">
        <v>226</v>
      </c>
      <c r="S152" s="8" t="s">
        <v>54</v>
      </c>
      <c r="T152" s="8" t="s">
        <v>49</v>
      </c>
      <c r="U152" s="8" t="s">
        <v>687</v>
      </c>
    </row>
    <row r="153">
      <c r="A153" s="8" t="s">
        <v>1250</v>
      </c>
      <c r="B153" s="8" t="s">
        <v>1253</v>
      </c>
      <c r="C153" s="8" t="s">
        <v>71</v>
      </c>
      <c r="D153" s="8" t="s">
        <v>54</v>
      </c>
      <c r="E153" s="8" t="s">
        <v>368</v>
      </c>
      <c r="F153" s="8" t="s">
        <v>2387</v>
      </c>
      <c r="G153" s="8" t="s">
        <v>174</v>
      </c>
      <c r="H153" s="8" t="s">
        <v>2388</v>
      </c>
      <c r="I153" s="8" t="s">
        <v>55</v>
      </c>
      <c r="J153" s="8" t="s">
        <v>56</v>
      </c>
      <c r="K153" s="12"/>
      <c r="L153" s="8" t="s">
        <v>118</v>
      </c>
      <c r="M153" s="8" t="s">
        <v>174</v>
      </c>
      <c r="N153" s="8" t="s">
        <v>368</v>
      </c>
      <c r="O153" s="32">
        <v>43589.0</v>
      </c>
      <c r="P153" s="7" t="s">
        <v>5320</v>
      </c>
      <c r="Q153" s="32">
        <v>45050.0</v>
      </c>
      <c r="R153" s="8" t="s">
        <v>174</v>
      </c>
      <c r="S153" s="8" t="s">
        <v>54</v>
      </c>
      <c r="T153" s="8" t="s">
        <v>49</v>
      </c>
      <c r="U153" s="8" t="s">
        <v>263</v>
      </c>
    </row>
    <row r="154">
      <c r="A154" s="8" t="s">
        <v>625</v>
      </c>
      <c r="B154" s="8" t="s">
        <v>628</v>
      </c>
      <c r="C154" s="8" t="s">
        <v>71</v>
      </c>
      <c r="D154" s="8" t="s">
        <v>54</v>
      </c>
      <c r="E154" s="8" t="s">
        <v>45</v>
      </c>
      <c r="F154" s="8" t="s">
        <v>2587</v>
      </c>
      <c r="G154" s="8" t="s">
        <v>174</v>
      </c>
      <c r="H154" s="8" t="s">
        <v>2588</v>
      </c>
      <c r="I154" s="8" t="s">
        <v>55</v>
      </c>
      <c r="J154" s="8" t="s">
        <v>56</v>
      </c>
      <c r="K154" s="12"/>
      <c r="L154" s="8" t="s">
        <v>118</v>
      </c>
      <c r="M154" s="8" t="s">
        <v>174</v>
      </c>
      <c r="N154" s="8" t="s">
        <v>45</v>
      </c>
      <c r="O154" s="32">
        <v>43557.0</v>
      </c>
      <c r="P154" s="7">
        <v>5.0</v>
      </c>
      <c r="Q154" s="32">
        <v>45384.0</v>
      </c>
      <c r="R154" s="8" t="s">
        <v>174</v>
      </c>
      <c r="S154" s="8" t="s">
        <v>54</v>
      </c>
      <c r="T154" s="8" t="s">
        <v>49</v>
      </c>
      <c r="U154" s="8" t="s">
        <v>263</v>
      </c>
    </row>
    <row r="155">
      <c r="A155" s="8" t="s">
        <v>1225</v>
      </c>
      <c r="B155" s="8" t="s">
        <v>1228</v>
      </c>
      <c r="C155" s="8" t="s">
        <v>71</v>
      </c>
      <c r="D155" s="8" t="s">
        <v>54</v>
      </c>
      <c r="E155" s="8" t="s">
        <v>595</v>
      </c>
      <c r="F155" s="8" t="s">
        <v>2812</v>
      </c>
      <c r="G155" s="8" t="s">
        <v>174</v>
      </c>
      <c r="H155" s="8" t="s">
        <v>2813</v>
      </c>
      <c r="I155" s="8" t="s">
        <v>55</v>
      </c>
      <c r="J155" s="8" t="s">
        <v>56</v>
      </c>
      <c r="K155" s="12"/>
      <c r="L155" s="8" t="s">
        <v>118</v>
      </c>
      <c r="M155" s="8" t="s">
        <v>174</v>
      </c>
      <c r="N155" s="8" t="s">
        <v>595</v>
      </c>
      <c r="O155" s="32">
        <v>43485.0</v>
      </c>
      <c r="P155" s="7" t="s">
        <v>5321</v>
      </c>
      <c r="Q155" s="32">
        <v>45677.0</v>
      </c>
      <c r="R155" s="8" t="s">
        <v>174</v>
      </c>
      <c r="S155" s="8" t="s">
        <v>54</v>
      </c>
      <c r="T155" s="8" t="s">
        <v>49</v>
      </c>
      <c r="U155" s="8" t="s">
        <v>263</v>
      </c>
    </row>
    <row r="156">
      <c r="A156" s="8" t="s">
        <v>755</v>
      </c>
      <c r="B156" s="8" t="s">
        <v>758</v>
      </c>
      <c r="C156" s="8" t="s">
        <v>71</v>
      </c>
      <c r="D156" s="8" t="s">
        <v>54</v>
      </c>
      <c r="E156" s="8" t="s">
        <v>259</v>
      </c>
      <c r="F156" s="8" t="s">
        <v>3311</v>
      </c>
      <c r="G156" s="8" t="s">
        <v>3312</v>
      </c>
      <c r="H156" s="8" t="s">
        <v>3313</v>
      </c>
      <c r="I156" s="8" t="s">
        <v>55</v>
      </c>
      <c r="J156" s="8" t="s">
        <v>56</v>
      </c>
      <c r="K156" s="7" t="s">
        <v>5294</v>
      </c>
      <c r="L156" s="8" t="s">
        <v>52</v>
      </c>
      <c r="M156" s="8" t="s">
        <v>1776</v>
      </c>
      <c r="N156" s="8" t="s">
        <v>258</v>
      </c>
      <c r="O156" s="32">
        <v>43691.0</v>
      </c>
      <c r="P156" s="7">
        <v>6.0</v>
      </c>
      <c r="Q156" s="32">
        <v>47133.0</v>
      </c>
      <c r="R156" s="8" t="s">
        <v>174</v>
      </c>
      <c r="S156" s="8" t="s">
        <v>497</v>
      </c>
      <c r="T156" s="8" t="s">
        <v>115</v>
      </c>
      <c r="U156" s="8" t="s">
        <v>263</v>
      </c>
    </row>
    <row r="157">
      <c r="A157" s="8" t="s">
        <v>755</v>
      </c>
      <c r="B157" s="8" t="s">
        <v>758</v>
      </c>
      <c r="C157" s="8" t="s">
        <v>71</v>
      </c>
      <c r="D157" s="8" t="s">
        <v>54</v>
      </c>
      <c r="E157" s="8" t="s">
        <v>259</v>
      </c>
      <c r="F157" s="8" t="s">
        <v>3315</v>
      </c>
      <c r="G157" s="8" t="s">
        <v>3316</v>
      </c>
      <c r="H157" s="8" t="s">
        <v>3317</v>
      </c>
      <c r="I157" s="8" t="s">
        <v>55</v>
      </c>
      <c r="J157" s="8" t="s">
        <v>56</v>
      </c>
      <c r="K157" s="43">
        <v>1.0E9</v>
      </c>
      <c r="L157" s="8" t="s">
        <v>52</v>
      </c>
      <c r="M157" s="8" t="s">
        <v>174</v>
      </c>
      <c r="N157" s="8" t="s">
        <v>258</v>
      </c>
      <c r="O157" s="32">
        <v>43691.0</v>
      </c>
      <c r="P157" s="7">
        <v>5.0</v>
      </c>
      <c r="Q157" s="32">
        <v>47498.0</v>
      </c>
      <c r="R157" s="8" t="s">
        <v>174</v>
      </c>
      <c r="S157" s="8" t="s">
        <v>497</v>
      </c>
      <c r="T157" s="8" t="s">
        <v>115</v>
      </c>
      <c r="U157" s="8" t="s">
        <v>263</v>
      </c>
    </row>
    <row r="158">
      <c r="A158" s="8" t="s">
        <v>477</v>
      </c>
      <c r="B158" s="8" t="s">
        <v>480</v>
      </c>
      <c r="C158" s="8" t="s">
        <v>57</v>
      </c>
      <c r="D158" s="8" t="s">
        <v>54</v>
      </c>
      <c r="E158" s="8" t="s">
        <v>45</v>
      </c>
      <c r="F158" s="8" t="s">
        <v>1933</v>
      </c>
      <c r="G158" s="8" t="s">
        <v>1934</v>
      </c>
      <c r="H158" s="8" t="s">
        <v>1935</v>
      </c>
      <c r="I158" s="8" t="s">
        <v>55</v>
      </c>
      <c r="J158" s="8" t="s">
        <v>56</v>
      </c>
      <c r="K158" s="7" t="s">
        <v>5322</v>
      </c>
      <c r="L158" s="8" t="s">
        <v>483</v>
      </c>
      <c r="M158" s="8" t="s">
        <v>174</v>
      </c>
      <c r="N158" s="8" t="s">
        <v>45</v>
      </c>
      <c r="O158" s="32">
        <v>43686.0</v>
      </c>
      <c r="P158" s="7" t="s">
        <v>5323</v>
      </c>
      <c r="Q158" s="32">
        <v>44782.0</v>
      </c>
      <c r="R158" s="8" t="s">
        <v>226</v>
      </c>
      <c r="S158" s="8" t="s">
        <v>484</v>
      </c>
      <c r="T158" s="8" t="s">
        <v>49</v>
      </c>
      <c r="U158" s="8" t="s">
        <v>53</v>
      </c>
    </row>
    <row r="159">
      <c r="A159" s="8" t="s">
        <v>1146</v>
      </c>
      <c r="B159" s="8" t="s">
        <v>1149</v>
      </c>
      <c r="C159" s="8" t="s">
        <v>392</v>
      </c>
      <c r="D159" s="8" t="s">
        <v>54</v>
      </c>
      <c r="E159" s="8" t="s">
        <v>368</v>
      </c>
      <c r="F159" s="8" t="s">
        <v>2823</v>
      </c>
      <c r="G159" s="8" t="s">
        <v>2824</v>
      </c>
      <c r="H159" s="8" t="s">
        <v>2825</v>
      </c>
      <c r="I159" s="8" t="s">
        <v>421</v>
      </c>
      <c r="J159" s="8" t="s">
        <v>70</v>
      </c>
      <c r="K159" s="7" t="s">
        <v>5324</v>
      </c>
      <c r="L159" s="8" t="s">
        <v>52</v>
      </c>
      <c r="M159" s="8" t="s">
        <v>1776</v>
      </c>
      <c r="N159" s="8" t="s">
        <v>368</v>
      </c>
      <c r="O159" s="32">
        <v>43880.0</v>
      </c>
      <c r="P159" s="42">
        <v>756.0</v>
      </c>
      <c r="Q159" s="32">
        <v>45707.0</v>
      </c>
      <c r="R159" s="8" t="s">
        <v>686</v>
      </c>
      <c r="S159" s="8" t="s">
        <v>54</v>
      </c>
      <c r="T159" s="8" t="s">
        <v>49</v>
      </c>
      <c r="U159" s="8" t="s">
        <v>687</v>
      </c>
    </row>
    <row r="160">
      <c r="A160" s="8" t="s">
        <v>1146</v>
      </c>
      <c r="B160" s="8" t="s">
        <v>1149</v>
      </c>
      <c r="C160" s="8" t="s">
        <v>57</v>
      </c>
      <c r="D160" s="8" t="s">
        <v>54</v>
      </c>
      <c r="E160" s="8" t="s">
        <v>368</v>
      </c>
      <c r="F160" s="8" t="s">
        <v>2827</v>
      </c>
      <c r="G160" s="8" t="s">
        <v>2828</v>
      </c>
      <c r="H160" s="8" t="s">
        <v>2829</v>
      </c>
      <c r="I160" s="8" t="s">
        <v>421</v>
      </c>
      <c r="J160" s="8" t="s">
        <v>56</v>
      </c>
      <c r="K160" s="7">
        <v>2.54905E7</v>
      </c>
      <c r="L160" s="8" t="s">
        <v>52</v>
      </c>
      <c r="M160" s="8" t="s">
        <v>1776</v>
      </c>
      <c r="N160" s="8" t="s">
        <v>368</v>
      </c>
      <c r="O160" s="32">
        <v>43880.0</v>
      </c>
      <c r="P160" s="42">
        <v>1058.0</v>
      </c>
      <c r="Q160" s="32">
        <v>45707.0</v>
      </c>
      <c r="R160" s="8" t="s">
        <v>686</v>
      </c>
      <c r="S160" s="8" t="s">
        <v>54</v>
      </c>
      <c r="T160" s="8" t="s">
        <v>49</v>
      </c>
      <c r="U160" s="8" t="s">
        <v>687</v>
      </c>
    </row>
    <row r="161">
      <c r="A161" s="8" t="s">
        <v>1432</v>
      </c>
      <c r="B161" s="8" t="s">
        <v>1435</v>
      </c>
      <c r="C161" s="8" t="s">
        <v>392</v>
      </c>
      <c r="D161" s="8" t="s">
        <v>54</v>
      </c>
      <c r="E161" s="8" t="s">
        <v>368</v>
      </c>
      <c r="F161" s="8" t="s">
        <v>1870</v>
      </c>
      <c r="G161" s="8" t="s">
        <v>1871</v>
      </c>
      <c r="H161" s="8" t="s">
        <v>1872</v>
      </c>
      <c r="I161" s="8" t="s">
        <v>55</v>
      </c>
      <c r="J161" s="8" t="s">
        <v>70</v>
      </c>
      <c r="K161" s="7">
        <v>5.3677E7</v>
      </c>
      <c r="L161" s="8" t="s">
        <v>52</v>
      </c>
      <c r="M161" s="8" t="s">
        <v>174</v>
      </c>
      <c r="N161" s="8" t="s">
        <v>368</v>
      </c>
      <c r="O161" s="32">
        <v>43879.0</v>
      </c>
      <c r="P161" s="7" t="s">
        <v>5325</v>
      </c>
      <c r="Q161" s="32">
        <v>46071.0</v>
      </c>
      <c r="R161" s="8" t="s">
        <v>174</v>
      </c>
      <c r="S161" s="8" t="s">
        <v>54</v>
      </c>
      <c r="T161" s="8" t="s">
        <v>49</v>
      </c>
      <c r="U161" s="8" t="s">
        <v>610</v>
      </c>
    </row>
    <row r="162">
      <c r="A162" s="8" t="s">
        <v>477</v>
      </c>
      <c r="B162" s="8" t="s">
        <v>480</v>
      </c>
      <c r="C162" s="8" t="s">
        <v>57</v>
      </c>
      <c r="D162" s="8" t="s">
        <v>54</v>
      </c>
      <c r="E162" s="8" t="s">
        <v>45</v>
      </c>
      <c r="F162" s="8" t="s">
        <v>1937</v>
      </c>
      <c r="G162" s="8" t="s">
        <v>1938</v>
      </c>
      <c r="H162" s="8" t="s">
        <v>1939</v>
      </c>
      <c r="I162" s="8" t="s">
        <v>55</v>
      </c>
      <c r="J162" s="8" t="s">
        <v>56</v>
      </c>
      <c r="K162" s="7">
        <v>1.668555E7</v>
      </c>
      <c r="L162" s="8" t="s">
        <v>459</v>
      </c>
      <c r="M162" s="8" t="s">
        <v>174</v>
      </c>
      <c r="N162" s="8" t="s">
        <v>45</v>
      </c>
      <c r="O162" s="32">
        <v>43894.0</v>
      </c>
      <c r="P162" s="7" t="s">
        <v>5235</v>
      </c>
      <c r="Q162" s="32">
        <v>54851.0</v>
      </c>
      <c r="R162" s="8" t="s">
        <v>226</v>
      </c>
      <c r="S162" s="8" t="s">
        <v>190</v>
      </c>
      <c r="T162" s="8" t="s">
        <v>115</v>
      </c>
      <c r="U162" s="8" t="s">
        <v>53</v>
      </c>
    </row>
    <row r="163">
      <c r="A163" s="8" t="s">
        <v>181</v>
      </c>
      <c r="B163" s="8" t="s">
        <v>184</v>
      </c>
      <c r="C163" s="8" t="s">
        <v>57</v>
      </c>
      <c r="D163" s="8" t="s">
        <v>54</v>
      </c>
      <c r="E163" s="8" t="s">
        <v>186</v>
      </c>
      <c r="F163" s="8" t="s">
        <v>3173</v>
      </c>
      <c r="G163" s="8" t="s">
        <v>3174</v>
      </c>
      <c r="H163" s="8" t="s">
        <v>3175</v>
      </c>
      <c r="I163" s="8" t="s">
        <v>133</v>
      </c>
      <c r="J163" s="8" t="s">
        <v>56</v>
      </c>
      <c r="K163" s="7" t="s">
        <v>5326</v>
      </c>
      <c r="L163" s="8" t="s">
        <v>52</v>
      </c>
      <c r="M163" s="8" t="s">
        <v>1771</v>
      </c>
      <c r="N163" s="8" t="s">
        <v>185</v>
      </c>
      <c r="O163" s="32">
        <v>43901.0</v>
      </c>
      <c r="P163" s="7" t="s">
        <v>5279</v>
      </c>
      <c r="Q163" s="32">
        <v>47188.0</v>
      </c>
      <c r="R163" s="8" t="s">
        <v>226</v>
      </c>
      <c r="S163" s="8" t="s">
        <v>190</v>
      </c>
      <c r="T163" s="8" t="s">
        <v>115</v>
      </c>
      <c r="U163" s="8" t="s">
        <v>53</v>
      </c>
    </row>
    <row r="164">
      <c r="A164" s="8" t="s">
        <v>1250</v>
      </c>
      <c r="B164" s="8" t="s">
        <v>1253</v>
      </c>
      <c r="C164" s="8" t="s">
        <v>392</v>
      </c>
      <c r="D164" s="8" t="s">
        <v>54</v>
      </c>
      <c r="E164" s="8" t="s">
        <v>368</v>
      </c>
      <c r="F164" s="8" t="s">
        <v>2390</v>
      </c>
      <c r="G164" s="8" t="s">
        <v>2391</v>
      </c>
      <c r="H164" s="8" t="s">
        <v>2392</v>
      </c>
      <c r="I164" s="8" t="s">
        <v>55</v>
      </c>
      <c r="J164" s="8" t="s">
        <v>70</v>
      </c>
      <c r="K164" s="7">
        <v>5.13025E7</v>
      </c>
      <c r="L164" s="8" t="s">
        <v>52</v>
      </c>
      <c r="M164" s="8" t="s">
        <v>174</v>
      </c>
      <c r="N164" s="8" t="s">
        <v>368</v>
      </c>
      <c r="O164" s="32">
        <v>43903.0</v>
      </c>
      <c r="P164" s="42">
        <v>921.0</v>
      </c>
      <c r="Q164" s="32">
        <v>44998.0</v>
      </c>
      <c r="R164" s="8" t="s">
        <v>686</v>
      </c>
      <c r="S164" s="8" t="s">
        <v>190</v>
      </c>
      <c r="T164" s="8" t="s">
        <v>49</v>
      </c>
      <c r="U164" s="8" t="s">
        <v>687</v>
      </c>
    </row>
    <row r="165">
      <c r="A165" s="8" t="s">
        <v>1250</v>
      </c>
      <c r="B165" s="8" t="s">
        <v>1253</v>
      </c>
      <c r="C165" s="8" t="s">
        <v>392</v>
      </c>
      <c r="D165" s="8" t="s">
        <v>54</v>
      </c>
      <c r="E165" s="8" t="s">
        <v>368</v>
      </c>
      <c r="F165" s="8" t="s">
        <v>2394</v>
      </c>
      <c r="G165" s="8" t="s">
        <v>2395</v>
      </c>
      <c r="H165" s="8" t="s">
        <v>2396</v>
      </c>
      <c r="I165" s="8" t="s">
        <v>55</v>
      </c>
      <c r="J165" s="8" t="s">
        <v>70</v>
      </c>
      <c r="K165" s="7" t="s">
        <v>5327</v>
      </c>
      <c r="L165" s="8" t="s">
        <v>52</v>
      </c>
      <c r="M165" s="8" t="s">
        <v>174</v>
      </c>
      <c r="N165" s="8" t="s">
        <v>368</v>
      </c>
      <c r="O165" s="32">
        <v>43903.0</v>
      </c>
      <c r="P165" s="42">
        <v>1371.0</v>
      </c>
      <c r="Q165" s="32">
        <v>45729.0</v>
      </c>
      <c r="R165" s="8" t="s">
        <v>686</v>
      </c>
      <c r="S165" s="8" t="s">
        <v>190</v>
      </c>
      <c r="T165" s="8" t="s">
        <v>49</v>
      </c>
      <c r="U165" s="8" t="s">
        <v>687</v>
      </c>
    </row>
    <row r="166">
      <c r="A166" s="8" t="s">
        <v>1519</v>
      </c>
      <c r="B166" s="8" t="s">
        <v>1522</v>
      </c>
      <c r="C166" s="8" t="s">
        <v>57</v>
      </c>
      <c r="D166" s="8" t="s">
        <v>54</v>
      </c>
      <c r="E166" s="8" t="s">
        <v>185</v>
      </c>
      <c r="F166" s="8" t="s">
        <v>3112</v>
      </c>
      <c r="G166" s="8" t="s">
        <v>3113</v>
      </c>
      <c r="H166" s="8" t="s">
        <v>3114</v>
      </c>
      <c r="I166" s="8" t="s">
        <v>117</v>
      </c>
      <c r="J166" s="8" t="s">
        <v>56</v>
      </c>
      <c r="K166" s="7" t="s">
        <v>5328</v>
      </c>
      <c r="L166" s="8" t="s">
        <v>52</v>
      </c>
      <c r="M166" s="8" t="s">
        <v>1771</v>
      </c>
      <c r="N166" s="8" t="s">
        <v>185</v>
      </c>
      <c r="O166" s="32">
        <v>43920.0</v>
      </c>
      <c r="P166" s="7">
        <v>1.0</v>
      </c>
      <c r="Q166" s="32">
        <v>45748.0</v>
      </c>
      <c r="R166" s="8" t="s">
        <v>226</v>
      </c>
      <c r="S166" s="8" t="s">
        <v>484</v>
      </c>
      <c r="T166" s="8" t="s">
        <v>115</v>
      </c>
      <c r="U166" s="8" t="s">
        <v>53</v>
      </c>
    </row>
    <row r="167">
      <c r="A167" s="8" t="s">
        <v>1519</v>
      </c>
      <c r="B167" s="8" t="s">
        <v>1522</v>
      </c>
      <c r="C167" s="8" t="s">
        <v>57</v>
      </c>
      <c r="D167" s="8" t="s">
        <v>54</v>
      </c>
      <c r="E167" s="8" t="s">
        <v>185</v>
      </c>
      <c r="F167" s="8" t="s">
        <v>3116</v>
      </c>
      <c r="G167" s="8" t="s">
        <v>3117</v>
      </c>
      <c r="H167" s="8" t="s">
        <v>3118</v>
      </c>
      <c r="I167" s="8" t="s">
        <v>117</v>
      </c>
      <c r="J167" s="8" t="s">
        <v>56</v>
      </c>
      <c r="K167" s="7" t="s">
        <v>5328</v>
      </c>
      <c r="L167" s="8" t="s">
        <v>52</v>
      </c>
      <c r="M167" s="8" t="s">
        <v>1771</v>
      </c>
      <c r="N167" s="8" t="s">
        <v>185</v>
      </c>
      <c r="O167" s="32">
        <v>43920.0</v>
      </c>
      <c r="P167" s="7" t="s">
        <v>5214</v>
      </c>
      <c r="Q167" s="32">
        <v>47574.0</v>
      </c>
      <c r="R167" s="8" t="s">
        <v>226</v>
      </c>
      <c r="S167" s="8" t="s">
        <v>484</v>
      </c>
      <c r="T167" s="8" t="s">
        <v>115</v>
      </c>
      <c r="U167" s="8" t="s">
        <v>53</v>
      </c>
    </row>
    <row r="168">
      <c r="A168" s="8" t="s">
        <v>1487</v>
      </c>
      <c r="B168" s="8" t="s">
        <v>1490</v>
      </c>
      <c r="C168" s="8" t="s">
        <v>57</v>
      </c>
      <c r="D168" s="8" t="s">
        <v>54</v>
      </c>
      <c r="E168" s="8" t="s">
        <v>185</v>
      </c>
      <c r="F168" s="8" t="s">
        <v>2268</v>
      </c>
      <c r="G168" s="8" t="s">
        <v>2269</v>
      </c>
      <c r="H168" s="8" t="s">
        <v>2270</v>
      </c>
      <c r="I168" s="8" t="s">
        <v>117</v>
      </c>
      <c r="J168" s="8" t="s">
        <v>56</v>
      </c>
      <c r="K168" s="7" t="s">
        <v>5329</v>
      </c>
      <c r="L168" s="8" t="s">
        <v>52</v>
      </c>
      <c r="M168" s="8" t="s">
        <v>1771</v>
      </c>
      <c r="N168" s="8" t="s">
        <v>185</v>
      </c>
      <c r="O168" s="32">
        <v>43922.0</v>
      </c>
      <c r="P168" s="42">
        <v>2625.0</v>
      </c>
      <c r="Q168" s="32">
        <v>46736.0</v>
      </c>
      <c r="R168" s="8" t="s">
        <v>2135</v>
      </c>
      <c r="S168" s="8" t="s">
        <v>190</v>
      </c>
      <c r="T168" s="8" t="s">
        <v>115</v>
      </c>
      <c r="U168" s="8" t="s">
        <v>53</v>
      </c>
    </row>
    <row r="169">
      <c r="A169" s="8" t="s">
        <v>416</v>
      </c>
      <c r="B169" s="8" t="s">
        <v>419</v>
      </c>
      <c r="C169" s="8" t="s">
        <v>57</v>
      </c>
      <c r="D169" s="8" t="s">
        <v>54</v>
      </c>
      <c r="E169" s="8" t="s">
        <v>367</v>
      </c>
      <c r="F169" s="8" t="s">
        <v>2855</v>
      </c>
      <c r="G169" s="8" t="s">
        <v>2856</v>
      </c>
      <c r="H169" s="8" t="s">
        <v>2857</v>
      </c>
      <c r="I169" s="8" t="s">
        <v>421</v>
      </c>
      <c r="J169" s="8" t="s">
        <v>56</v>
      </c>
      <c r="K169" s="7" t="s">
        <v>5330</v>
      </c>
      <c r="L169" s="8" t="s">
        <v>52</v>
      </c>
      <c r="M169" s="8" t="s">
        <v>1776</v>
      </c>
      <c r="N169" s="8" t="s">
        <v>367</v>
      </c>
      <c r="O169" s="32">
        <v>43923.0</v>
      </c>
      <c r="P169" s="7" t="s">
        <v>5238</v>
      </c>
      <c r="Q169" s="32">
        <v>46479.0</v>
      </c>
      <c r="R169" s="8" t="s">
        <v>174</v>
      </c>
      <c r="S169" s="8" t="s">
        <v>175</v>
      </c>
      <c r="T169" s="8" t="s">
        <v>115</v>
      </c>
      <c r="U169" s="8" t="s">
        <v>53</v>
      </c>
    </row>
    <row r="170">
      <c r="A170" s="8" t="s">
        <v>1526</v>
      </c>
      <c r="B170" s="8" t="s">
        <v>1529</v>
      </c>
      <c r="C170" s="8" t="s">
        <v>57</v>
      </c>
      <c r="D170" s="8" t="s">
        <v>54</v>
      </c>
      <c r="E170" s="8" t="s">
        <v>185</v>
      </c>
      <c r="F170" s="8" t="s">
        <v>2997</v>
      </c>
      <c r="G170" s="8" t="s">
        <v>2998</v>
      </c>
      <c r="H170" s="8" t="s">
        <v>2999</v>
      </c>
      <c r="I170" s="8" t="s">
        <v>421</v>
      </c>
      <c r="J170" s="8" t="s">
        <v>56</v>
      </c>
      <c r="K170" s="7" t="s">
        <v>5331</v>
      </c>
      <c r="L170" s="8" t="s">
        <v>52</v>
      </c>
      <c r="M170" s="8" t="s">
        <v>1771</v>
      </c>
      <c r="N170" s="8" t="s">
        <v>185</v>
      </c>
      <c r="O170" s="32">
        <v>43927.0</v>
      </c>
      <c r="P170" s="42">
        <v>1125.0</v>
      </c>
      <c r="Q170" s="32">
        <v>45754.0</v>
      </c>
      <c r="R170" s="8" t="s">
        <v>174</v>
      </c>
      <c r="S170" s="8" t="s">
        <v>620</v>
      </c>
      <c r="T170" s="8" t="s">
        <v>115</v>
      </c>
      <c r="U170" s="8" t="s">
        <v>53</v>
      </c>
    </row>
    <row r="171">
      <c r="A171" s="8" t="s">
        <v>1526</v>
      </c>
      <c r="B171" s="8" t="s">
        <v>1529</v>
      </c>
      <c r="C171" s="8" t="s">
        <v>57</v>
      </c>
      <c r="D171" s="8" t="s">
        <v>54</v>
      </c>
      <c r="E171" s="8" t="s">
        <v>185</v>
      </c>
      <c r="F171" s="8" t="s">
        <v>3001</v>
      </c>
      <c r="G171" s="8" t="s">
        <v>3002</v>
      </c>
      <c r="H171" s="8" t="s">
        <v>3003</v>
      </c>
      <c r="I171" s="8" t="s">
        <v>421</v>
      </c>
      <c r="J171" s="8" t="s">
        <v>56</v>
      </c>
      <c r="K171" s="7" t="s">
        <v>5331</v>
      </c>
      <c r="L171" s="8" t="s">
        <v>52</v>
      </c>
      <c r="M171" s="8" t="s">
        <v>1771</v>
      </c>
      <c r="N171" s="8" t="s">
        <v>185</v>
      </c>
      <c r="O171" s="32">
        <v>43927.0</v>
      </c>
      <c r="P171" s="7" t="s">
        <v>5238</v>
      </c>
      <c r="Q171" s="32">
        <v>47581.0</v>
      </c>
      <c r="R171" s="8" t="s">
        <v>174</v>
      </c>
      <c r="S171" s="8" t="s">
        <v>620</v>
      </c>
      <c r="T171" s="8" t="s">
        <v>115</v>
      </c>
      <c r="U171" s="8" t="s">
        <v>53</v>
      </c>
    </row>
    <row r="172">
      <c r="A172" s="8" t="s">
        <v>181</v>
      </c>
      <c r="B172" s="8" t="s">
        <v>184</v>
      </c>
      <c r="C172" s="8" t="s">
        <v>57</v>
      </c>
      <c r="D172" s="8" t="s">
        <v>54</v>
      </c>
      <c r="E172" s="8" t="s">
        <v>186</v>
      </c>
      <c r="F172" s="8" t="s">
        <v>3177</v>
      </c>
      <c r="G172" s="8" t="s">
        <v>3178</v>
      </c>
      <c r="H172" s="8" t="s">
        <v>3179</v>
      </c>
      <c r="I172" s="8" t="s">
        <v>133</v>
      </c>
      <c r="J172" s="8" t="s">
        <v>56</v>
      </c>
      <c r="K172" s="7" t="s">
        <v>5332</v>
      </c>
      <c r="L172" s="8" t="s">
        <v>52</v>
      </c>
      <c r="M172" s="8" t="s">
        <v>1771</v>
      </c>
      <c r="N172" s="8" t="s">
        <v>185</v>
      </c>
      <c r="O172" s="32">
        <v>43930.0</v>
      </c>
      <c r="P172" s="7">
        <v>1.0</v>
      </c>
      <c r="Q172" s="32">
        <v>46486.0</v>
      </c>
      <c r="R172" s="8" t="s">
        <v>226</v>
      </c>
      <c r="S172" s="8" t="s">
        <v>190</v>
      </c>
      <c r="T172" s="8" t="s">
        <v>115</v>
      </c>
      <c r="U172" s="8" t="s">
        <v>53</v>
      </c>
    </row>
    <row r="173">
      <c r="A173" s="8" t="s">
        <v>166</v>
      </c>
      <c r="B173" s="8" t="s">
        <v>169</v>
      </c>
      <c r="C173" s="8" t="s">
        <v>57</v>
      </c>
      <c r="D173" s="8" t="s">
        <v>54</v>
      </c>
      <c r="E173" s="8" t="s">
        <v>171</v>
      </c>
      <c r="F173" s="8" t="s">
        <v>2639</v>
      </c>
      <c r="G173" s="8" t="s">
        <v>2640</v>
      </c>
      <c r="H173" s="8" t="s">
        <v>2641</v>
      </c>
      <c r="I173" s="8" t="s">
        <v>55</v>
      </c>
      <c r="J173" s="8" t="s">
        <v>56</v>
      </c>
      <c r="K173" s="7" t="s">
        <v>5332</v>
      </c>
      <c r="L173" s="8" t="s">
        <v>52</v>
      </c>
      <c r="M173" s="8" t="s">
        <v>1771</v>
      </c>
      <c r="N173" s="8" t="s">
        <v>170</v>
      </c>
      <c r="O173" s="32">
        <v>43930.0</v>
      </c>
      <c r="P173" s="42">
        <v>2375.0</v>
      </c>
      <c r="Q173" s="32">
        <v>45756.0</v>
      </c>
      <c r="R173" s="8" t="s">
        <v>226</v>
      </c>
      <c r="S173" s="8" t="s">
        <v>175</v>
      </c>
      <c r="T173" s="8" t="s">
        <v>115</v>
      </c>
      <c r="U173" s="8" t="s">
        <v>53</v>
      </c>
    </row>
    <row r="174">
      <c r="A174" s="8" t="s">
        <v>1560</v>
      </c>
      <c r="B174" s="8" t="s">
        <v>1563</v>
      </c>
      <c r="C174" s="8" t="s">
        <v>57</v>
      </c>
      <c r="D174" s="8" t="s">
        <v>54</v>
      </c>
      <c r="E174" s="8" t="s">
        <v>258</v>
      </c>
      <c r="F174" s="8" t="s">
        <v>2740</v>
      </c>
      <c r="G174" s="8" t="s">
        <v>2741</v>
      </c>
      <c r="H174" s="8" t="s">
        <v>2742</v>
      </c>
      <c r="I174" s="8" t="s">
        <v>55</v>
      </c>
      <c r="J174" s="8" t="s">
        <v>56</v>
      </c>
      <c r="K174" s="7" t="s">
        <v>5333</v>
      </c>
      <c r="L174" s="8" t="s">
        <v>52</v>
      </c>
      <c r="M174" s="8" t="s">
        <v>1771</v>
      </c>
      <c r="N174" s="8" t="s">
        <v>367</v>
      </c>
      <c r="O174" s="32">
        <v>43938.0</v>
      </c>
      <c r="P174" s="7" t="s">
        <v>5219</v>
      </c>
      <c r="Q174" s="32">
        <v>46494.0</v>
      </c>
      <c r="R174" s="8" t="s">
        <v>174</v>
      </c>
      <c r="S174" s="8" t="s">
        <v>175</v>
      </c>
      <c r="T174" s="8" t="s">
        <v>49</v>
      </c>
      <c r="U174" s="8" t="s">
        <v>53</v>
      </c>
    </row>
    <row r="175">
      <c r="A175" s="8" t="s">
        <v>1560</v>
      </c>
      <c r="B175" s="8" t="s">
        <v>1563</v>
      </c>
      <c r="C175" s="8" t="s">
        <v>57</v>
      </c>
      <c r="D175" s="8" t="s">
        <v>54</v>
      </c>
      <c r="E175" s="8" t="s">
        <v>258</v>
      </c>
      <c r="F175" s="8" t="s">
        <v>2744</v>
      </c>
      <c r="G175" s="8" t="s">
        <v>2745</v>
      </c>
      <c r="H175" s="8" t="s">
        <v>2746</v>
      </c>
      <c r="I175" s="8" t="s">
        <v>55</v>
      </c>
      <c r="J175" s="8" t="s">
        <v>56</v>
      </c>
      <c r="K175" s="7" t="s">
        <v>5333</v>
      </c>
      <c r="L175" s="8" t="s">
        <v>52</v>
      </c>
      <c r="M175" s="8" t="s">
        <v>1771</v>
      </c>
      <c r="N175" s="8" t="s">
        <v>367</v>
      </c>
      <c r="O175" s="32">
        <v>43938.0</v>
      </c>
      <c r="P175" s="42">
        <v>3375.0</v>
      </c>
      <c r="Q175" s="32">
        <v>49416.0</v>
      </c>
      <c r="R175" s="8" t="s">
        <v>174</v>
      </c>
      <c r="S175" s="8" t="s">
        <v>175</v>
      </c>
      <c r="T175" s="8" t="s">
        <v>49</v>
      </c>
      <c r="U175" s="8" t="s">
        <v>53</v>
      </c>
    </row>
    <row r="176">
      <c r="A176" s="8" t="s">
        <v>1133</v>
      </c>
      <c r="B176" s="8" t="s">
        <v>1136</v>
      </c>
      <c r="C176" s="8" t="s">
        <v>57</v>
      </c>
      <c r="D176" s="8" t="s">
        <v>54</v>
      </c>
      <c r="E176" s="8" t="s">
        <v>45</v>
      </c>
      <c r="F176" s="8" t="s">
        <v>2602</v>
      </c>
      <c r="G176" s="8" t="s">
        <v>2603</v>
      </c>
      <c r="H176" s="8" t="s">
        <v>2604</v>
      </c>
      <c r="I176" s="8" t="s">
        <v>421</v>
      </c>
      <c r="J176" s="8" t="s">
        <v>56</v>
      </c>
      <c r="K176" s="7" t="s">
        <v>5334</v>
      </c>
      <c r="L176" s="8" t="s">
        <v>52</v>
      </c>
      <c r="M176" s="8" t="s">
        <v>174</v>
      </c>
      <c r="N176" s="8" t="s">
        <v>45</v>
      </c>
      <c r="O176" s="32">
        <v>43949.0</v>
      </c>
      <c r="P176" s="42">
        <v>2725.0</v>
      </c>
      <c r="Q176" s="32">
        <v>45044.0</v>
      </c>
      <c r="R176" s="8" t="s">
        <v>226</v>
      </c>
      <c r="S176" s="8" t="s">
        <v>117</v>
      </c>
      <c r="T176" s="8" t="s">
        <v>49</v>
      </c>
      <c r="U176" s="8" t="s">
        <v>1807</v>
      </c>
    </row>
    <row r="177">
      <c r="A177" s="8" t="s">
        <v>477</v>
      </c>
      <c r="B177" s="8" t="s">
        <v>480</v>
      </c>
      <c r="C177" s="8" t="s">
        <v>57</v>
      </c>
      <c r="D177" s="8" t="s">
        <v>54</v>
      </c>
      <c r="E177" s="8" t="s">
        <v>45</v>
      </c>
      <c r="F177" s="8" t="s">
        <v>1941</v>
      </c>
      <c r="G177" s="8" t="s">
        <v>1942</v>
      </c>
      <c r="H177" s="8" t="s">
        <v>1943</v>
      </c>
      <c r="I177" s="8" t="s">
        <v>55</v>
      </c>
      <c r="J177" s="8" t="s">
        <v>56</v>
      </c>
      <c r="K177" s="7">
        <v>8.111775E7</v>
      </c>
      <c r="L177" s="8" t="s">
        <v>483</v>
      </c>
      <c r="M177" s="8" t="s">
        <v>174</v>
      </c>
      <c r="N177" s="8" t="s">
        <v>45</v>
      </c>
      <c r="O177" s="32">
        <v>43943.0</v>
      </c>
      <c r="P177" s="7" t="s">
        <v>5335</v>
      </c>
      <c r="Q177" s="32">
        <v>45404.0</v>
      </c>
      <c r="R177" s="8" t="s">
        <v>226</v>
      </c>
      <c r="S177" s="8" t="s">
        <v>484</v>
      </c>
      <c r="T177" s="8" t="s">
        <v>49</v>
      </c>
      <c r="U177" s="8" t="s">
        <v>53</v>
      </c>
    </row>
    <row r="178">
      <c r="A178" s="8" t="s">
        <v>477</v>
      </c>
      <c r="B178" s="8" t="s">
        <v>480</v>
      </c>
      <c r="C178" s="8" t="s">
        <v>57</v>
      </c>
      <c r="D178" s="8" t="s">
        <v>54</v>
      </c>
      <c r="E178" s="8" t="s">
        <v>45</v>
      </c>
      <c r="F178" s="8" t="s">
        <v>1945</v>
      </c>
      <c r="G178" s="8" t="s">
        <v>1946</v>
      </c>
      <c r="H178" s="8" t="s">
        <v>1947</v>
      </c>
      <c r="I178" s="8" t="s">
        <v>55</v>
      </c>
      <c r="J178" s="8" t="s">
        <v>56</v>
      </c>
      <c r="K178" s="7">
        <v>5.45015E7</v>
      </c>
      <c r="L178" s="8" t="s">
        <v>483</v>
      </c>
      <c r="M178" s="8" t="s">
        <v>174</v>
      </c>
      <c r="N178" s="8" t="s">
        <v>45</v>
      </c>
      <c r="O178" s="32">
        <v>43955.0</v>
      </c>
      <c r="P178" s="7" t="s">
        <v>5336</v>
      </c>
      <c r="Q178" s="32">
        <v>45105.0</v>
      </c>
      <c r="R178" s="8" t="s">
        <v>226</v>
      </c>
      <c r="S178" s="8" t="s">
        <v>484</v>
      </c>
      <c r="T178" s="8" t="s">
        <v>49</v>
      </c>
      <c r="U178" s="8" t="s">
        <v>53</v>
      </c>
    </row>
    <row r="179">
      <c r="A179" s="8" t="s">
        <v>477</v>
      </c>
      <c r="B179" s="8" t="s">
        <v>480</v>
      </c>
      <c r="C179" s="8" t="s">
        <v>57</v>
      </c>
      <c r="D179" s="8" t="s">
        <v>54</v>
      </c>
      <c r="E179" s="8" t="s">
        <v>45</v>
      </c>
      <c r="F179" s="8" t="s">
        <v>1949</v>
      </c>
      <c r="G179" s="8" t="s">
        <v>1950</v>
      </c>
      <c r="H179" s="8" t="s">
        <v>1951</v>
      </c>
      <c r="I179" s="8" t="s">
        <v>55</v>
      </c>
      <c r="J179" s="8" t="s">
        <v>56</v>
      </c>
      <c r="K179" s="7">
        <v>2.734325E7</v>
      </c>
      <c r="L179" s="8" t="s">
        <v>483</v>
      </c>
      <c r="M179" s="8" t="s">
        <v>174</v>
      </c>
      <c r="N179" s="8" t="s">
        <v>45</v>
      </c>
      <c r="O179" s="32">
        <v>43951.0</v>
      </c>
      <c r="P179" s="7" t="s">
        <v>5335</v>
      </c>
      <c r="Q179" s="32">
        <v>45105.0</v>
      </c>
      <c r="R179" s="8" t="s">
        <v>226</v>
      </c>
      <c r="S179" s="8" t="s">
        <v>484</v>
      </c>
      <c r="T179" s="8" t="s">
        <v>49</v>
      </c>
      <c r="U179" s="8" t="s">
        <v>53</v>
      </c>
    </row>
    <row r="180">
      <c r="A180" s="8" t="s">
        <v>477</v>
      </c>
      <c r="B180" s="8" t="s">
        <v>480</v>
      </c>
      <c r="C180" s="8" t="s">
        <v>57</v>
      </c>
      <c r="D180" s="8" t="s">
        <v>54</v>
      </c>
      <c r="E180" s="8" t="s">
        <v>45</v>
      </c>
      <c r="F180" s="8" t="s">
        <v>1953</v>
      </c>
      <c r="G180" s="8" t="s">
        <v>1954</v>
      </c>
      <c r="H180" s="8" t="s">
        <v>1955</v>
      </c>
      <c r="I180" s="8" t="s">
        <v>55</v>
      </c>
      <c r="J180" s="8" t="s">
        <v>56</v>
      </c>
      <c r="K180" s="7">
        <v>1.09373E7</v>
      </c>
      <c r="L180" s="8" t="s">
        <v>483</v>
      </c>
      <c r="M180" s="8" t="s">
        <v>174</v>
      </c>
      <c r="N180" s="8" t="s">
        <v>45</v>
      </c>
      <c r="O180" s="32">
        <v>43951.0</v>
      </c>
      <c r="P180" s="7" t="s">
        <v>5337</v>
      </c>
      <c r="Q180" s="32">
        <v>45412.0</v>
      </c>
      <c r="R180" s="8" t="s">
        <v>226</v>
      </c>
      <c r="S180" s="8" t="s">
        <v>484</v>
      </c>
      <c r="T180" s="8" t="s">
        <v>49</v>
      </c>
      <c r="U180" s="8" t="s">
        <v>53</v>
      </c>
    </row>
    <row r="181">
      <c r="A181" s="8" t="s">
        <v>614</v>
      </c>
      <c r="B181" s="8" t="s">
        <v>617</v>
      </c>
      <c r="C181" s="8" t="s">
        <v>57</v>
      </c>
      <c r="D181" s="8" t="s">
        <v>54</v>
      </c>
      <c r="E181" s="8" t="s">
        <v>200</v>
      </c>
      <c r="F181" s="8" t="s">
        <v>2493</v>
      </c>
      <c r="G181" s="8" t="s">
        <v>2494</v>
      </c>
      <c r="H181" s="8" t="s">
        <v>2495</v>
      </c>
      <c r="I181" s="8" t="s">
        <v>117</v>
      </c>
      <c r="J181" s="8" t="s">
        <v>56</v>
      </c>
      <c r="K181" s="7" t="s">
        <v>5329</v>
      </c>
      <c r="L181" s="8" t="s">
        <v>52</v>
      </c>
      <c r="M181" s="8" t="s">
        <v>1771</v>
      </c>
      <c r="N181" s="8" t="s">
        <v>200</v>
      </c>
      <c r="O181" s="32">
        <v>43969.0</v>
      </c>
      <c r="P181" s="7" t="s">
        <v>5217</v>
      </c>
      <c r="Q181" s="32">
        <v>46160.0</v>
      </c>
      <c r="R181" s="8" t="s">
        <v>226</v>
      </c>
      <c r="S181" s="8" t="s">
        <v>620</v>
      </c>
      <c r="T181" s="8" t="s">
        <v>49</v>
      </c>
      <c r="U181" s="8" t="s">
        <v>53</v>
      </c>
    </row>
    <row r="182">
      <c r="A182" s="8" t="s">
        <v>614</v>
      </c>
      <c r="B182" s="8" t="s">
        <v>617</v>
      </c>
      <c r="C182" s="8" t="s">
        <v>57</v>
      </c>
      <c r="D182" s="8" t="s">
        <v>54</v>
      </c>
      <c r="E182" s="8" t="s">
        <v>200</v>
      </c>
      <c r="F182" s="8" t="s">
        <v>2497</v>
      </c>
      <c r="G182" s="8" t="s">
        <v>2498</v>
      </c>
      <c r="H182" s="8" t="s">
        <v>2499</v>
      </c>
      <c r="I182" s="8" t="s">
        <v>117</v>
      </c>
      <c r="J182" s="8" t="s">
        <v>56</v>
      </c>
      <c r="K182" s="7" t="s">
        <v>5329</v>
      </c>
      <c r="L182" s="8" t="s">
        <v>52</v>
      </c>
      <c r="M182" s="8" t="s">
        <v>1771</v>
      </c>
      <c r="N182" s="8" t="s">
        <v>200</v>
      </c>
      <c r="O182" s="32">
        <v>43969.0</v>
      </c>
      <c r="P182" s="7">
        <v>2.0</v>
      </c>
      <c r="Q182" s="32">
        <v>47986.0</v>
      </c>
      <c r="R182" s="8" t="s">
        <v>226</v>
      </c>
      <c r="S182" s="8" t="s">
        <v>620</v>
      </c>
      <c r="T182" s="8" t="s">
        <v>49</v>
      </c>
      <c r="U182" s="8" t="s">
        <v>53</v>
      </c>
    </row>
    <row r="183">
      <c r="A183" s="8" t="s">
        <v>477</v>
      </c>
      <c r="B183" s="8" t="s">
        <v>480</v>
      </c>
      <c r="C183" s="8" t="s">
        <v>392</v>
      </c>
      <c r="D183" s="8" t="s">
        <v>54</v>
      </c>
      <c r="E183" s="8" t="s">
        <v>45</v>
      </c>
      <c r="F183" s="8" t="s">
        <v>1957</v>
      </c>
      <c r="G183" s="8" t="s">
        <v>1958</v>
      </c>
      <c r="H183" s="8" t="s">
        <v>1959</v>
      </c>
      <c r="I183" s="8" t="s">
        <v>55</v>
      </c>
      <c r="J183" s="8" t="s">
        <v>70</v>
      </c>
      <c r="K183" s="7" t="s">
        <v>5338</v>
      </c>
      <c r="L183" s="8" t="s">
        <v>459</v>
      </c>
      <c r="M183" s="8" t="s">
        <v>1771</v>
      </c>
      <c r="N183" s="8" t="s">
        <v>45</v>
      </c>
      <c r="O183" s="32">
        <v>43969.0</v>
      </c>
      <c r="P183" s="7">
        <v>0.0</v>
      </c>
      <c r="Q183" s="32">
        <v>45793.0</v>
      </c>
      <c r="R183" s="8" t="s">
        <v>226</v>
      </c>
      <c r="S183" s="8" t="s">
        <v>190</v>
      </c>
      <c r="T183" s="8" t="s">
        <v>49</v>
      </c>
      <c r="U183" s="8" t="s">
        <v>53</v>
      </c>
    </row>
    <row r="184">
      <c r="A184" s="8" t="s">
        <v>917</v>
      </c>
      <c r="B184" s="8" t="s">
        <v>920</v>
      </c>
      <c r="C184" s="8" t="s">
        <v>57</v>
      </c>
      <c r="D184" s="8" t="s">
        <v>54</v>
      </c>
      <c r="E184" s="8" t="s">
        <v>185</v>
      </c>
      <c r="F184" s="8" t="s">
        <v>2913</v>
      </c>
      <c r="G184" s="8" t="s">
        <v>2914</v>
      </c>
      <c r="H184" s="8" t="s">
        <v>2915</v>
      </c>
      <c r="I184" s="8" t="s">
        <v>421</v>
      </c>
      <c r="J184" s="8" t="s">
        <v>56</v>
      </c>
      <c r="K184" s="7" t="s">
        <v>5339</v>
      </c>
      <c r="L184" s="8" t="s">
        <v>52</v>
      </c>
      <c r="M184" s="8" t="s">
        <v>1771</v>
      </c>
      <c r="N184" s="8" t="s">
        <v>185</v>
      </c>
      <c r="O184" s="32">
        <v>43971.0</v>
      </c>
      <c r="P184" s="7" t="s">
        <v>5235</v>
      </c>
      <c r="Q184" s="32">
        <v>47623.0</v>
      </c>
      <c r="R184" s="8" t="s">
        <v>174</v>
      </c>
      <c r="S184" s="8" t="s">
        <v>190</v>
      </c>
      <c r="T184" s="8" t="s">
        <v>115</v>
      </c>
      <c r="U184" s="8" t="s">
        <v>53</v>
      </c>
    </row>
    <row r="185">
      <c r="A185" s="8" t="s">
        <v>477</v>
      </c>
      <c r="B185" s="8" t="s">
        <v>480</v>
      </c>
      <c r="C185" s="8" t="s">
        <v>57</v>
      </c>
      <c r="D185" s="42">
        <v>-286.0</v>
      </c>
      <c r="E185" s="8" t="s">
        <v>45</v>
      </c>
      <c r="F185" s="8" t="s">
        <v>1961</v>
      </c>
      <c r="G185" s="8" t="s">
        <v>1962</v>
      </c>
      <c r="H185" s="8" t="s">
        <v>1963</v>
      </c>
      <c r="I185" s="8" t="s">
        <v>55</v>
      </c>
      <c r="J185" s="8" t="s">
        <v>56</v>
      </c>
      <c r="K185" s="7">
        <v>1.693575E7</v>
      </c>
      <c r="L185" s="8" t="s">
        <v>459</v>
      </c>
      <c r="M185" s="8" t="s">
        <v>174</v>
      </c>
      <c r="N185" s="8" t="s">
        <v>45</v>
      </c>
      <c r="O185" s="32">
        <v>43987.0</v>
      </c>
      <c r="P185" s="7" t="s">
        <v>5323</v>
      </c>
      <c r="Q185" s="32">
        <v>45082.0</v>
      </c>
      <c r="R185" s="8" t="s">
        <v>226</v>
      </c>
      <c r="S185" s="8" t="s">
        <v>190</v>
      </c>
      <c r="T185" s="8" t="s">
        <v>49</v>
      </c>
      <c r="U185" s="8" t="s">
        <v>53</v>
      </c>
    </row>
    <row r="186">
      <c r="A186" s="8" t="s">
        <v>181</v>
      </c>
      <c r="B186" s="8" t="s">
        <v>184</v>
      </c>
      <c r="C186" s="8" t="s">
        <v>57</v>
      </c>
      <c r="D186" s="7" t="s">
        <v>5340</v>
      </c>
      <c r="E186" s="8" t="s">
        <v>186</v>
      </c>
      <c r="F186" s="8" t="s">
        <v>3181</v>
      </c>
      <c r="G186" s="8" t="s">
        <v>3182</v>
      </c>
      <c r="H186" s="8" t="s">
        <v>3183</v>
      </c>
      <c r="I186" s="8" t="s">
        <v>133</v>
      </c>
      <c r="J186" s="8" t="s">
        <v>56</v>
      </c>
      <c r="K186" s="7" t="s">
        <v>5341</v>
      </c>
      <c r="L186" s="8" t="s">
        <v>52</v>
      </c>
      <c r="M186" s="8" t="s">
        <v>1771</v>
      </c>
      <c r="N186" s="8" t="s">
        <v>185</v>
      </c>
      <c r="O186" s="32">
        <v>43994.0</v>
      </c>
      <c r="P186" s="7">
        <v>0.0</v>
      </c>
      <c r="Q186" s="32">
        <v>45089.0</v>
      </c>
      <c r="R186" s="8" t="s">
        <v>226</v>
      </c>
      <c r="S186" s="8" t="s">
        <v>190</v>
      </c>
      <c r="T186" s="8" t="s">
        <v>115</v>
      </c>
      <c r="U186" s="8" t="s">
        <v>53</v>
      </c>
    </row>
    <row r="187">
      <c r="A187" s="8" t="s">
        <v>477</v>
      </c>
      <c r="B187" s="8" t="s">
        <v>480</v>
      </c>
      <c r="C187" s="8" t="s">
        <v>392</v>
      </c>
      <c r="D187" s="8" t="s">
        <v>54</v>
      </c>
      <c r="E187" s="8" t="s">
        <v>45</v>
      </c>
      <c r="F187" s="8" t="s">
        <v>1965</v>
      </c>
      <c r="G187" s="8" t="s">
        <v>1966</v>
      </c>
      <c r="H187" s="8" t="s">
        <v>1967</v>
      </c>
      <c r="I187" s="8" t="s">
        <v>55</v>
      </c>
      <c r="J187" s="8" t="s">
        <v>70</v>
      </c>
      <c r="K187" s="7" t="s">
        <v>5342</v>
      </c>
      <c r="L187" s="8" t="s">
        <v>459</v>
      </c>
      <c r="M187" s="8" t="s">
        <v>174</v>
      </c>
      <c r="N187" s="8" t="s">
        <v>45</v>
      </c>
      <c r="O187" s="32">
        <v>43997.0</v>
      </c>
      <c r="P187" s="7">
        <v>0.0</v>
      </c>
      <c r="Q187" s="32">
        <v>45821.0</v>
      </c>
      <c r="R187" s="8" t="s">
        <v>226</v>
      </c>
      <c r="S187" s="8" t="s">
        <v>190</v>
      </c>
      <c r="T187" s="8" t="s">
        <v>49</v>
      </c>
      <c r="U187" s="8" t="s">
        <v>53</v>
      </c>
    </row>
    <row r="188">
      <c r="A188" s="8" t="s">
        <v>1360</v>
      </c>
      <c r="B188" s="8" t="s">
        <v>1363</v>
      </c>
      <c r="C188" s="8" t="s">
        <v>57</v>
      </c>
      <c r="D188" s="42">
        <v>765.0</v>
      </c>
      <c r="E188" s="8" t="s">
        <v>200</v>
      </c>
      <c r="F188" s="8" t="s">
        <v>3229</v>
      </c>
      <c r="G188" s="8" t="s">
        <v>3230</v>
      </c>
      <c r="H188" s="8" t="s">
        <v>3231</v>
      </c>
      <c r="I188" s="8" t="s">
        <v>117</v>
      </c>
      <c r="J188" s="8" t="s">
        <v>56</v>
      </c>
      <c r="K188" s="7" t="s">
        <v>5343</v>
      </c>
      <c r="L188" s="8" t="s">
        <v>52</v>
      </c>
      <c r="M188" s="8" t="s">
        <v>3232</v>
      </c>
      <c r="N188" s="8" t="s">
        <v>200</v>
      </c>
      <c r="O188" s="32">
        <v>43999.0</v>
      </c>
      <c r="P188" s="7" t="s">
        <v>5235</v>
      </c>
      <c r="Q188" s="32">
        <v>47651.0</v>
      </c>
      <c r="R188" s="8" t="s">
        <v>226</v>
      </c>
      <c r="S188" s="8" t="s">
        <v>175</v>
      </c>
      <c r="T188" s="8" t="s">
        <v>115</v>
      </c>
      <c r="U188" s="8" t="s">
        <v>53</v>
      </c>
    </row>
    <row r="189">
      <c r="A189" s="8" t="s">
        <v>671</v>
      </c>
      <c r="B189" s="8" t="s">
        <v>674</v>
      </c>
      <c r="C189" s="8" t="s">
        <v>57</v>
      </c>
      <c r="D189" s="7" t="s">
        <v>5344</v>
      </c>
      <c r="E189" s="8" t="s">
        <v>185</v>
      </c>
      <c r="F189" s="8" t="s">
        <v>2375</v>
      </c>
      <c r="G189" s="8" t="s">
        <v>2376</v>
      </c>
      <c r="H189" s="8" t="s">
        <v>2377</v>
      </c>
      <c r="I189" s="8" t="s">
        <v>421</v>
      </c>
      <c r="J189" s="8" t="s">
        <v>56</v>
      </c>
      <c r="K189" s="7" t="s">
        <v>5345</v>
      </c>
      <c r="L189" s="8" t="s">
        <v>52</v>
      </c>
      <c r="M189" s="8" t="s">
        <v>1771</v>
      </c>
      <c r="N189" s="8" t="s">
        <v>185</v>
      </c>
      <c r="O189" s="32">
        <v>44000.0</v>
      </c>
      <c r="P189" s="42">
        <v>1375.0</v>
      </c>
      <c r="Q189" s="32">
        <v>47287.0</v>
      </c>
      <c r="R189" s="8" t="s">
        <v>174</v>
      </c>
      <c r="S189" s="8" t="s">
        <v>190</v>
      </c>
      <c r="T189" s="8" t="s">
        <v>115</v>
      </c>
      <c r="U189" s="8" t="s">
        <v>53</v>
      </c>
    </row>
    <row r="190">
      <c r="A190" s="8" t="s">
        <v>345</v>
      </c>
      <c r="B190" s="8" t="s">
        <v>348</v>
      </c>
      <c r="C190" s="8" t="s">
        <v>71</v>
      </c>
      <c r="D190" s="42">
        <v>5625.0</v>
      </c>
      <c r="E190" s="8" t="s">
        <v>186</v>
      </c>
      <c r="F190" s="8" t="s">
        <v>2312</v>
      </c>
      <c r="G190" s="8" t="s">
        <v>2313</v>
      </c>
      <c r="H190" s="8" t="s">
        <v>2314</v>
      </c>
      <c r="I190" s="8" t="s">
        <v>55</v>
      </c>
      <c r="J190" s="8" t="s">
        <v>56</v>
      </c>
      <c r="K190" s="7" t="s">
        <v>5346</v>
      </c>
      <c r="L190" s="8" t="s">
        <v>52</v>
      </c>
      <c r="M190" s="8" t="s">
        <v>1776</v>
      </c>
      <c r="N190" s="8" t="s">
        <v>185</v>
      </c>
      <c r="O190" s="32">
        <v>44012.0</v>
      </c>
      <c r="P190" s="42">
        <v>5625.0</v>
      </c>
      <c r="Q190" s="32">
        <v>46919.0</v>
      </c>
      <c r="R190" s="8" t="s">
        <v>262</v>
      </c>
      <c r="S190" s="8" t="s">
        <v>351</v>
      </c>
      <c r="T190" s="8" t="s">
        <v>115</v>
      </c>
      <c r="U190" s="8" t="s">
        <v>263</v>
      </c>
    </row>
    <row r="191">
      <c r="A191" s="8" t="s">
        <v>345</v>
      </c>
      <c r="B191" s="8" t="s">
        <v>348</v>
      </c>
      <c r="C191" s="8" t="s">
        <v>71</v>
      </c>
      <c r="D191" s="42">
        <v>5625.0</v>
      </c>
      <c r="E191" s="8" t="s">
        <v>186</v>
      </c>
      <c r="F191" s="8" t="s">
        <v>2316</v>
      </c>
      <c r="G191" s="8" t="s">
        <v>2317</v>
      </c>
      <c r="H191" s="8" t="s">
        <v>2318</v>
      </c>
      <c r="I191" s="8" t="s">
        <v>55</v>
      </c>
      <c r="J191" s="8" t="s">
        <v>56</v>
      </c>
      <c r="K191" s="7" t="s">
        <v>5346</v>
      </c>
      <c r="L191" s="8" t="s">
        <v>52</v>
      </c>
      <c r="M191" s="8" t="s">
        <v>1776</v>
      </c>
      <c r="N191" s="8" t="s">
        <v>185</v>
      </c>
      <c r="O191" s="32">
        <v>44012.0</v>
      </c>
      <c r="P191" s="42">
        <v>5625.0</v>
      </c>
      <c r="Q191" s="32">
        <v>46919.0</v>
      </c>
      <c r="R191" s="8" t="s">
        <v>271</v>
      </c>
      <c r="S191" s="8" t="s">
        <v>351</v>
      </c>
      <c r="T191" s="8" t="s">
        <v>115</v>
      </c>
      <c r="U191" s="8" t="s">
        <v>263</v>
      </c>
    </row>
    <row r="192">
      <c r="A192" s="8" t="s">
        <v>1262</v>
      </c>
      <c r="B192" s="8" t="s">
        <v>1265</v>
      </c>
      <c r="C192" s="8" t="s">
        <v>71</v>
      </c>
      <c r="D192" s="8" t="s">
        <v>54</v>
      </c>
      <c r="E192" s="8" t="s">
        <v>408</v>
      </c>
      <c r="F192" s="8" t="s">
        <v>2594</v>
      </c>
      <c r="G192" s="8" t="s">
        <v>2595</v>
      </c>
      <c r="H192" s="8" t="s">
        <v>2596</v>
      </c>
      <c r="I192" s="8" t="s">
        <v>55</v>
      </c>
      <c r="J192" s="8" t="s">
        <v>56</v>
      </c>
      <c r="K192" s="7" t="s">
        <v>5341</v>
      </c>
      <c r="L192" s="8" t="s">
        <v>118</v>
      </c>
      <c r="M192" s="8" t="s">
        <v>174</v>
      </c>
      <c r="N192" s="8" t="s">
        <v>408</v>
      </c>
      <c r="O192" s="32">
        <v>44015.0</v>
      </c>
      <c r="P192" s="7" t="s">
        <v>5318</v>
      </c>
      <c r="Q192" s="32">
        <v>46571.0</v>
      </c>
      <c r="R192" s="8" t="s">
        <v>174</v>
      </c>
      <c r="S192" s="8" t="s">
        <v>54</v>
      </c>
      <c r="T192" s="8" t="s">
        <v>49</v>
      </c>
      <c r="U192" s="8" t="s">
        <v>53</v>
      </c>
    </row>
    <row r="193">
      <c r="A193" s="8" t="s">
        <v>477</v>
      </c>
      <c r="B193" s="8" t="s">
        <v>480</v>
      </c>
      <c r="C193" s="8" t="s">
        <v>57</v>
      </c>
      <c r="D193" s="8" t="s">
        <v>54</v>
      </c>
      <c r="E193" s="8" t="s">
        <v>45</v>
      </c>
      <c r="F193" s="8" t="s">
        <v>1969</v>
      </c>
      <c r="G193" s="8" t="s">
        <v>1970</v>
      </c>
      <c r="H193" s="8" t="s">
        <v>1971</v>
      </c>
      <c r="I193" s="8" t="s">
        <v>55</v>
      </c>
      <c r="J193" s="8" t="s">
        <v>56</v>
      </c>
      <c r="K193" s="7">
        <v>1.14386E7</v>
      </c>
      <c r="L193" s="8" t="s">
        <v>459</v>
      </c>
      <c r="M193" s="8" t="s">
        <v>1771</v>
      </c>
      <c r="N193" s="8" t="s">
        <v>45</v>
      </c>
      <c r="O193" s="32">
        <v>44032.0</v>
      </c>
      <c r="P193" s="42">
        <v>895.0</v>
      </c>
      <c r="Q193" s="32">
        <v>54989.0</v>
      </c>
      <c r="R193" s="8" t="s">
        <v>226</v>
      </c>
      <c r="S193" s="8" t="s">
        <v>190</v>
      </c>
      <c r="T193" s="8" t="s">
        <v>115</v>
      </c>
      <c r="U193" s="8" t="s">
        <v>53</v>
      </c>
    </row>
    <row r="194">
      <c r="A194" s="8" t="s">
        <v>1076</v>
      </c>
      <c r="B194" s="8" t="s">
        <v>1079</v>
      </c>
      <c r="C194" s="8" t="s">
        <v>71</v>
      </c>
      <c r="D194" s="7" t="s">
        <v>5347</v>
      </c>
      <c r="E194" s="8" t="s">
        <v>185</v>
      </c>
      <c r="F194" s="8" t="s">
        <v>2575</v>
      </c>
      <c r="G194" s="8" t="s">
        <v>2576</v>
      </c>
      <c r="H194" s="8" t="s">
        <v>2577</v>
      </c>
      <c r="I194" s="8" t="s">
        <v>885</v>
      </c>
      <c r="J194" s="8" t="s">
        <v>56</v>
      </c>
      <c r="K194" s="7" t="s">
        <v>5348</v>
      </c>
      <c r="L194" s="8" t="s">
        <v>52</v>
      </c>
      <c r="M194" s="8" t="s">
        <v>1776</v>
      </c>
      <c r="N194" s="8" t="s">
        <v>185</v>
      </c>
      <c r="O194" s="32">
        <v>44043.0</v>
      </c>
      <c r="P194" s="7" t="s">
        <v>5347</v>
      </c>
      <c r="Q194" s="32">
        <v>46919.0</v>
      </c>
      <c r="R194" s="8" t="s">
        <v>174</v>
      </c>
      <c r="S194" s="8" t="s">
        <v>885</v>
      </c>
      <c r="T194" s="8" t="s">
        <v>115</v>
      </c>
      <c r="U194" s="8" t="s">
        <v>53</v>
      </c>
    </row>
    <row r="195">
      <c r="A195" s="8" t="s">
        <v>775</v>
      </c>
      <c r="B195" s="8" t="s">
        <v>778</v>
      </c>
      <c r="C195" s="8" t="s">
        <v>57</v>
      </c>
      <c r="D195" s="8" t="s">
        <v>54</v>
      </c>
      <c r="E195" s="8" t="s">
        <v>200</v>
      </c>
      <c r="F195" s="8" t="s">
        <v>1778</v>
      </c>
      <c r="G195" s="8" t="s">
        <v>1779</v>
      </c>
      <c r="H195" s="8" t="s">
        <v>1780</v>
      </c>
      <c r="I195" s="8" t="s">
        <v>55</v>
      </c>
      <c r="J195" s="8" t="s">
        <v>56</v>
      </c>
      <c r="K195" s="7" t="s">
        <v>5349</v>
      </c>
      <c r="L195" s="8" t="s">
        <v>52</v>
      </c>
      <c r="M195" s="8" t="s">
        <v>1776</v>
      </c>
      <c r="N195" s="8" t="s">
        <v>200</v>
      </c>
      <c r="O195" s="32">
        <v>44132.0</v>
      </c>
      <c r="P195" s="42">
        <v>625.0</v>
      </c>
      <c r="Q195" s="32">
        <v>48515.0</v>
      </c>
      <c r="R195" s="8" t="s">
        <v>226</v>
      </c>
      <c r="S195" s="8" t="s">
        <v>175</v>
      </c>
      <c r="T195" s="8" t="s">
        <v>115</v>
      </c>
      <c r="U195" s="8" t="s">
        <v>53</v>
      </c>
    </row>
    <row r="196">
      <c r="A196" s="8" t="s">
        <v>477</v>
      </c>
      <c r="B196" s="8" t="s">
        <v>480</v>
      </c>
      <c r="C196" s="8" t="s">
        <v>57</v>
      </c>
      <c r="D196" s="8" t="s">
        <v>54</v>
      </c>
      <c r="E196" s="8" t="s">
        <v>45</v>
      </c>
      <c r="F196" s="8" t="s">
        <v>1973</v>
      </c>
      <c r="G196" s="8" t="s">
        <v>1974</v>
      </c>
      <c r="H196" s="8" t="s">
        <v>1975</v>
      </c>
      <c r="I196" s="8" t="s">
        <v>55</v>
      </c>
      <c r="J196" s="8" t="s">
        <v>56</v>
      </c>
      <c r="K196" s="7">
        <v>7577635.0</v>
      </c>
      <c r="L196" s="8" t="s">
        <v>483</v>
      </c>
      <c r="M196" s="8" t="s">
        <v>174</v>
      </c>
      <c r="N196" s="8" t="s">
        <v>45</v>
      </c>
      <c r="O196" s="32">
        <v>44133.0</v>
      </c>
      <c r="P196" s="7" t="s">
        <v>5350</v>
      </c>
      <c r="Q196" s="32">
        <v>49611.0</v>
      </c>
      <c r="R196" s="8" t="s">
        <v>226</v>
      </c>
      <c r="S196" s="8" t="s">
        <v>484</v>
      </c>
      <c r="T196" s="8" t="s">
        <v>115</v>
      </c>
      <c r="U196" s="8" t="s">
        <v>53</v>
      </c>
    </row>
    <row r="197">
      <c r="A197" s="8" t="s">
        <v>1560</v>
      </c>
      <c r="B197" s="8" t="s">
        <v>1563</v>
      </c>
      <c r="C197" s="8" t="s">
        <v>71</v>
      </c>
      <c r="D197" s="42">
        <v>2235.0</v>
      </c>
      <c r="E197" s="8" t="s">
        <v>258</v>
      </c>
      <c r="F197" s="8" t="s">
        <v>2748</v>
      </c>
      <c r="G197" s="8" t="s">
        <v>2749</v>
      </c>
      <c r="H197" s="8" t="s">
        <v>2750</v>
      </c>
      <c r="I197" s="8" t="s">
        <v>55</v>
      </c>
      <c r="J197" s="8" t="s">
        <v>56</v>
      </c>
      <c r="K197" s="43">
        <v>5.0E8</v>
      </c>
      <c r="L197" s="8" t="s">
        <v>52</v>
      </c>
      <c r="M197" s="8" t="s">
        <v>1776</v>
      </c>
      <c r="N197" s="8" t="s">
        <v>367</v>
      </c>
      <c r="O197" s="32">
        <v>44158.0</v>
      </c>
      <c r="P197" s="7" t="s">
        <v>5351</v>
      </c>
      <c r="Q197" s="32">
        <v>47810.0</v>
      </c>
      <c r="R197" s="8" t="s">
        <v>262</v>
      </c>
      <c r="S197" s="8" t="s">
        <v>175</v>
      </c>
      <c r="T197" s="8" t="s">
        <v>115</v>
      </c>
      <c r="U197" s="8" t="s">
        <v>263</v>
      </c>
    </row>
    <row r="198">
      <c r="A198" s="8" t="s">
        <v>1560</v>
      </c>
      <c r="B198" s="8" t="s">
        <v>1563</v>
      </c>
      <c r="C198" s="8" t="s">
        <v>71</v>
      </c>
      <c r="D198" s="42">
        <v>2235.0</v>
      </c>
      <c r="E198" s="8" t="s">
        <v>258</v>
      </c>
      <c r="F198" s="8" t="s">
        <v>2752</v>
      </c>
      <c r="G198" s="8" t="s">
        <v>2753</v>
      </c>
      <c r="H198" s="8" t="s">
        <v>2754</v>
      </c>
      <c r="I198" s="8" t="s">
        <v>55</v>
      </c>
      <c r="J198" s="8" t="s">
        <v>56</v>
      </c>
      <c r="K198" s="43">
        <v>5.0E8</v>
      </c>
      <c r="L198" s="8" t="s">
        <v>52</v>
      </c>
      <c r="M198" s="8" t="s">
        <v>1776</v>
      </c>
      <c r="N198" s="8" t="s">
        <v>367</v>
      </c>
      <c r="O198" s="32">
        <v>44158.0</v>
      </c>
      <c r="P198" s="7" t="s">
        <v>5351</v>
      </c>
      <c r="Q198" s="32">
        <v>47810.0</v>
      </c>
      <c r="R198" s="8" t="s">
        <v>271</v>
      </c>
      <c r="S198" s="8" t="s">
        <v>175</v>
      </c>
      <c r="T198" s="8" t="s">
        <v>115</v>
      </c>
      <c r="U198" s="8" t="s">
        <v>263</v>
      </c>
    </row>
    <row r="199">
      <c r="A199" s="8" t="s">
        <v>980</v>
      </c>
      <c r="B199" s="8" t="s">
        <v>983</v>
      </c>
      <c r="C199" s="8" t="s">
        <v>57</v>
      </c>
      <c r="D199" s="8" t="s">
        <v>54</v>
      </c>
      <c r="E199" s="8" t="s">
        <v>200</v>
      </c>
      <c r="F199" s="8" t="s">
        <v>2619</v>
      </c>
      <c r="G199" s="8" t="s">
        <v>2620</v>
      </c>
      <c r="H199" s="8" t="s">
        <v>2621</v>
      </c>
      <c r="I199" s="8" t="s">
        <v>55</v>
      </c>
      <c r="J199" s="8" t="s">
        <v>56</v>
      </c>
      <c r="K199" s="7" t="s">
        <v>5352</v>
      </c>
      <c r="L199" s="8" t="s">
        <v>52</v>
      </c>
      <c r="M199" s="8" t="s">
        <v>1771</v>
      </c>
      <c r="N199" s="8" t="s">
        <v>200</v>
      </c>
      <c r="O199" s="32">
        <v>44168.0</v>
      </c>
      <c r="P199" s="7" t="s">
        <v>5279</v>
      </c>
      <c r="Q199" s="32">
        <v>47820.0</v>
      </c>
      <c r="R199" s="8" t="s">
        <v>226</v>
      </c>
      <c r="S199" s="8" t="s">
        <v>175</v>
      </c>
      <c r="T199" s="8" t="s">
        <v>115</v>
      </c>
      <c r="U199" s="8" t="s">
        <v>53</v>
      </c>
    </row>
    <row r="200">
      <c r="A200" s="8" t="s">
        <v>1158</v>
      </c>
      <c r="B200" s="8" t="s">
        <v>1161</v>
      </c>
      <c r="C200" s="8" t="s">
        <v>57</v>
      </c>
      <c r="D200" s="8" t="s">
        <v>54</v>
      </c>
      <c r="E200" s="8" t="s">
        <v>185</v>
      </c>
      <c r="F200" s="8" t="s">
        <v>1799</v>
      </c>
      <c r="G200" s="8" t="s">
        <v>1800</v>
      </c>
      <c r="H200" s="8" t="s">
        <v>1801</v>
      </c>
      <c r="I200" s="8" t="s">
        <v>117</v>
      </c>
      <c r="J200" s="8" t="s">
        <v>56</v>
      </c>
      <c r="K200" s="7" t="s">
        <v>5352</v>
      </c>
      <c r="L200" s="8" t="s">
        <v>52</v>
      </c>
      <c r="M200" s="8" t="s">
        <v>1771</v>
      </c>
      <c r="N200" s="8" t="s">
        <v>185</v>
      </c>
      <c r="O200" s="32">
        <v>44172.0</v>
      </c>
      <c r="P200" s="7" t="s">
        <v>5353</v>
      </c>
      <c r="Q200" s="32">
        <v>46728.0</v>
      </c>
      <c r="R200" s="8" t="s">
        <v>174</v>
      </c>
      <c r="S200" s="8" t="s">
        <v>54</v>
      </c>
      <c r="T200" s="8" t="s">
        <v>189</v>
      </c>
      <c r="U200" s="8" t="s">
        <v>53</v>
      </c>
    </row>
    <row r="201">
      <c r="A201" s="8" t="s">
        <v>1360</v>
      </c>
      <c r="B201" s="8" t="s">
        <v>1363</v>
      </c>
      <c r="C201" s="8" t="s">
        <v>57</v>
      </c>
      <c r="D201" s="8" t="s">
        <v>54</v>
      </c>
      <c r="E201" s="8" t="s">
        <v>200</v>
      </c>
      <c r="F201" s="8" t="s">
        <v>3234</v>
      </c>
      <c r="G201" s="8" t="s">
        <v>3235</v>
      </c>
      <c r="H201" s="8" t="s">
        <v>3236</v>
      </c>
      <c r="I201" s="8" t="s">
        <v>117</v>
      </c>
      <c r="J201" s="8" t="s">
        <v>56</v>
      </c>
      <c r="K201" s="7" t="s">
        <v>5354</v>
      </c>
      <c r="L201" s="8" t="s">
        <v>52</v>
      </c>
      <c r="M201" s="8" t="s">
        <v>1776</v>
      </c>
      <c r="N201" s="8" t="s">
        <v>200</v>
      </c>
      <c r="O201" s="32">
        <v>44172.0</v>
      </c>
      <c r="P201" s="7">
        <v>0.0</v>
      </c>
      <c r="Q201" s="32">
        <v>47094.0</v>
      </c>
      <c r="R201" s="8" t="s">
        <v>226</v>
      </c>
      <c r="S201" s="8" t="s">
        <v>175</v>
      </c>
      <c r="T201" s="8" t="s">
        <v>115</v>
      </c>
      <c r="U201" s="8" t="s">
        <v>53</v>
      </c>
    </row>
    <row r="202">
      <c r="A202" s="8" t="s">
        <v>1551</v>
      </c>
      <c r="B202" s="8" t="s">
        <v>1554</v>
      </c>
      <c r="C202" s="8" t="s">
        <v>57</v>
      </c>
      <c r="D202" s="8" t="s">
        <v>54</v>
      </c>
      <c r="E202" s="8" t="s">
        <v>1555</v>
      </c>
      <c r="F202" s="8" t="s">
        <v>2247</v>
      </c>
      <c r="G202" s="8" t="s">
        <v>2248</v>
      </c>
      <c r="H202" s="8" t="s">
        <v>2249</v>
      </c>
      <c r="I202" s="8" t="s">
        <v>55</v>
      </c>
      <c r="J202" s="8" t="s">
        <v>56</v>
      </c>
      <c r="K202" s="7">
        <v>6.0362E7</v>
      </c>
      <c r="L202" s="8" t="s">
        <v>52</v>
      </c>
      <c r="M202" s="8" t="s">
        <v>1776</v>
      </c>
      <c r="N202" s="8" t="s">
        <v>1555</v>
      </c>
      <c r="O202" s="32">
        <v>44174.0</v>
      </c>
      <c r="P202" s="7">
        <v>4.0</v>
      </c>
      <c r="Q202" s="32">
        <v>46000.0</v>
      </c>
      <c r="R202" s="8" t="s">
        <v>174</v>
      </c>
      <c r="S202" s="8" t="s">
        <v>54</v>
      </c>
      <c r="T202" s="8" t="s">
        <v>115</v>
      </c>
      <c r="U202" s="8" t="s">
        <v>53</v>
      </c>
    </row>
    <row r="203">
      <c r="A203" s="8" t="s">
        <v>1414</v>
      </c>
      <c r="B203" s="8" t="s">
        <v>1417</v>
      </c>
      <c r="C203" s="8" t="s">
        <v>57</v>
      </c>
      <c r="D203" s="45">
        <v>5.481</v>
      </c>
      <c r="E203" s="8" t="s">
        <v>200</v>
      </c>
      <c r="F203" s="8" t="s">
        <v>3466</v>
      </c>
      <c r="G203" s="8" t="s">
        <v>3467</v>
      </c>
      <c r="H203" s="8" t="s">
        <v>3468</v>
      </c>
      <c r="I203" s="8" t="s">
        <v>55</v>
      </c>
      <c r="J203" s="8" t="s">
        <v>56</v>
      </c>
      <c r="K203" s="7" t="s">
        <v>5355</v>
      </c>
      <c r="L203" s="8" t="s">
        <v>52</v>
      </c>
      <c r="M203" s="8" t="s">
        <v>1776</v>
      </c>
      <c r="N203" s="8" t="s">
        <v>200</v>
      </c>
      <c r="O203" s="32">
        <v>44180.0</v>
      </c>
      <c r="P203" s="42">
        <v>5875.0</v>
      </c>
      <c r="Q203" s="32">
        <v>46006.0</v>
      </c>
      <c r="R203" s="8" t="s">
        <v>174</v>
      </c>
      <c r="S203" s="8" t="s">
        <v>297</v>
      </c>
      <c r="T203" s="8" t="s">
        <v>115</v>
      </c>
      <c r="U203" s="8" t="s">
        <v>53</v>
      </c>
    </row>
    <row r="204">
      <c r="A204" s="8" t="s">
        <v>529</v>
      </c>
      <c r="B204" s="8" t="s">
        <v>532</v>
      </c>
      <c r="C204" s="8" t="s">
        <v>57</v>
      </c>
      <c r="D204" s="8" t="s">
        <v>54</v>
      </c>
      <c r="E204" s="8" t="s">
        <v>258</v>
      </c>
      <c r="F204" s="8" t="s">
        <v>3419</v>
      </c>
      <c r="G204" s="8" t="s">
        <v>3420</v>
      </c>
      <c r="H204" s="8" t="s">
        <v>3421</v>
      </c>
      <c r="I204" s="8" t="s">
        <v>55</v>
      </c>
      <c r="J204" s="8" t="s">
        <v>56</v>
      </c>
      <c r="K204" s="7">
        <v>2.697266E7</v>
      </c>
      <c r="L204" s="8" t="s">
        <v>52</v>
      </c>
      <c r="M204" s="8" t="s">
        <v>1771</v>
      </c>
      <c r="N204" s="8" t="s">
        <v>258</v>
      </c>
      <c r="O204" s="32">
        <v>44182.0</v>
      </c>
      <c r="P204" s="7">
        <v>3.0</v>
      </c>
      <c r="Q204" s="32">
        <v>46008.0</v>
      </c>
      <c r="R204" s="8" t="s">
        <v>174</v>
      </c>
      <c r="S204" s="8" t="s">
        <v>54</v>
      </c>
      <c r="T204" s="8" t="s">
        <v>49</v>
      </c>
      <c r="U204" s="8" t="s">
        <v>53</v>
      </c>
    </row>
    <row r="205">
      <c r="A205" s="8" t="s">
        <v>477</v>
      </c>
      <c r="B205" s="8" t="s">
        <v>480</v>
      </c>
      <c r="C205" s="8" t="s">
        <v>392</v>
      </c>
      <c r="D205" s="8" t="s">
        <v>54</v>
      </c>
      <c r="E205" s="8" t="s">
        <v>45</v>
      </c>
      <c r="F205" s="8" t="s">
        <v>1977</v>
      </c>
      <c r="G205" s="8" t="s">
        <v>1978</v>
      </c>
      <c r="H205" s="8" t="s">
        <v>1979</v>
      </c>
      <c r="I205" s="8" t="s">
        <v>55</v>
      </c>
      <c r="J205" s="8" t="s">
        <v>70</v>
      </c>
      <c r="K205" s="43">
        <v>7.0E8</v>
      </c>
      <c r="L205" s="8" t="s">
        <v>459</v>
      </c>
      <c r="M205" s="8" t="s">
        <v>1771</v>
      </c>
      <c r="N205" s="8" t="s">
        <v>45</v>
      </c>
      <c r="O205" s="32">
        <v>44214.0</v>
      </c>
      <c r="P205" s="42">
        <v>-409.0</v>
      </c>
      <c r="Q205" s="32">
        <v>46038.0</v>
      </c>
      <c r="R205" s="8" t="s">
        <v>226</v>
      </c>
      <c r="S205" s="8" t="s">
        <v>190</v>
      </c>
      <c r="T205" s="8" t="s">
        <v>49</v>
      </c>
      <c r="U205" s="8" t="s">
        <v>53</v>
      </c>
    </row>
    <row r="206">
      <c r="A206" s="8" t="s">
        <v>166</v>
      </c>
      <c r="B206" s="8" t="s">
        <v>169</v>
      </c>
      <c r="C206" s="8" t="s">
        <v>57</v>
      </c>
      <c r="D206" s="8" t="s">
        <v>54</v>
      </c>
      <c r="E206" s="8" t="s">
        <v>171</v>
      </c>
      <c r="F206" s="8" t="s">
        <v>2643</v>
      </c>
      <c r="G206" s="8" t="s">
        <v>2644</v>
      </c>
      <c r="H206" s="8" t="s">
        <v>2645</v>
      </c>
      <c r="I206" s="8" t="s">
        <v>55</v>
      </c>
      <c r="J206" s="8" t="s">
        <v>56</v>
      </c>
      <c r="K206" s="7" t="s">
        <v>5356</v>
      </c>
      <c r="L206" s="8" t="s">
        <v>52</v>
      </c>
      <c r="M206" s="8" t="s">
        <v>1771</v>
      </c>
      <c r="N206" s="8" t="s">
        <v>170</v>
      </c>
      <c r="O206" s="32">
        <v>44215.0</v>
      </c>
      <c r="P206" s="42">
        <v>125.0</v>
      </c>
      <c r="Q206" s="32">
        <v>46587.0</v>
      </c>
      <c r="R206" s="8" t="s">
        <v>226</v>
      </c>
      <c r="S206" s="8" t="s">
        <v>175</v>
      </c>
      <c r="T206" s="8" t="s">
        <v>115</v>
      </c>
      <c r="U206" s="8" t="s">
        <v>53</v>
      </c>
    </row>
    <row r="207">
      <c r="A207" s="8" t="s">
        <v>166</v>
      </c>
      <c r="B207" s="8" t="s">
        <v>169</v>
      </c>
      <c r="C207" s="8" t="s">
        <v>57</v>
      </c>
      <c r="D207" s="8" t="s">
        <v>54</v>
      </c>
      <c r="E207" s="8" t="s">
        <v>171</v>
      </c>
      <c r="F207" s="8" t="s">
        <v>2647</v>
      </c>
      <c r="G207" s="8" t="s">
        <v>2648</v>
      </c>
      <c r="H207" s="8" t="s">
        <v>2649</v>
      </c>
      <c r="I207" s="8" t="s">
        <v>55</v>
      </c>
      <c r="J207" s="8" t="s">
        <v>56</v>
      </c>
      <c r="K207" s="7" t="s">
        <v>5357</v>
      </c>
      <c r="L207" s="8" t="s">
        <v>52</v>
      </c>
      <c r="M207" s="8" t="s">
        <v>1771</v>
      </c>
      <c r="N207" s="8" t="s">
        <v>170</v>
      </c>
      <c r="O207" s="32">
        <v>44215.0</v>
      </c>
      <c r="P207" s="42">
        <v>625.0</v>
      </c>
      <c r="Q207" s="32">
        <v>48598.0</v>
      </c>
      <c r="R207" s="8" t="s">
        <v>226</v>
      </c>
      <c r="S207" s="8" t="s">
        <v>175</v>
      </c>
      <c r="T207" s="8" t="s">
        <v>115</v>
      </c>
      <c r="U207" s="8" t="s">
        <v>53</v>
      </c>
    </row>
    <row r="208">
      <c r="A208" s="8" t="s">
        <v>477</v>
      </c>
      <c r="B208" s="8" t="s">
        <v>480</v>
      </c>
      <c r="C208" s="8" t="s">
        <v>57</v>
      </c>
      <c r="D208" s="8" t="s">
        <v>54</v>
      </c>
      <c r="E208" s="8" t="s">
        <v>45</v>
      </c>
      <c r="F208" s="8" t="s">
        <v>1981</v>
      </c>
      <c r="G208" s="8" t="s">
        <v>1982</v>
      </c>
      <c r="H208" s="8" t="s">
        <v>1983</v>
      </c>
      <c r="I208" s="8" t="s">
        <v>55</v>
      </c>
      <c r="J208" s="8" t="s">
        <v>56</v>
      </c>
      <c r="K208" s="7">
        <v>3.63204E7</v>
      </c>
      <c r="L208" s="8" t="s">
        <v>483</v>
      </c>
      <c r="M208" s="8" t="s">
        <v>1771</v>
      </c>
      <c r="N208" s="8" t="s">
        <v>45</v>
      </c>
      <c r="O208" s="32">
        <v>44216.0</v>
      </c>
      <c r="P208" s="7" t="s">
        <v>5358</v>
      </c>
      <c r="Q208" s="32">
        <v>47868.0</v>
      </c>
      <c r="R208" s="8" t="s">
        <v>226</v>
      </c>
      <c r="S208" s="8" t="s">
        <v>484</v>
      </c>
      <c r="T208" s="8" t="s">
        <v>49</v>
      </c>
      <c r="U208" s="8" t="s">
        <v>53</v>
      </c>
    </row>
    <row r="209">
      <c r="A209" s="8" t="s">
        <v>477</v>
      </c>
      <c r="B209" s="8" t="s">
        <v>480</v>
      </c>
      <c r="C209" s="8" t="s">
        <v>57</v>
      </c>
      <c r="D209" s="8" t="s">
        <v>54</v>
      </c>
      <c r="E209" s="8" t="s">
        <v>45</v>
      </c>
      <c r="F209" s="8" t="s">
        <v>1985</v>
      </c>
      <c r="G209" s="8" t="s">
        <v>1986</v>
      </c>
      <c r="H209" s="8" t="s">
        <v>1987</v>
      </c>
      <c r="I209" s="8" t="s">
        <v>55</v>
      </c>
      <c r="J209" s="8" t="s">
        <v>56</v>
      </c>
      <c r="K209" s="7">
        <v>3.64461E7</v>
      </c>
      <c r="L209" s="8" t="s">
        <v>483</v>
      </c>
      <c r="M209" s="8" t="s">
        <v>1771</v>
      </c>
      <c r="N209" s="8" t="s">
        <v>45</v>
      </c>
      <c r="O209" s="32">
        <v>44217.0</v>
      </c>
      <c r="P209" s="7" t="s">
        <v>5359</v>
      </c>
      <c r="Q209" s="32">
        <v>47504.0</v>
      </c>
      <c r="R209" s="8" t="s">
        <v>226</v>
      </c>
      <c r="S209" s="8" t="s">
        <v>484</v>
      </c>
      <c r="T209" s="8" t="s">
        <v>49</v>
      </c>
      <c r="U209" s="8" t="s">
        <v>53</v>
      </c>
    </row>
    <row r="210">
      <c r="A210" s="8" t="s">
        <v>477</v>
      </c>
      <c r="B210" s="8" t="s">
        <v>480</v>
      </c>
      <c r="C210" s="8" t="s">
        <v>57</v>
      </c>
      <c r="D210" s="8" t="s">
        <v>54</v>
      </c>
      <c r="E210" s="8" t="s">
        <v>45</v>
      </c>
      <c r="F210" s="8" t="s">
        <v>1989</v>
      </c>
      <c r="G210" s="8" t="s">
        <v>1990</v>
      </c>
      <c r="H210" s="8" t="s">
        <v>1991</v>
      </c>
      <c r="I210" s="8" t="s">
        <v>55</v>
      </c>
      <c r="J210" s="8" t="s">
        <v>56</v>
      </c>
      <c r="K210" s="7" t="s">
        <v>5356</v>
      </c>
      <c r="L210" s="8" t="s">
        <v>459</v>
      </c>
      <c r="M210" s="8" t="s">
        <v>1771</v>
      </c>
      <c r="N210" s="8" t="s">
        <v>45</v>
      </c>
      <c r="O210" s="32">
        <v>44223.0</v>
      </c>
      <c r="P210" s="7" t="s">
        <v>5323</v>
      </c>
      <c r="Q210" s="32">
        <v>47875.0</v>
      </c>
      <c r="R210" s="8" t="s">
        <v>226</v>
      </c>
      <c r="S210" s="8" t="s">
        <v>190</v>
      </c>
      <c r="T210" s="8" t="s">
        <v>49</v>
      </c>
      <c r="U210" s="8" t="s">
        <v>53</v>
      </c>
    </row>
    <row r="211">
      <c r="A211" s="8" t="s">
        <v>1336</v>
      </c>
      <c r="B211" s="8" t="s">
        <v>1339</v>
      </c>
      <c r="C211" s="8" t="s">
        <v>57</v>
      </c>
      <c r="D211" s="8" t="s">
        <v>54</v>
      </c>
      <c r="E211" s="8" t="s">
        <v>1340</v>
      </c>
      <c r="F211" s="8" t="s">
        <v>2336</v>
      </c>
      <c r="G211" s="8" t="s">
        <v>2337</v>
      </c>
      <c r="H211" s="8" t="s">
        <v>2338</v>
      </c>
      <c r="I211" s="8" t="s">
        <v>55</v>
      </c>
      <c r="J211" s="8" t="s">
        <v>56</v>
      </c>
      <c r="K211" s="7" t="s">
        <v>5360</v>
      </c>
      <c r="L211" s="8" t="s">
        <v>52</v>
      </c>
      <c r="M211" s="8" t="s">
        <v>1771</v>
      </c>
      <c r="N211" s="8" t="s">
        <v>170</v>
      </c>
      <c r="O211" s="32">
        <v>44223.0</v>
      </c>
      <c r="P211" s="7" t="s">
        <v>5214</v>
      </c>
      <c r="Q211" s="32">
        <v>47875.0</v>
      </c>
      <c r="R211" s="8" t="s">
        <v>226</v>
      </c>
      <c r="S211" s="8" t="s">
        <v>175</v>
      </c>
      <c r="T211" s="8" t="s">
        <v>115</v>
      </c>
      <c r="U211" s="8" t="s">
        <v>53</v>
      </c>
    </row>
    <row r="212">
      <c r="A212" s="8" t="s">
        <v>477</v>
      </c>
      <c r="B212" s="8" t="s">
        <v>480</v>
      </c>
      <c r="C212" s="8" t="s">
        <v>57</v>
      </c>
      <c r="D212" s="8" t="s">
        <v>54</v>
      </c>
      <c r="E212" s="8" t="s">
        <v>45</v>
      </c>
      <c r="F212" s="8" t="s">
        <v>1993</v>
      </c>
      <c r="G212" s="8" t="s">
        <v>1994</v>
      </c>
      <c r="H212" s="8" t="s">
        <v>1995</v>
      </c>
      <c r="I212" s="8" t="s">
        <v>55</v>
      </c>
      <c r="J212" s="8" t="s">
        <v>56</v>
      </c>
      <c r="K212" s="7">
        <v>7.881315E7</v>
      </c>
      <c r="L212" s="8" t="s">
        <v>483</v>
      </c>
      <c r="M212" s="8" t="s">
        <v>1771</v>
      </c>
      <c r="N212" s="8" t="s">
        <v>45</v>
      </c>
      <c r="O212" s="32">
        <v>44224.0</v>
      </c>
      <c r="P212" s="7" t="s">
        <v>5323</v>
      </c>
      <c r="Q212" s="32">
        <v>45317.0</v>
      </c>
      <c r="R212" s="8" t="s">
        <v>226</v>
      </c>
      <c r="S212" s="8" t="s">
        <v>484</v>
      </c>
      <c r="T212" s="8" t="s">
        <v>49</v>
      </c>
      <c r="U212" s="8" t="s">
        <v>53</v>
      </c>
    </row>
    <row r="213">
      <c r="A213" s="8" t="s">
        <v>477</v>
      </c>
      <c r="B213" s="8" t="s">
        <v>480</v>
      </c>
      <c r="C213" s="8" t="s">
        <v>57</v>
      </c>
      <c r="D213" s="8" t="s">
        <v>54</v>
      </c>
      <c r="E213" s="8" t="s">
        <v>45</v>
      </c>
      <c r="F213" s="8" t="s">
        <v>1997</v>
      </c>
      <c r="G213" s="8" t="s">
        <v>1998</v>
      </c>
      <c r="H213" s="8" t="s">
        <v>1999</v>
      </c>
      <c r="I213" s="8" t="s">
        <v>55</v>
      </c>
      <c r="J213" s="8" t="s">
        <v>56</v>
      </c>
      <c r="K213" s="7">
        <v>6.06915E7</v>
      </c>
      <c r="L213" s="8" t="s">
        <v>483</v>
      </c>
      <c r="M213" s="8" t="s">
        <v>174</v>
      </c>
      <c r="N213" s="8" t="s">
        <v>45</v>
      </c>
      <c r="O213" s="32">
        <v>44237.0</v>
      </c>
      <c r="P213" s="7" t="s">
        <v>5323</v>
      </c>
      <c r="Q213" s="32">
        <v>45334.0</v>
      </c>
      <c r="R213" s="8" t="s">
        <v>226</v>
      </c>
      <c r="S213" s="8" t="s">
        <v>484</v>
      </c>
      <c r="T213" s="8" t="s">
        <v>49</v>
      </c>
      <c r="U213" s="8" t="s">
        <v>53</v>
      </c>
    </row>
    <row r="214">
      <c r="A214" s="8" t="s">
        <v>1360</v>
      </c>
      <c r="B214" s="8" t="s">
        <v>1363</v>
      </c>
      <c r="C214" s="8" t="s">
        <v>57</v>
      </c>
      <c r="D214" s="8" t="s">
        <v>54</v>
      </c>
      <c r="E214" s="8" t="s">
        <v>200</v>
      </c>
      <c r="F214" s="8" t="s">
        <v>3238</v>
      </c>
      <c r="G214" s="8" t="s">
        <v>3239</v>
      </c>
      <c r="H214" s="8" t="s">
        <v>3240</v>
      </c>
      <c r="I214" s="8" t="s">
        <v>117</v>
      </c>
      <c r="J214" s="8" t="s">
        <v>56</v>
      </c>
      <c r="K214" s="7" t="s">
        <v>5352</v>
      </c>
      <c r="L214" s="8" t="s">
        <v>52</v>
      </c>
      <c r="M214" s="8" t="s">
        <v>1840</v>
      </c>
      <c r="N214" s="8" t="s">
        <v>200</v>
      </c>
      <c r="O214" s="32">
        <v>44242.0</v>
      </c>
      <c r="P214" s="7">
        <v>0.0</v>
      </c>
      <c r="Q214" s="32">
        <v>45884.0</v>
      </c>
      <c r="R214" s="8" t="s">
        <v>226</v>
      </c>
      <c r="S214" s="8" t="s">
        <v>175</v>
      </c>
      <c r="T214" s="8" t="s">
        <v>115</v>
      </c>
      <c r="U214" s="8" t="s">
        <v>53</v>
      </c>
    </row>
    <row r="215">
      <c r="A215" s="8" t="s">
        <v>1336</v>
      </c>
      <c r="B215" s="8" t="s">
        <v>1339</v>
      </c>
      <c r="C215" s="8" t="s">
        <v>71</v>
      </c>
      <c r="D215" s="7" t="s">
        <v>5361</v>
      </c>
      <c r="E215" s="8" t="s">
        <v>1340</v>
      </c>
      <c r="F215" s="8" t="s">
        <v>2340</v>
      </c>
      <c r="G215" s="8" t="s">
        <v>2341</v>
      </c>
      <c r="H215" s="8" t="s">
        <v>2342</v>
      </c>
      <c r="I215" s="8" t="s">
        <v>55</v>
      </c>
      <c r="J215" s="8" t="s">
        <v>56</v>
      </c>
      <c r="K215" s="7">
        <v>2.821578E7</v>
      </c>
      <c r="L215" s="8" t="s">
        <v>52</v>
      </c>
      <c r="M215" s="8" t="s">
        <v>1771</v>
      </c>
      <c r="N215" s="8" t="s">
        <v>170</v>
      </c>
      <c r="O215" s="32">
        <v>44252.0</v>
      </c>
      <c r="P215" s="7" t="s">
        <v>5361</v>
      </c>
      <c r="Q215" s="32">
        <v>45713.0</v>
      </c>
      <c r="R215" s="8" t="s">
        <v>226</v>
      </c>
      <c r="S215" s="8" t="s">
        <v>54</v>
      </c>
      <c r="T215" s="8" t="s">
        <v>49</v>
      </c>
      <c r="U215" s="8" t="s">
        <v>976</v>
      </c>
    </row>
    <row r="216">
      <c r="A216" s="8" t="s">
        <v>477</v>
      </c>
      <c r="B216" s="8" t="s">
        <v>480</v>
      </c>
      <c r="C216" s="8" t="s">
        <v>57</v>
      </c>
      <c r="D216" s="8" t="s">
        <v>54</v>
      </c>
      <c r="E216" s="8" t="s">
        <v>45</v>
      </c>
      <c r="F216" s="8" t="s">
        <v>2001</v>
      </c>
      <c r="G216" s="8" t="s">
        <v>2002</v>
      </c>
      <c r="H216" s="8" t="s">
        <v>2003</v>
      </c>
      <c r="I216" s="8" t="s">
        <v>55</v>
      </c>
      <c r="J216" s="8" t="s">
        <v>56</v>
      </c>
      <c r="K216" s="7" t="s">
        <v>5362</v>
      </c>
      <c r="L216" s="8" t="s">
        <v>459</v>
      </c>
      <c r="M216" s="8" t="s">
        <v>1771</v>
      </c>
      <c r="N216" s="8" t="s">
        <v>45</v>
      </c>
      <c r="O216" s="32">
        <v>44252.0</v>
      </c>
      <c r="P216" s="7" t="s">
        <v>5323</v>
      </c>
      <c r="Q216" s="32">
        <v>48180.0</v>
      </c>
      <c r="R216" s="8" t="s">
        <v>226</v>
      </c>
      <c r="S216" s="8" t="s">
        <v>190</v>
      </c>
      <c r="T216" s="8" t="s">
        <v>49</v>
      </c>
      <c r="U216" s="8" t="s">
        <v>53</v>
      </c>
    </row>
    <row r="217">
      <c r="A217" s="8" t="s">
        <v>477</v>
      </c>
      <c r="B217" s="8" t="s">
        <v>480</v>
      </c>
      <c r="C217" s="8" t="s">
        <v>57</v>
      </c>
      <c r="D217" s="7" t="s">
        <v>5363</v>
      </c>
      <c r="E217" s="8" t="s">
        <v>45</v>
      </c>
      <c r="F217" s="8" t="s">
        <v>2005</v>
      </c>
      <c r="G217" s="8" t="s">
        <v>2006</v>
      </c>
      <c r="H217" s="8" t="s">
        <v>2007</v>
      </c>
      <c r="I217" s="8" t="s">
        <v>55</v>
      </c>
      <c r="J217" s="8" t="s">
        <v>56</v>
      </c>
      <c r="K217" s="7">
        <v>1.20703E7</v>
      </c>
      <c r="L217" s="8" t="s">
        <v>483</v>
      </c>
      <c r="M217" s="8" t="s">
        <v>174</v>
      </c>
      <c r="N217" s="8" t="s">
        <v>45</v>
      </c>
      <c r="O217" s="32">
        <v>44258.0</v>
      </c>
      <c r="P217" s="7" t="s">
        <v>5323</v>
      </c>
      <c r="Q217" s="32">
        <v>45379.0</v>
      </c>
      <c r="R217" s="8" t="s">
        <v>226</v>
      </c>
      <c r="S217" s="8" t="s">
        <v>484</v>
      </c>
      <c r="T217" s="8" t="s">
        <v>49</v>
      </c>
      <c r="U217" s="8" t="s">
        <v>53</v>
      </c>
    </row>
    <row r="218">
      <c r="A218" s="8" t="s">
        <v>477</v>
      </c>
      <c r="B218" s="8" t="s">
        <v>480</v>
      </c>
      <c r="C218" s="8" t="s">
        <v>57</v>
      </c>
      <c r="D218" s="42">
        <v>158.0</v>
      </c>
      <c r="E218" s="8" t="s">
        <v>45</v>
      </c>
      <c r="F218" s="8" t="s">
        <v>2009</v>
      </c>
      <c r="G218" s="8" t="s">
        <v>2010</v>
      </c>
      <c r="H218" s="8" t="s">
        <v>2011</v>
      </c>
      <c r="I218" s="8" t="s">
        <v>55</v>
      </c>
      <c r="J218" s="8" t="s">
        <v>56</v>
      </c>
      <c r="K218" s="7">
        <v>8.9955E7</v>
      </c>
      <c r="L218" s="8" t="s">
        <v>2012</v>
      </c>
      <c r="M218" s="8" t="s">
        <v>2013</v>
      </c>
      <c r="N218" s="8" t="s">
        <v>45</v>
      </c>
      <c r="O218" s="32">
        <v>44259.0</v>
      </c>
      <c r="P218" s="7" t="s">
        <v>5248</v>
      </c>
      <c r="Q218" s="32">
        <v>47546.0</v>
      </c>
      <c r="R218" s="8" t="s">
        <v>226</v>
      </c>
      <c r="S218" s="8" t="s">
        <v>484</v>
      </c>
      <c r="T218" s="8" t="s">
        <v>49</v>
      </c>
      <c r="U218" s="8" t="s">
        <v>53</v>
      </c>
    </row>
    <row r="219">
      <c r="A219" s="8" t="s">
        <v>477</v>
      </c>
      <c r="B219" s="8" t="s">
        <v>480</v>
      </c>
      <c r="C219" s="8" t="s">
        <v>57</v>
      </c>
      <c r="D219" s="8" t="s">
        <v>54</v>
      </c>
      <c r="E219" s="8" t="s">
        <v>45</v>
      </c>
      <c r="F219" s="8" t="s">
        <v>2015</v>
      </c>
      <c r="G219" s="8" t="s">
        <v>2016</v>
      </c>
      <c r="H219" s="8" t="s">
        <v>2017</v>
      </c>
      <c r="I219" s="8" t="s">
        <v>55</v>
      </c>
      <c r="J219" s="8" t="s">
        <v>56</v>
      </c>
      <c r="K219" s="7">
        <v>1.1948E7</v>
      </c>
      <c r="L219" s="8" t="s">
        <v>483</v>
      </c>
      <c r="M219" s="8" t="s">
        <v>1771</v>
      </c>
      <c r="N219" s="8" t="s">
        <v>45</v>
      </c>
      <c r="O219" s="32">
        <v>44267.0</v>
      </c>
      <c r="P219" s="7" t="s">
        <v>5323</v>
      </c>
      <c r="Q219" s="32">
        <v>47189.0</v>
      </c>
      <c r="R219" s="8" t="s">
        <v>226</v>
      </c>
      <c r="S219" s="8" t="s">
        <v>484</v>
      </c>
      <c r="T219" s="8" t="s">
        <v>49</v>
      </c>
      <c r="U219" s="8" t="s">
        <v>53</v>
      </c>
    </row>
    <row r="220">
      <c r="A220" s="8" t="s">
        <v>477</v>
      </c>
      <c r="B220" s="8" t="s">
        <v>480</v>
      </c>
      <c r="C220" s="8" t="s">
        <v>57</v>
      </c>
      <c r="D220" s="8" t="s">
        <v>54</v>
      </c>
      <c r="E220" s="8" t="s">
        <v>45</v>
      </c>
      <c r="F220" s="8" t="s">
        <v>2019</v>
      </c>
      <c r="G220" s="8" t="s">
        <v>2020</v>
      </c>
      <c r="H220" s="8" t="s">
        <v>2021</v>
      </c>
      <c r="I220" s="8" t="s">
        <v>55</v>
      </c>
      <c r="J220" s="8" t="s">
        <v>56</v>
      </c>
      <c r="K220" s="7">
        <v>1.19293E7</v>
      </c>
      <c r="L220" s="8" t="s">
        <v>483</v>
      </c>
      <c r="M220" s="8" t="s">
        <v>1771</v>
      </c>
      <c r="N220" s="8" t="s">
        <v>45</v>
      </c>
      <c r="O220" s="32">
        <v>44273.0</v>
      </c>
      <c r="P220" s="42">
        <v>118.0</v>
      </c>
      <c r="Q220" s="32">
        <v>47560.0</v>
      </c>
      <c r="R220" s="8" t="s">
        <v>226</v>
      </c>
      <c r="S220" s="8" t="s">
        <v>484</v>
      </c>
      <c r="T220" s="8" t="s">
        <v>49</v>
      </c>
      <c r="U220" s="8" t="s">
        <v>53</v>
      </c>
    </row>
    <row r="221">
      <c r="A221" s="8" t="s">
        <v>1432</v>
      </c>
      <c r="B221" s="8" t="s">
        <v>1435</v>
      </c>
      <c r="C221" s="8" t="s">
        <v>392</v>
      </c>
      <c r="D221" s="8" t="s">
        <v>54</v>
      </c>
      <c r="E221" s="8" t="s">
        <v>368</v>
      </c>
      <c r="F221" s="8" t="s">
        <v>1874</v>
      </c>
      <c r="G221" s="8" t="s">
        <v>1875</v>
      </c>
      <c r="H221" s="8" t="s">
        <v>1876</v>
      </c>
      <c r="I221" s="8" t="s">
        <v>55</v>
      </c>
      <c r="J221" s="8" t="s">
        <v>70</v>
      </c>
      <c r="K221" s="7">
        <v>2.30074E7</v>
      </c>
      <c r="L221" s="8" t="s">
        <v>52</v>
      </c>
      <c r="M221" s="8" t="s">
        <v>1771</v>
      </c>
      <c r="N221" s="8" t="s">
        <v>368</v>
      </c>
      <c r="O221" s="32">
        <v>44284.0</v>
      </c>
      <c r="P221" s="42">
        <v>646.0</v>
      </c>
      <c r="Q221" s="32">
        <v>45014.0</v>
      </c>
      <c r="R221" s="8" t="s">
        <v>686</v>
      </c>
      <c r="S221" s="8" t="s">
        <v>54</v>
      </c>
      <c r="T221" s="8" t="s">
        <v>49</v>
      </c>
      <c r="U221" s="8" t="s">
        <v>687</v>
      </c>
    </row>
    <row r="222">
      <c r="A222" s="8" t="s">
        <v>690</v>
      </c>
      <c r="B222" s="8" t="s">
        <v>693</v>
      </c>
      <c r="C222" s="8" t="s">
        <v>57</v>
      </c>
      <c r="D222" s="8" t="s">
        <v>54</v>
      </c>
      <c r="E222" s="8" t="s">
        <v>258</v>
      </c>
      <c r="F222" s="8" t="s">
        <v>2292</v>
      </c>
      <c r="G222" s="8" t="s">
        <v>174</v>
      </c>
      <c r="H222" s="8" t="s">
        <v>2293</v>
      </c>
      <c r="I222" s="8" t="s">
        <v>55</v>
      </c>
      <c r="J222" s="8" t="s">
        <v>56</v>
      </c>
      <c r="K222" s="7" t="s">
        <v>5364</v>
      </c>
      <c r="L222" s="8" t="s">
        <v>52</v>
      </c>
      <c r="M222" s="8" t="s">
        <v>174</v>
      </c>
      <c r="N222" s="8" t="s">
        <v>258</v>
      </c>
      <c r="O222" s="32">
        <v>44286.0</v>
      </c>
      <c r="P222" s="7">
        <v>0.0</v>
      </c>
      <c r="Q222" s="32">
        <v>45016.0</v>
      </c>
      <c r="R222" s="8" t="s">
        <v>2294</v>
      </c>
      <c r="S222" s="8" t="s">
        <v>54</v>
      </c>
      <c r="T222" s="8" t="s">
        <v>49</v>
      </c>
      <c r="U222" s="8" t="s">
        <v>53</v>
      </c>
    </row>
    <row r="223">
      <c r="A223" s="8" t="s">
        <v>166</v>
      </c>
      <c r="B223" s="8" t="s">
        <v>169</v>
      </c>
      <c r="C223" s="8" t="s">
        <v>57</v>
      </c>
      <c r="D223" s="8" t="s">
        <v>54</v>
      </c>
      <c r="E223" s="8" t="s">
        <v>171</v>
      </c>
      <c r="F223" s="8" t="s">
        <v>2651</v>
      </c>
      <c r="G223" s="8" t="s">
        <v>2652</v>
      </c>
      <c r="H223" s="8" t="s">
        <v>2653</v>
      </c>
      <c r="I223" s="8" t="s">
        <v>55</v>
      </c>
      <c r="J223" s="8" t="s">
        <v>56</v>
      </c>
      <c r="K223" s="7" t="s">
        <v>5365</v>
      </c>
      <c r="L223" s="8" t="s">
        <v>52</v>
      </c>
      <c r="M223" s="8" t="s">
        <v>1771</v>
      </c>
      <c r="N223" s="8" t="s">
        <v>170</v>
      </c>
      <c r="O223" s="32">
        <v>44292.0</v>
      </c>
      <c r="P223" s="42">
        <v>625.0</v>
      </c>
      <c r="Q223" s="32">
        <v>47579.0</v>
      </c>
      <c r="R223" s="8" t="s">
        <v>226</v>
      </c>
      <c r="S223" s="8" t="s">
        <v>175</v>
      </c>
      <c r="T223" s="8" t="s">
        <v>115</v>
      </c>
      <c r="U223" s="8" t="s">
        <v>53</v>
      </c>
    </row>
    <row r="224">
      <c r="A224" s="8" t="s">
        <v>477</v>
      </c>
      <c r="B224" s="8" t="s">
        <v>480</v>
      </c>
      <c r="C224" s="8" t="s">
        <v>392</v>
      </c>
      <c r="D224" s="8" t="s">
        <v>54</v>
      </c>
      <c r="E224" s="8" t="s">
        <v>45</v>
      </c>
      <c r="F224" s="8" t="s">
        <v>2023</v>
      </c>
      <c r="G224" s="8" t="s">
        <v>2024</v>
      </c>
      <c r="H224" s="8" t="s">
        <v>2025</v>
      </c>
      <c r="I224" s="8" t="s">
        <v>55</v>
      </c>
      <c r="J224" s="8" t="s">
        <v>70</v>
      </c>
      <c r="K224" s="7" t="s">
        <v>5308</v>
      </c>
      <c r="L224" s="8" t="s">
        <v>459</v>
      </c>
      <c r="M224" s="8" t="s">
        <v>1771</v>
      </c>
      <c r="N224" s="8" t="s">
        <v>45</v>
      </c>
      <c r="O224" s="32">
        <v>44305.0</v>
      </c>
      <c r="P224" s="7">
        <v>0.0</v>
      </c>
      <c r="Q224" s="32">
        <v>46129.0</v>
      </c>
      <c r="R224" s="8" t="s">
        <v>226</v>
      </c>
      <c r="S224" s="8" t="s">
        <v>190</v>
      </c>
      <c r="T224" s="8" t="s">
        <v>49</v>
      </c>
      <c r="U224" s="8" t="s">
        <v>53</v>
      </c>
    </row>
    <row r="225">
      <c r="A225" s="8" t="s">
        <v>477</v>
      </c>
      <c r="B225" s="8" t="s">
        <v>480</v>
      </c>
      <c r="C225" s="8" t="s">
        <v>57</v>
      </c>
      <c r="D225" s="8" t="s">
        <v>54</v>
      </c>
      <c r="E225" s="8" t="s">
        <v>45</v>
      </c>
      <c r="F225" s="8" t="s">
        <v>2027</v>
      </c>
      <c r="G225" s="8" t="s">
        <v>2028</v>
      </c>
      <c r="H225" s="8" t="s">
        <v>2029</v>
      </c>
      <c r="I225" s="8" t="s">
        <v>55</v>
      </c>
      <c r="J225" s="8" t="s">
        <v>56</v>
      </c>
      <c r="K225" s="7" t="s">
        <v>5366</v>
      </c>
      <c r="L225" s="8" t="s">
        <v>459</v>
      </c>
      <c r="M225" s="8" t="s">
        <v>1771</v>
      </c>
      <c r="N225" s="8" t="s">
        <v>45</v>
      </c>
      <c r="O225" s="32">
        <v>44335.0</v>
      </c>
      <c r="P225" s="7" t="s">
        <v>5279</v>
      </c>
      <c r="Q225" s="32">
        <v>48718.0</v>
      </c>
      <c r="R225" s="8" t="s">
        <v>226</v>
      </c>
      <c r="S225" s="8" t="s">
        <v>190</v>
      </c>
      <c r="T225" s="8" t="s">
        <v>49</v>
      </c>
      <c r="U225" s="8" t="s">
        <v>53</v>
      </c>
    </row>
    <row r="226">
      <c r="A226" s="8" t="s">
        <v>917</v>
      </c>
      <c r="B226" s="8" t="s">
        <v>920</v>
      </c>
      <c r="C226" s="8" t="s">
        <v>57</v>
      </c>
      <c r="D226" s="8" t="s">
        <v>54</v>
      </c>
      <c r="E226" s="8" t="s">
        <v>185</v>
      </c>
      <c r="F226" s="8" t="s">
        <v>2917</v>
      </c>
      <c r="G226" s="8" t="s">
        <v>2918</v>
      </c>
      <c r="H226" s="8" t="s">
        <v>2919</v>
      </c>
      <c r="I226" s="8" t="s">
        <v>421</v>
      </c>
      <c r="J226" s="8" t="s">
        <v>56</v>
      </c>
      <c r="K226" s="7">
        <v>3.282093E7</v>
      </c>
      <c r="L226" s="8" t="s">
        <v>118</v>
      </c>
      <c r="M226" s="8" t="s">
        <v>174</v>
      </c>
      <c r="N226" s="8" t="s">
        <v>185</v>
      </c>
      <c r="O226" s="32">
        <v>44333.0</v>
      </c>
      <c r="P226" s="7">
        <v>0.0</v>
      </c>
      <c r="Q226" s="32">
        <v>45063.0</v>
      </c>
      <c r="R226" s="8" t="s">
        <v>226</v>
      </c>
      <c r="S226" s="8" t="s">
        <v>54</v>
      </c>
      <c r="T226" s="8" t="s">
        <v>49</v>
      </c>
      <c r="U226" s="8" t="s">
        <v>53</v>
      </c>
    </row>
    <row r="227">
      <c r="A227" s="8" t="s">
        <v>1560</v>
      </c>
      <c r="B227" s="8" t="s">
        <v>1563</v>
      </c>
      <c r="C227" s="8" t="s">
        <v>71</v>
      </c>
      <c r="D227" s="42">
        <v>3781.0</v>
      </c>
      <c r="E227" s="8" t="s">
        <v>258</v>
      </c>
      <c r="F227" s="8" t="s">
        <v>2756</v>
      </c>
      <c r="G227" s="8" t="s">
        <v>2757</v>
      </c>
      <c r="H227" s="8" t="s">
        <v>2758</v>
      </c>
      <c r="I227" s="8" t="s">
        <v>55</v>
      </c>
      <c r="J227" s="8" t="s">
        <v>56</v>
      </c>
      <c r="K227" s="43">
        <v>5.0E8</v>
      </c>
      <c r="L227" s="8" t="s">
        <v>52</v>
      </c>
      <c r="M227" s="8" t="s">
        <v>1776</v>
      </c>
      <c r="N227" s="8" t="s">
        <v>367</v>
      </c>
      <c r="O227" s="32">
        <v>44344.0</v>
      </c>
      <c r="P227" s="7" t="s">
        <v>5347</v>
      </c>
      <c r="Q227" s="32">
        <v>55301.0</v>
      </c>
      <c r="R227" s="8" t="s">
        <v>262</v>
      </c>
      <c r="S227" s="8" t="s">
        <v>175</v>
      </c>
      <c r="T227" s="8" t="s">
        <v>115</v>
      </c>
      <c r="U227" s="8" t="s">
        <v>263</v>
      </c>
    </row>
    <row r="228">
      <c r="A228" s="8" t="s">
        <v>1560</v>
      </c>
      <c r="B228" s="8" t="s">
        <v>1563</v>
      </c>
      <c r="C228" s="8" t="s">
        <v>71</v>
      </c>
      <c r="D228" s="42">
        <v>3781.0</v>
      </c>
      <c r="E228" s="8" t="s">
        <v>258</v>
      </c>
      <c r="F228" s="8" t="s">
        <v>2760</v>
      </c>
      <c r="G228" s="8" t="s">
        <v>2761</v>
      </c>
      <c r="H228" s="8" t="s">
        <v>2762</v>
      </c>
      <c r="I228" s="8" t="s">
        <v>55</v>
      </c>
      <c r="J228" s="8" t="s">
        <v>56</v>
      </c>
      <c r="K228" s="43">
        <v>5.0E8</v>
      </c>
      <c r="L228" s="8" t="s">
        <v>52</v>
      </c>
      <c r="M228" s="8" t="s">
        <v>1776</v>
      </c>
      <c r="N228" s="8" t="s">
        <v>367</v>
      </c>
      <c r="O228" s="32">
        <v>44344.0</v>
      </c>
      <c r="P228" s="7" t="s">
        <v>5347</v>
      </c>
      <c r="Q228" s="32">
        <v>55301.0</v>
      </c>
      <c r="R228" s="8" t="s">
        <v>271</v>
      </c>
      <c r="S228" s="8" t="s">
        <v>175</v>
      </c>
      <c r="T228" s="8" t="s">
        <v>115</v>
      </c>
      <c r="U228" s="8" t="s">
        <v>263</v>
      </c>
    </row>
    <row r="229">
      <c r="A229" s="8" t="s">
        <v>477</v>
      </c>
      <c r="B229" s="8" t="s">
        <v>480</v>
      </c>
      <c r="C229" s="8" t="s">
        <v>57</v>
      </c>
      <c r="D229" s="8" t="s">
        <v>54</v>
      </c>
      <c r="E229" s="8" t="s">
        <v>45</v>
      </c>
      <c r="F229" s="8" t="s">
        <v>2031</v>
      </c>
      <c r="G229" s="8" t="s">
        <v>2032</v>
      </c>
      <c r="H229" s="8" t="s">
        <v>2033</v>
      </c>
      <c r="I229" s="8" t="s">
        <v>55</v>
      </c>
      <c r="J229" s="8" t="s">
        <v>56</v>
      </c>
      <c r="K229" s="7" t="s">
        <v>5367</v>
      </c>
      <c r="L229" s="8" t="s">
        <v>2012</v>
      </c>
      <c r="M229" s="8" t="s">
        <v>2013</v>
      </c>
      <c r="N229" s="8" t="s">
        <v>45</v>
      </c>
      <c r="O229" s="32">
        <v>44376.0</v>
      </c>
      <c r="P229" s="42">
        <v>625.0</v>
      </c>
      <c r="Q229" s="32">
        <v>48029.0</v>
      </c>
      <c r="R229" s="8" t="s">
        <v>226</v>
      </c>
      <c r="S229" s="8" t="s">
        <v>117</v>
      </c>
      <c r="T229" s="8" t="s">
        <v>49</v>
      </c>
      <c r="U229" s="8" t="s">
        <v>53</v>
      </c>
    </row>
    <row r="230">
      <c r="A230" s="8" t="s">
        <v>1360</v>
      </c>
      <c r="B230" s="8" t="s">
        <v>1363</v>
      </c>
      <c r="C230" s="8" t="s">
        <v>57</v>
      </c>
      <c r="D230" s="8" t="s">
        <v>54</v>
      </c>
      <c r="E230" s="8" t="s">
        <v>200</v>
      </c>
      <c r="F230" s="8" t="s">
        <v>3242</v>
      </c>
      <c r="G230" s="8" t="s">
        <v>3243</v>
      </c>
      <c r="H230" s="8" t="s">
        <v>3244</v>
      </c>
      <c r="I230" s="8" t="s">
        <v>117</v>
      </c>
      <c r="J230" s="8" t="s">
        <v>56</v>
      </c>
      <c r="K230" s="7" t="s">
        <v>5368</v>
      </c>
      <c r="L230" s="8" t="s">
        <v>52</v>
      </c>
      <c r="M230" s="8" t="s">
        <v>1840</v>
      </c>
      <c r="N230" s="8" t="s">
        <v>200</v>
      </c>
      <c r="O230" s="32">
        <v>44377.0</v>
      </c>
      <c r="P230" s="42">
        <v>625.0</v>
      </c>
      <c r="Q230" s="32">
        <v>48029.0</v>
      </c>
      <c r="R230" s="8" t="s">
        <v>226</v>
      </c>
      <c r="S230" s="8" t="s">
        <v>175</v>
      </c>
      <c r="T230" s="8" t="s">
        <v>115</v>
      </c>
      <c r="U230" s="8" t="s">
        <v>53</v>
      </c>
    </row>
    <row r="231">
      <c r="A231" s="8" t="s">
        <v>1626</v>
      </c>
      <c r="B231" s="8" t="s">
        <v>1629</v>
      </c>
      <c r="C231" s="8" t="s">
        <v>57</v>
      </c>
      <c r="D231" s="8" t="s">
        <v>54</v>
      </c>
      <c r="E231" s="8" t="s">
        <v>45</v>
      </c>
      <c r="F231" s="8" t="s">
        <v>2705</v>
      </c>
      <c r="G231" s="8" t="s">
        <v>174</v>
      </c>
      <c r="H231" s="8" t="s">
        <v>2706</v>
      </c>
      <c r="I231" s="8" t="s">
        <v>55</v>
      </c>
      <c r="J231" s="8" t="s">
        <v>56</v>
      </c>
      <c r="K231" s="7">
        <v>2.3437E7</v>
      </c>
      <c r="L231" s="8" t="s">
        <v>52</v>
      </c>
      <c r="M231" s="8" t="s">
        <v>174</v>
      </c>
      <c r="N231" s="8" t="s">
        <v>45</v>
      </c>
      <c r="O231" s="32">
        <v>44285.0</v>
      </c>
      <c r="P231" s="7">
        <v>0.0</v>
      </c>
      <c r="Q231" s="32">
        <v>46842.0</v>
      </c>
      <c r="R231" s="8" t="s">
        <v>69</v>
      </c>
      <c r="S231" s="8" t="s">
        <v>54</v>
      </c>
      <c r="T231" s="8" t="s">
        <v>49</v>
      </c>
      <c r="U231" s="8" t="s">
        <v>53</v>
      </c>
    </row>
    <row r="232">
      <c r="A232" s="8" t="s">
        <v>1560</v>
      </c>
      <c r="B232" s="8" t="s">
        <v>1563</v>
      </c>
      <c r="C232" s="8" t="s">
        <v>57</v>
      </c>
      <c r="D232" s="42">
        <v>1032.0</v>
      </c>
      <c r="E232" s="8" t="s">
        <v>258</v>
      </c>
      <c r="F232" s="8" t="s">
        <v>2764</v>
      </c>
      <c r="G232" s="8" t="s">
        <v>2765</v>
      </c>
      <c r="H232" s="8" t="s">
        <v>2766</v>
      </c>
      <c r="I232" s="8" t="s">
        <v>55</v>
      </c>
      <c r="J232" s="8" t="s">
        <v>56</v>
      </c>
      <c r="K232" s="7" t="s">
        <v>5368</v>
      </c>
      <c r="L232" s="8" t="s">
        <v>52</v>
      </c>
      <c r="M232" s="8" t="s">
        <v>1776</v>
      </c>
      <c r="N232" s="8" t="s">
        <v>367</v>
      </c>
      <c r="O232" s="32">
        <v>44391.0</v>
      </c>
      <c r="P232" s="7">
        <v>1.0</v>
      </c>
      <c r="Q232" s="32">
        <v>48043.0</v>
      </c>
      <c r="R232" s="8" t="s">
        <v>174</v>
      </c>
      <c r="S232" s="8" t="s">
        <v>175</v>
      </c>
      <c r="T232" s="8" t="s">
        <v>49</v>
      </c>
      <c r="U232" s="8" t="s">
        <v>53</v>
      </c>
    </row>
    <row r="233">
      <c r="A233" s="8" t="s">
        <v>477</v>
      </c>
      <c r="B233" s="8" t="s">
        <v>480</v>
      </c>
      <c r="C233" s="8" t="s">
        <v>57</v>
      </c>
      <c r="D233" s="8" t="s">
        <v>54</v>
      </c>
      <c r="E233" s="8" t="s">
        <v>45</v>
      </c>
      <c r="F233" s="8" t="s">
        <v>2035</v>
      </c>
      <c r="G233" s="8" t="s">
        <v>2036</v>
      </c>
      <c r="H233" s="8" t="s">
        <v>2037</v>
      </c>
      <c r="I233" s="8" t="s">
        <v>55</v>
      </c>
      <c r="J233" s="8" t="s">
        <v>56</v>
      </c>
      <c r="K233" s="7">
        <v>1.17628E7</v>
      </c>
      <c r="L233" s="8" t="s">
        <v>483</v>
      </c>
      <c r="M233" s="8" t="s">
        <v>174</v>
      </c>
      <c r="N233" s="8" t="s">
        <v>45</v>
      </c>
      <c r="O233" s="32">
        <v>44399.0</v>
      </c>
      <c r="P233" s="7" t="s">
        <v>5369</v>
      </c>
      <c r="Q233" s="32">
        <v>47686.0</v>
      </c>
      <c r="R233" s="8" t="s">
        <v>226</v>
      </c>
      <c r="S233" s="8" t="s">
        <v>484</v>
      </c>
      <c r="T233" s="8" t="s">
        <v>49</v>
      </c>
      <c r="U233" s="8" t="s">
        <v>53</v>
      </c>
    </row>
    <row r="234">
      <c r="A234" s="8" t="s">
        <v>477</v>
      </c>
      <c r="B234" s="8" t="s">
        <v>480</v>
      </c>
      <c r="C234" s="8" t="s">
        <v>57</v>
      </c>
      <c r="D234" s="7" t="s">
        <v>5370</v>
      </c>
      <c r="E234" s="8" t="s">
        <v>45</v>
      </c>
      <c r="F234" s="8" t="s">
        <v>2039</v>
      </c>
      <c r="G234" s="8" t="s">
        <v>2040</v>
      </c>
      <c r="H234" s="8" t="s">
        <v>2041</v>
      </c>
      <c r="I234" s="8" t="s">
        <v>55</v>
      </c>
      <c r="J234" s="8" t="s">
        <v>56</v>
      </c>
      <c r="K234" s="7" t="s">
        <v>5287</v>
      </c>
      <c r="L234" s="8" t="s">
        <v>459</v>
      </c>
      <c r="M234" s="8" t="s">
        <v>1771</v>
      </c>
      <c r="N234" s="8" t="s">
        <v>45</v>
      </c>
      <c r="O234" s="32">
        <v>44432.0</v>
      </c>
      <c r="P234" s="7" t="s">
        <v>5323</v>
      </c>
      <c r="Q234" s="32">
        <v>46258.0</v>
      </c>
      <c r="R234" s="8" t="s">
        <v>226</v>
      </c>
      <c r="S234" s="8" t="s">
        <v>190</v>
      </c>
      <c r="T234" s="8" t="s">
        <v>49</v>
      </c>
      <c r="U234" s="8" t="s">
        <v>53</v>
      </c>
    </row>
    <row r="235">
      <c r="A235" s="8" t="s">
        <v>166</v>
      </c>
      <c r="B235" s="8" t="s">
        <v>169</v>
      </c>
      <c r="C235" s="8" t="s">
        <v>57</v>
      </c>
      <c r="D235" s="42">
        <v>604.0</v>
      </c>
      <c r="E235" s="8" t="s">
        <v>171</v>
      </c>
      <c r="F235" s="8" t="s">
        <v>2655</v>
      </c>
      <c r="G235" s="8" t="s">
        <v>2656</v>
      </c>
      <c r="H235" s="8" t="s">
        <v>2657</v>
      </c>
      <c r="I235" s="8" t="s">
        <v>55</v>
      </c>
      <c r="J235" s="8" t="s">
        <v>56</v>
      </c>
      <c r="K235" s="7" t="s">
        <v>5371</v>
      </c>
      <c r="L235" s="8" t="s">
        <v>52</v>
      </c>
      <c r="M235" s="8" t="s">
        <v>1771</v>
      </c>
      <c r="N235" s="8" t="s">
        <v>170</v>
      </c>
      <c r="O235" s="32">
        <v>44442.0</v>
      </c>
      <c r="P235" s="7" t="s">
        <v>5248</v>
      </c>
      <c r="Q235" s="32">
        <v>47729.0</v>
      </c>
      <c r="R235" s="8" t="s">
        <v>226</v>
      </c>
      <c r="S235" s="8" t="s">
        <v>175</v>
      </c>
      <c r="T235" s="8" t="s">
        <v>115</v>
      </c>
      <c r="U235" s="8" t="s">
        <v>53</v>
      </c>
    </row>
    <row r="236">
      <c r="A236" s="8" t="s">
        <v>1217</v>
      </c>
      <c r="B236" s="8" t="s">
        <v>1220</v>
      </c>
      <c r="C236" s="8" t="s">
        <v>57</v>
      </c>
      <c r="D236" s="8" t="s">
        <v>54</v>
      </c>
      <c r="E236" s="8" t="s">
        <v>45</v>
      </c>
      <c r="F236" s="8" t="s">
        <v>2884</v>
      </c>
      <c r="G236" s="8" t="s">
        <v>2885</v>
      </c>
      <c r="H236" s="8" t="s">
        <v>2886</v>
      </c>
      <c r="I236" s="8" t="s">
        <v>421</v>
      </c>
      <c r="J236" s="8" t="s">
        <v>56</v>
      </c>
      <c r="K236" s="7" t="s">
        <v>5277</v>
      </c>
      <c r="L236" s="8" t="s">
        <v>52</v>
      </c>
      <c r="M236" s="8" t="s">
        <v>1771</v>
      </c>
      <c r="N236" s="8" t="s">
        <v>45</v>
      </c>
      <c r="O236" s="32">
        <v>44447.0</v>
      </c>
      <c r="P236" s="7">
        <v>0.0</v>
      </c>
      <c r="Q236" s="32">
        <v>46638.0</v>
      </c>
      <c r="R236" s="8" t="s">
        <v>226</v>
      </c>
      <c r="S236" s="8" t="s">
        <v>175</v>
      </c>
      <c r="T236" s="8" t="s">
        <v>115</v>
      </c>
      <c r="U236" s="8" t="s">
        <v>53</v>
      </c>
    </row>
    <row r="237">
      <c r="A237" s="8" t="s">
        <v>477</v>
      </c>
      <c r="B237" s="8" t="s">
        <v>480</v>
      </c>
      <c r="C237" s="8" t="s">
        <v>57</v>
      </c>
      <c r="D237" s="8" t="s">
        <v>54</v>
      </c>
      <c r="E237" s="8" t="s">
        <v>45</v>
      </c>
      <c r="F237" s="8" t="s">
        <v>2043</v>
      </c>
      <c r="G237" s="8" t="s">
        <v>2044</v>
      </c>
      <c r="H237" s="8" t="s">
        <v>2045</v>
      </c>
      <c r="I237" s="8" t="s">
        <v>55</v>
      </c>
      <c r="J237" s="8" t="s">
        <v>56</v>
      </c>
      <c r="K237" s="7">
        <v>1.16014E7</v>
      </c>
      <c r="L237" s="8" t="s">
        <v>52</v>
      </c>
      <c r="M237" s="8" t="s">
        <v>1771</v>
      </c>
      <c r="N237" s="8" t="s">
        <v>45</v>
      </c>
      <c r="O237" s="32">
        <v>44468.0</v>
      </c>
      <c r="P237" s="42">
        <v>375.0</v>
      </c>
      <c r="Q237" s="32">
        <v>48120.0</v>
      </c>
      <c r="R237" s="8" t="s">
        <v>226</v>
      </c>
      <c r="S237" s="8" t="s">
        <v>484</v>
      </c>
      <c r="T237" s="8" t="s">
        <v>115</v>
      </c>
      <c r="U237" s="8" t="s">
        <v>53</v>
      </c>
    </row>
    <row r="238">
      <c r="A238" s="8" t="s">
        <v>1526</v>
      </c>
      <c r="B238" s="8" t="s">
        <v>1529</v>
      </c>
      <c r="C238" s="8" t="s">
        <v>57</v>
      </c>
      <c r="D238" s="8" t="s">
        <v>54</v>
      </c>
      <c r="E238" s="8" t="s">
        <v>185</v>
      </c>
      <c r="F238" s="8" t="s">
        <v>3005</v>
      </c>
      <c r="G238" s="8" t="s">
        <v>3006</v>
      </c>
      <c r="H238" s="8" t="s">
        <v>3007</v>
      </c>
      <c r="I238" s="8" t="s">
        <v>421</v>
      </c>
      <c r="J238" s="8" t="s">
        <v>56</v>
      </c>
      <c r="K238" s="7" t="s">
        <v>5372</v>
      </c>
      <c r="L238" s="8" t="s">
        <v>52</v>
      </c>
      <c r="M238" s="8" t="s">
        <v>1776</v>
      </c>
      <c r="N238" s="8" t="s">
        <v>185</v>
      </c>
      <c r="O238" s="32">
        <v>44473.0</v>
      </c>
      <c r="P238" s="42">
        <v>125.0</v>
      </c>
      <c r="Q238" s="32">
        <v>47395.0</v>
      </c>
      <c r="R238" s="8" t="s">
        <v>3008</v>
      </c>
      <c r="S238" s="8" t="s">
        <v>620</v>
      </c>
      <c r="T238" s="8" t="s">
        <v>115</v>
      </c>
      <c r="U238" s="8" t="s">
        <v>53</v>
      </c>
    </row>
    <row r="239">
      <c r="A239" s="8" t="s">
        <v>1336</v>
      </c>
      <c r="B239" s="8" t="s">
        <v>1339</v>
      </c>
      <c r="C239" s="8" t="s">
        <v>71</v>
      </c>
      <c r="D239" s="8" t="s">
        <v>54</v>
      </c>
      <c r="E239" s="8" t="s">
        <v>1340</v>
      </c>
      <c r="F239" s="8" t="s">
        <v>2344</v>
      </c>
      <c r="G239" s="8" t="s">
        <v>2345</v>
      </c>
      <c r="H239" s="8" t="s">
        <v>2346</v>
      </c>
      <c r="I239" s="8" t="s">
        <v>55</v>
      </c>
      <c r="J239" s="8" t="s">
        <v>56</v>
      </c>
      <c r="K239" s="7">
        <v>2.3292282E7</v>
      </c>
      <c r="L239" s="8" t="s">
        <v>52</v>
      </c>
      <c r="M239" s="8" t="s">
        <v>1771</v>
      </c>
      <c r="N239" s="8" t="s">
        <v>170</v>
      </c>
      <c r="O239" s="32">
        <v>44476.0</v>
      </c>
      <c r="P239" s="7" t="s">
        <v>5373</v>
      </c>
      <c r="Q239" s="32">
        <v>45754.0</v>
      </c>
      <c r="R239" s="8" t="s">
        <v>226</v>
      </c>
      <c r="S239" s="8" t="s">
        <v>54</v>
      </c>
      <c r="T239" s="8" t="s">
        <v>49</v>
      </c>
      <c r="U239" s="8" t="s">
        <v>976</v>
      </c>
    </row>
    <row r="240">
      <c r="A240" s="8" t="s">
        <v>477</v>
      </c>
      <c r="B240" s="8" t="s">
        <v>480</v>
      </c>
      <c r="C240" s="8" t="s">
        <v>57</v>
      </c>
      <c r="D240" s="8" t="s">
        <v>54</v>
      </c>
      <c r="E240" s="8" t="s">
        <v>45</v>
      </c>
      <c r="F240" s="8" t="s">
        <v>2047</v>
      </c>
      <c r="G240" s="8" t="s">
        <v>2048</v>
      </c>
      <c r="H240" s="8" t="s">
        <v>2049</v>
      </c>
      <c r="I240" s="8" t="s">
        <v>55</v>
      </c>
      <c r="J240" s="8" t="s">
        <v>56</v>
      </c>
      <c r="K240" s="7">
        <v>9244480.0</v>
      </c>
      <c r="L240" s="8" t="s">
        <v>483</v>
      </c>
      <c r="M240" s="8" t="s">
        <v>174</v>
      </c>
      <c r="N240" s="8" t="s">
        <v>45</v>
      </c>
      <c r="O240" s="32">
        <v>44476.0</v>
      </c>
      <c r="P240" s="7" t="s">
        <v>5374</v>
      </c>
      <c r="Q240" s="32">
        <v>48128.0</v>
      </c>
      <c r="R240" s="8" t="s">
        <v>226</v>
      </c>
      <c r="S240" s="8" t="s">
        <v>484</v>
      </c>
      <c r="T240" s="8" t="s">
        <v>115</v>
      </c>
      <c r="U240" s="8" t="s">
        <v>53</v>
      </c>
    </row>
    <row r="241">
      <c r="A241" s="8" t="s">
        <v>477</v>
      </c>
      <c r="B241" s="8" t="s">
        <v>480</v>
      </c>
      <c r="C241" s="8" t="s">
        <v>57</v>
      </c>
      <c r="D241" s="8" t="s">
        <v>54</v>
      </c>
      <c r="E241" s="8" t="s">
        <v>45</v>
      </c>
      <c r="F241" s="8" t="s">
        <v>2051</v>
      </c>
      <c r="G241" s="8" t="s">
        <v>2052</v>
      </c>
      <c r="H241" s="8" t="s">
        <v>2053</v>
      </c>
      <c r="I241" s="8" t="s">
        <v>55</v>
      </c>
      <c r="J241" s="8" t="s">
        <v>56</v>
      </c>
      <c r="K241" s="7">
        <v>2.31112E7</v>
      </c>
      <c r="L241" s="8" t="s">
        <v>483</v>
      </c>
      <c r="M241" s="8" t="s">
        <v>174</v>
      </c>
      <c r="N241" s="8" t="s">
        <v>45</v>
      </c>
      <c r="O241" s="32">
        <v>44476.0</v>
      </c>
      <c r="P241" s="7" t="s">
        <v>5336</v>
      </c>
      <c r="Q241" s="32">
        <v>48128.0</v>
      </c>
      <c r="R241" s="8" t="s">
        <v>226</v>
      </c>
      <c r="S241" s="8" t="s">
        <v>484</v>
      </c>
      <c r="T241" s="8" t="s">
        <v>115</v>
      </c>
      <c r="U241" s="8" t="s">
        <v>53</v>
      </c>
    </row>
    <row r="242">
      <c r="A242" s="8" t="s">
        <v>166</v>
      </c>
      <c r="B242" s="8" t="s">
        <v>169</v>
      </c>
      <c r="C242" s="8" t="s">
        <v>57</v>
      </c>
      <c r="D242" s="8" t="s">
        <v>54</v>
      </c>
      <c r="E242" s="8" t="s">
        <v>171</v>
      </c>
      <c r="F242" s="8" t="s">
        <v>2659</v>
      </c>
      <c r="G242" s="8" t="s">
        <v>2660</v>
      </c>
      <c r="H242" s="8" t="s">
        <v>2661</v>
      </c>
      <c r="I242" s="8" t="s">
        <v>55</v>
      </c>
      <c r="J242" s="8" t="s">
        <v>56</v>
      </c>
      <c r="K242" s="7" t="s">
        <v>5375</v>
      </c>
      <c r="L242" s="8" t="s">
        <v>52</v>
      </c>
      <c r="M242" s="8" t="s">
        <v>1771</v>
      </c>
      <c r="N242" s="8" t="s">
        <v>170</v>
      </c>
      <c r="O242" s="32">
        <v>44477.0</v>
      </c>
      <c r="P242" s="42">
        <v>1375.0</v>
      </c>
      <c r="Q242" s="32">
        <v>49956.0</v>
      </c>
      <c r="R242" s="8" t="s">
        <v>226</v>
      </c>
      <c r="S242" s="8" t="s">
        <v>175</v>
      </c>
      <c r="T242" s="8" t="s">
        <v>49</v>
      </c>
      <c r="U242" s="8" t="s">
        <v>53</v>
      </c>
    </row>
    <row r="243">
      <c r="A243" s="8" t="s">
        <v>477</v>
      </c>
      <c r="B243" s="8" t="s">
        <v>480</v>
      </c>
      <c r="C243" s="8" t="s">
        <v>57</v>
      </c>
      <c r="D243" s="8" t="s">
        <v>54</v>
      </c>
      <c r="E243" s="8" t="s">
        <v>45</v>
      </c>
      <c r="F243" s="8" t="s">
        <v>2055</v>
      </c>
      <c r="G243" s="8" t="s">
        <v>2056</v>
      </c>
      <c r="H243" s="8" t="s">
        <v>2057</v>
      </c>
      <c r="I243" s="8" t="s">
        <v>55</v>
      </c>
      <c r="J243" s="8" t="s">
        <v>56</v>
      </c>
      <c r="K243" s="7" t="s">
        <v>5376</v>
      </c>
      <c r="L243" s="8" t="s">
        <v>459</v>
      </c>
      <c r="M243" s="8" t="s">
        <v>1771</v>
      </c>
      <c r="N243" s="8" t="s">
        <v>45</v>
      </c>
      <c r="O243" s="32">
        <v>44487.0</v>
      </c>
      <c r="P243" s="42">
        <v>125.0</v>
      </c>
      <c r="Q243" s="32">
        <v>47501.0</v>
      </c>
      <c r="R243" s="8" t="s">
        <v>226</v>
      </c>
      <c r="S243" s="8" t="s">
        <v>190</v>
      </c>
      <c r="T243" s="8" t="s">
        <v>49</v>
      </c>
      <c r="U243" s="8" t="s">
        <v>53</v>
      </c>
    </row>
    <row r="244">
      <c r="A244" s="8" t="s">
        <v>477</v>
      </c>
      <c r="B244" s="8" t="s">
        <v>480</v>
      </c>
      <c r="C244" s="8" t="s">
        <v>57</v>
      </c>
      <c r="D244" s="8" t="s">
        <v>54</v>
      </c>
      <c r="E244" s="8" t="s">
        <v>45</v>
      </c>
      <c r="F244" s="8" t="s">
        <v>2059</v>
      </c>
      <c r="G244" s="8" t="s">
        <v>2060</v>
      </c>
      <c r="H244" s="8" t="s">
        <v>2061</v>
      </c>
      <c r="I244" s="8" t="s">
        <v>55</v>
      </c>
      <c r="J244" s="8" t="s">
        <v>56</v>
      </c>
      <c r="K244" s="7">
        <v>1.745415E7</v>
      </c>
      <c r="L244" s="8" t="s">
        <v>483</v>
      </c>
      <c r="M244" s="8" t="s">
        <v>174</v>
      </c>
      <c r="N244" s="8" t="s">
        <v>45</v>
      </c>
      <c r="O244" s="32">
        <v>44488.0</v>
      </c>
      <c r="P244" s="7" t="s">
        <v>5323</v>
      </c>
      <c r="Q244" s="32">
        <v>46314.0</v>
      </c>
      <c r="R244" s="8" t="s">
        <v>226</v>
      </c>
      <c r="S244" s="8" t="s">
        <v>484</v>
      </c>
      <c r="T244" s="8" t="s">
        <v>49</v>
      </c>
      <c r="U244" s="8" t="s">
        <v>53</v>
      </c>
    </row>
    <row r="245">
      <c r="A245" s="8" t="s">
        <v>477</v>
      </c>
      <c r="B245" s="8" t="s">
        <v>480</v>
      </c>
      <c r="C245" s="8" t="s">
        <v>57</v>
      </c>
      <c r="D245" s="8" t="s">
        <v>54</v>
      </c>
      <c r="E245" s="8" t="s">
        <v>45</v>
      </c>
      <c r="F245" s="8" t="s">
        <v>2063</v>
      </c>
      <c r="G245" s="8" t="s">
        <v>2064</v>
      </c>
      <c r="H245" s="8" t="s">
        <v>2065</v>
      </c>
      <c r="I245" s="8" t="s">
        <v>55</v>
      </c>
      <c r="J245" s="8" t="s">
        <v>56</v>
      </c>
      <c r="K245" s="7">
        <v>2.30246E7</v>
      </c>
      <c r="L245" s="8" t="s">
        <v>483</v>
      </c>
      <c r="M245" s="8" t="s">
        <v>1840</v>
      </c>
      <c r="N245" s="8" t="s">
        <v>45</v>
      </c>
      <c r="O245" s="32">
        <v>44510.0</v>
      </c>
      <c r="P245" s="7" t="s">
        <v>5377</v>
      </c>
      <c r="Q245" s="32">
        <v>46336.0</v>
      </c>
      <c r="R245" s="8" t="s">
        <v>226</v>
      </c>
      <c r="S245" s="8" t="s">
        <v>484</v>
      </c>
      <c r="T245" s="8" t="s">
        <v>49</v>
      </c>
      <c r="U245" s="8" t="s">
        <v>53</v>
      </c>
    </row>
    <row r="246">
      <c r="A246" s="8" t="s">
        <v>477</v>
      </c>
      <c r="B246" s="8" t="s">
        <v>480</v>
      </c>
      <c r="C246" s="8" t="s">
        <v>57</v>
      </c>
      <c r="D246" s="8" t="s">
        <v>54</v>
      </c>
      <c r="E246" s="8" t="s">
        <v>45</v>
      </c>
      <c r="F246" s="8" t="s">
        <v>2067</v>
      </c>
      <c r="G246" s="8" t="s">
        <v>2068</v>
      </c>
      <c r="H246" s="8" t="s">
        <v>2069</v>
      </c>
      <c r="I246" s="8" t="s">
        <v>55</v>
      </c>
      <c r="J246" s="8" t="s">
        <v>56</v>
      </c>
      <c r="K246" s="7">
        <v>1.13698E7</v>
      </c>
      <c r="L246" s="8" t="s">
        <v>483</v>
      </c>
      <c r="M246" s="8" t="s">
        <v>174</v>
      </c>
      <c r="N246" s="8" t="s">
        <v>45</v>
      </c>
      <c r="O246" s="32">
        <v>44518.0</v>
      </c>
      <c r="P246" s="42">
        <v>15.0</v>
      </c>
      <c r="Q246" s="32">
        <v>45979.0</v>
      </c>
      <c r="R246" s="8" t="s">
        <v>226</v>
      </c>
      <c r="S246" s="8" t="s">
        <v>484</v>
      </c>
      <c r="T246" s="8" t="s">
        <v>49</v>
      </c>
      <c r="U246" s="8" t="s">
        <v>53</v>
      </c>
    </row>
    <row r="247">
      <c r="A247" s="8" t="s">
        <v>658</v>
      </c>
      <c r="B247" s="8" t="s">
        <v>661</v>
      </c>
      <c r="C247" s="8" t="s">
        <v>71</v>
      </c>
      <c r="D247" s="7" t="s">
        <v>5378</v>
      </c>
      <c r="E247" s="8" t="s">
        <v>186</v>
      </c>
      <c r="F247" s="8" t="s">
        <v>2792</v>
      </c>
      <c r="G247" s="8" t="s">
        <v>2793</v>
      </c>
      <c r="H247" s="8" t="s">
        <v>2794</v>
      </c>
      <c r="I247" s="8" t="s">
        <v>55</v>
      </c>
      <c r="J247" s="8" t="s">
        <v>56</v>
      </c>
      <c r="K247" s="43">
        <v>1.0E9</v>
      </c>
      <c r="L247" s="8" t="s">
        <v>52</v>
      </c>
      <c r="M247" s="8" t="s">
        <v>1776</v>
      </c>
      <c r="N247" s="8" t="s">
        <v>170</v>
      </c>
      <c r="O247" s="32">
        <v>44523.0</v>
      </c>
      <c r="P247" s="7" t="s">
        <v>5219</v>
      </c>
      <c r="Q247" s="32">
        <v>46402.0</v>
      </c>
      <c r="R247" s="8" t="s">
        <v>262</v>
      </c>
      <c r="S247" s="8" t="s">
        <v>264</v>
      </c>
      <c r="T247" s="8" t="s">
        <v>115</v>
      </c>
      <c r="U247" s="8" t="s">
        <v>263</v>
      </c>
    </row>
    <row r="248">
      <c r="A248" s="8" t="s">
        <v>658</v>
      </c>
      <c r="B248" s="8" t="s">
        <v>661</v>
      </c>
      <c r="C248" s="8" t="s">
        <v>71</v>
      </c>
      <c r="D248" s="7" t="s">
        <v>5378</v>
      </c>
      <c r="E248" s="8" t="s">
        <v>186</v>
      </c>
      <c r="F248" s="8" t="s">
        <v>2796</v>
      </c>
      <c r="G248" s="8" t="s">
        <v>2797</v>
      </c>
      <c r="H248" s="8" t="s">
        <v>2798</v>
      </c>
      <c r="I248" s="8" t="s">
        <v>55</v>
      </c>
      <c r="J248" s="8" t="s">
        <v>56</v>
      </c>
      <c r="K248" s="43">
        <v>1.0E9</v>
      </c>
      <c r="L248" s="8" t="s">
        <v>52</v>
      </c>
      <c r="M248" s="8" t="s">
        <v>1776</v>
      </c>
      <c r="N248" s="8" t="s">
        <v>170</v>
      </c>
      <c r="O248" s="32">
        <v>44523.0</v>
      </c>
      <c r="P248" s="7" t="s">
        <v>5219</v>
      </c>
      <c r="Q248" s="32">
        <v>46402.0</v>
      </c>
      <c r="R248" s="8" t="s">
        <v>271</v>
      </c>
      <c r="S248" s="8" t="s">
        <v>264</v>
      </c>
      <c r="T248" s="8" t="s">
        <v>115</v>
      </c>
      <c r="U248" s="8" t="s">
        <v>263</v>
      </c>
    </row>
    <row r="249">
      <c r="A249" s="8" t="s">
        <v>477</v>
      </c>
      <c r="B249" s="8" t="s">
        <v>480</v>
      </c>
      <c r="C249" s="8" t="s">
        <v>57</v>
      </c>
      <c r="D249" s="8" t="s">
        <v>54</v>
      </c>
      <c r="E249" s="8" t="s">
        <v>45</v>
      </c>
      <c r="F249" s="8" t="s">
        <v>2071</v>
      </c>
      <c r="G249" s="8" t="s">
        <v>2072</v>
      </c>
      <c r="H249" s="8" t="s">
        <v>2073</v>
      </c>
      <c r="I249" s="8" t="s">
        <v>55</v>
      </c>
      <c r="J249" s="8" t="s">
        <v>56</v>
      </c>
      <c r="K249" s="7">
        <v>2.0939965E7</v>
      </c>
      <c r="L249" s="8" t="s">
        <v>483</v>
      </c>
      <c r="M249" s="8" t="s">
        <v>1771</v>
      </c>
      <c r="N249" s="8" t="s">
        <v>45</v>
      </c>
      <c r="O249" s="32">
        <v>44540.0</v>
      </c>
      <c r="P249" s="42">
        <v>349.0</v>
      </c>
      <c r="Q249" s="32">
        <v>48192.0</v>
      </c>
      <c r="R249" s="8" t="s">
        <v>226</v>
      </c>
      <c r="S249" s="8" t="s">
        <v>484</v>
      </c>
      <c r="T249" s="8" t="s">
        <v>49</v>
      </c>
      <c r="U249" s="8" t="s">
        <v>53</v>
      </c>
    </row>
    <row r="250">
      <c r="A250" s="8" t="s">
        <v>336</v>
      </c>
      <c r="B250" s="8" t="s">
        <v>339</v>
      </c>
      <c r="C250" s="8" t="s">
        <v>57</v>
      </c>
      <c r="D250" s="8" t="s">
        <v>54</v>
      </c>
      <c r="E250" s="8" t="s">
        <v>45</v>
      </c>
      <c r="F250" s="8" t="s">
        <v>3459</v>
      </c>
      <c r="G250" s="8" t="s">
        <v>174</v>
      </c>
      <c r="H250" s="8" t="s">
        <v>3460</v>
      </c>
      <c r="I250" s="8" t="s">
        <v>55</v>
      </c>
      <c r="J250" s="8" t="s">
        <v>56</v>
      </c>
      <c r="K250" s="7">
        <v>2.82765E7</v>
      </c>
      <c r="L250" s="8" t="s">
        <v>52</v>
      </c>
      <c r="M250" s="8" t="s">
        <v>174</v>
      </c>
      <c r="N250" s="8" t="s">
        <v>45</v>
      </c>
      <c r="O250" s="32">
        <v>44558.0</v>
      </c>
      <c r="P250" s="7" t="s">
        <v>5306</v>
      </c>
      <c r="Q250" s="32">
        <v>47115.0</v>
      </c>
      <c r="R250" s="8" t="s">
        <v>69</v>
      </c>
      <c r="S250" s="8" t="s">
        <v>54</v>
      </c>
      <c r="T250" s="8" t="s">
        <v>49</v>
      </c>
      <c r="U250" s="8" t="s">
        <v>53</v>
      </c>
    </row>
    <row r="251">
      <c r="A251" s="8" t="s">
        <v>477</v>
      </c>
      <c r="B251" s="8" t="s">
        <v>480</v>
      </c>
      <c r="C251" s="8" t="s">
        <v>57</v>
      </c>
      <c r="D251" s="42">
        <v>292.0</v>
      </c>
      <c r="E251" s="8" t="s">
        <v>45</v>
      </c>
      <c r="F251" s="8" t="s">
        <v>2075</v>
      </c>
      <c r="G251" s="8" t="s">
        <v>2076</v>
      </c>
      <c r="H251" s="8" t="s">
        <v>2077</v>
      </c>
      <c r="I251" s="8" t="s">
        <v>55</v>
      </c>
      <c r="J251" s="8" t="s">
        <v>56</v>
      </c>
      <c r="K251" s="7">
        <v>1.14613E7</v>
      </c>
      <c r="L251" s="8" t="s">
        <v>483</v>
      </c>
      <c r="M251" s="8" t="s">
        <v>1771</v>
      </c>
      <c r="N251" s="8" t="s">
        <v>45</v>
      </c>
      <c r="O251" s="32">
        <v>44574.0</v>
      </c>
      <c r="P251" s="42">
        <v>292.0</v>
      </c>
      <c r="Q251" s="32">
        <v>46765.0</v>
      </c>
      <c r="R251" s="8" t="s">
        <v>226</v>
      </c>
      <c r="S251" s="8" t="s">
        <v>484</v>
      </c>
      <c r="T251" s="8" t="s">
        <v>49</v>
      </c>
      <c r="U251" s="8" t="s">
        <v>53</v>
      </c>
    </row>
    <row r="252">
      <c r="A252" s="8" t="s">
        <v>477</v>
      </c>
      <c r="B252" s="8" t="s">
        <v>480</v>
      </c>
      <c r="C252" s="8" t="s">
        <v>57</v>
      </c>
      <c r="D252" s="8" t="s">
        <v>54</v>
      </c>
      <c r="E252" s="8" t="s">
        <v>45</v>
      </c>
      <c r="F252" s="8" t="s">
        <v>2079</v>
      </c>
      <c r="G252" s="8" t="s">
        <v>2080</v>
      </c>
      <c r="H252" s="8" t="s">
        <v>2081</v>
      </c>
      <c r="I252" s="8" t="s">
        <v>55</v>
      </c>
      <c r="J252" s="8" t="s">
        <v>56</v>
      </c>
      <c r="K252" s="7">
        <v>1.701615E7</v>
      </c>
      <c r="L252" s="8" t="s">
        <v>483</v>
      </c>
      <c r="M252" s="8" t="s">
        <v>174</v>
      </c>
      <c r="N252" s="8" t="s">
        <v>45</v>
      </c>
      <c r="O252" s="32">
        <v>44580.0</v>
      </c>
      <c r="P252" s="7" t="s">
        <v>5379</v>
      </c>
      <c r="Q252" s="32">
        <v>46041.0</v>
      </c>
      <c r="R252" s="8" t="s">
        <v>226</v>
      </c>
      <c r="S252" s="8" t="s">
        <v>484</v>
      </c>
      <c r="T252" s="8" t="s">
        <v>49</v>
      </c>
      <c r="U252" s="8" t="s">
        <v>53</v>
      </c>
    </row>
    <row r="253">
      <c r="A253" s="8" t="s">
        <v>477</v>
      </c>
      <c r="B253" s="8" t="s">
        <v>480</v>
      </c>
      <c r="C253" s="8" t="s">
        <v>57</v>
      </c>
      <c r="D253" s="8" t="s">
        <v>54</v>
      </c>
      <c r="E253" s="8" t="s">
        <v>45</v>
      </c>
      <c r="F253" s="8" t="s">
        <v>2083</v>
      </c>
      <c r="G253" s="8" t="s">
        <v>2084</v>
      </c>
      <c r="H253" s="8" t="s">
        <v>2085</v>
      </c>
      <c r="I253" s="8" t="s">
        <v>55</v>
      </c>
      <c r="J253" s="8" t="s">
        <v>56</v>
      </c>
      <c r="K253" s="7">
        <v>2.26454E7</v>
      </c>
      <c r="L253" s="8" t="s">
        <v>483</v>
      </c>
      <c r="M253" s="8" t="s">
        <v>174</v>
      </c>
      <c r="N253" s="8" t="s">
        <v>45</v>
      </c>
      <c r="O253" s="32">
        <v>44579.0</v>
      </c>
      <c r="P253" s="42">
        <v>448.0</v>
      </c>
      <c r="Q253" s="32">
        <v>47501.0</v>
      </c>
      <c r="R253" s="8" t="s">
        <v>226</v>
      </c>
      <c r="S253" s="8" t="s">
        <v>484</v>
      </c>
      <c r="T253" s="8" t="s">
        <v>49</v>
      </c>
      <c r="U253" s="8" t="s">
        <v>53</v>
      </c>
    </row>
    <row r="254">
      <c r="A254" s="8" t="s">
        <v>917</v>
      </c>
      <c r="B254" s="8" t="s">
        <v>920</v>
      </c>
      <c r="C254" s="8" t="s">
        <v>392</v>
      </c>
      <c r="D254" s="8" t="s">
        <v>54</v>
      </c>
      <c r="E254" s="8" t="s">
        <v>185</v>
      </c>
      <c r="F254" s="8" t="s">
        <v>2921</v>
      </c>
      <c r="G254" s="8" t="s">
        <v>2922</v>
      </c>
      <c r="H254" s="8" t="s">
        <v>2923</v>
      </c>
      <c r="I254" s="8" t="s">
        <v>421</v>
      </c>
      <c r="J254" s="8" t="s">
        <v>56</v>
      </c>
      <c r="K254" s="7">
        <v>5.6771E7</v>
      </c>
      <c r="L254" s="8" t="s">
        <v>459</v>
      </c>
      <c r="M254" s="8" t="s">
        <v>174</v>
      </c>
      <c r="N254" s="8" t="s">
        <v>185</v>
      </c>
      <c r="O254" s="32">
        <v>44572.0</v>
      </c>
      <c r="P254" s="7" t="s">
        <v>5380</v>
      </c>
      <c r="Q254" s="32">
        <v>45302.0</v>
      </c>
      <c r="R254" s="8" t="s">
        <v>2924</v>
      </c>
      <c r="S254" s="8" t="s">
        <v>54</v>
      </c>
      <c r="T254" s="8" t="s">
        <v>49</v>
      </c>
      <c r="U254" s="8" t="s">
        <v>53</v>
      </c>
    </row>
    <row r="255">
      <c r="A255" s="8" t="s">
        <v>477</v>
      </c>
      <c r="B255" s="8" t="s">
        <v>480</v>
      </c>
      <c r="C255" s="8" t="s">
        <v>57</v>
      </c>
      <c r="D255" s="8" t="s">
        <v>54</v>
      </c>
      <c r="E255" s="8" t="s">
        <v>45</v>
      </c>
      <c r="F255" s="8" t="s">
        <v>2087</v>
      </c>
      <c r="G255" s="8" t="s">
        <v>2088</v>
      </c>
      <c r="H255" s="8" t="s">
        <v>2089</v>
      </c>
      <c r="I255" s="8" t="s">
        <v>55</v>
      </c>
      <c r="J255" s="8" t="s">
        <v>56</v>
      </c>
      <c r="K255" s="7">
        <v>2.26882E7</v>
      </c>
      <c r="L255" s="8" t="s">
        <v>459</v>
      </c>
      <c r="M255" s="8" t="s">
        <v>174</v>
      </c>
      <c r="N255" s="8" t="s">
        <v>45</v>
      </c>
      <c r="O255" s="32">
        <v>44580.0</v>
      </c>
      <c r="P255" s="42">
        <v>335.0</v>
      </c>
      <c r="Q255" s="32">
        <v>48232.0</v>
      </c>
      <c r="R255" s="8" t="s">
        <v>226</v>
      </c>
      <c r="S255" s="8" t="s">
        <v>190</v>
      </c>
      <c r="T255" s="8" t="s">
        <v>49</v>
      </c>
      <c r="U255" s="8" t="s">
        <v>53</v>
      </c>
    </row>
    <row r="256">
      <c r="A256" s="8" t="s">
        <v>477</v>
      </c>
      <c r="B256" s="8" t="s">
        <v>480</v>
      </c>
      <c r="C256" s="8" t="s">
        <v>57</v>
      </c>
      <c r="D256" s="44">
        <v>0.8691</v>
      </c>
      <c r="E256" s="8" t="s">
        <v>45</v>
      </c>
      <c r="F256" s="8" t="s">
        <v>2091</v>
      </c>
      <c r="G256" s="8" t="s">
        <v>2092</v>
      </c>
      <c r="H256" s="8" t="s">
        <v>2093</v>
      </c>
      <c r="I256" s="8" t="s">
        <v>55</v>
      </c>
      <c r="J256" s="8" t="s">
        <v>56</v>
      </c>
      <c r="K256" s="7">
        <v>2.839825E7</v>
      </c>
      <c r="L256" s="8" t="s">
        <v>459</v>
      </c>
      <c r="M256" s="8" t="s">
        <v>174</v>
      </c>
      <c r="N256" s="8" t="s">
        <v>45</v>
      </c>
      <c r="O256" s="32">
        <v>44609.0</v>
      </c>
      <c r="P256" s="7" t="s">
        <v>5231</v>
      </c>
      <c r="Q256" s="32">
        <v>45705.0</v>
      </c>
      <c r="R256" s="8" t="s">
        <v>226</v>
      </c>
      <c r="S256" s="8" t="s">
        <v>190</v>
      </c>
      <c r="T256" s="8" t="s">
        <v>49</v>
      </c>
      <c r="U256" s="8" t="s">
        <v>53</v>
      </c>
    </row>
    <row r="257">
      <c r="A257" s="8" t="s">
        <v>477</v>
      </c>
      <c r="B257" s="8" t="s">
        <v>480</v>
      </c>
      <c r="C257" s="8" t="s">
        <v>57</v>
      </c>
      <c r="D257" s="42">
        <v>674.0</v>
      </c>
      <c r="E257" s="8" t="s">
        <v>45</v>
      </c>
      <c r="F257" s="8" t="s">
        <v>2095</v>
      </c>
      <c r="G257" s="8" t="s">
        <v>2096</v>
      </c>
      <c r="H257" s="8" t="s">
        <v>2097</v>
      </c>
      <c r="I257" s="8" t="s">
        <v>55</v>
      </c>
      <c r="J257" s="8" t="s">
        <v>56</v>
      </c>
      <c r="K257" s="7" t="s">
        <v>5381</v>
      </c>
      <c r="L257" s="8" t="s">
        <v>459</v>
      </c>
      <c r="M257" s="8" t="s">
        <v>174</v>
      </c>
      <c r="N257" s="8" t="s">
        <v>45</v>
      </c>
      <c r="O257" s="32">
        <v>44616.0</v>
      </c>
      <c r="P257" s="42">
        <v>625.0</v>
      </c>
      <c r="Q257" s="32">
        <v>47172.0</v>
      </c>
      <c r="R257" s="8" t="s">
        <v>226</v>
      </c>
      <c r="S257" s="8" t="s">
        <v>190</v>
      </c>
      <c r="T257" s="8" t="s">
        <v>49</v>
      </c>
      <c r="U257" s="8" t="s">
        <v>53</v>
      </c>
    </row>
    <row r="258">
      <c r="A258" s="8" t="s">
        <v>477</v>
      </c>
      <c r="B258" s="8" t="s">
        <v>480</v>
      </c>
      <c r="C258" s="8" t="s">
        <v>57</v>
      </c>
      <c r="D258" s="45">
        <v>0.42</v>
      </c>
      <c r="E258" s="8" t="s">
        <v>45</v>
      </c>
      <c r="F258" s="8" t="s">
        <v>2099</v>
      </c>
      <c r="G258" s="8" t="s">
        <v>2100</v>
      </c>
      <c r="H258" s="8" t="s">
        <v>2101</v>
      </c>
      <c r="I258" s="8" t="s">
        <v>55</v>
      </c>
      <c r="J258" s="8" t="s">
        <v>56</v>
      </c>
      <c r="K258" s="7">
        <v>1.10512E7</v>
      </c>
      <c r="L258" s="8" t="s">
        <v>483</v>
      </c>
      <c r="M258" s="8" t="s">
        <v>174</v>
      </c>
      <c r="N258" s="8" t="s">
        <v>45</v>
      </c>
      <c r="O258" s="32">
        <v>44623.0</v>
      </c>
      <c r="P258" s="7" t="s">
        <v>5382</v>
      </c>
      <c r="Q258" s="32">
        <v>45719.0</v>
      </c>
      <c r="R258" s="8" t="s">
        <v>226</v>
      </c>
      <c r="S258" s="8" t="s">
        <v>484</v>
      </c>
      <c r="T258" s="8" t="s">
        <v>49</v>
      </c>
      <c r="U258" s="8" t="s">
        <v>53</v>
      </c>
    </row>
    <row r="259">
      <c r="A259" s="8" t="s">
        <v>477</v>
      </c>
      <c r="B259" s="8" t="s">
        <v>480</v>
      </c>
      <c r="C259" s="8" t="s">
        <v>57</v>
      </c>
      <c r="D259" s="44">
        <v>0.77</v>
      </c>
      <c r="E259" s="8" t="s">
        <v>45</v>
      </c>
      <c r="F259" s="8" t="s">
        <v>2103</v>
      </c>
      <c r="G259" s="8" t="s">
        <v>2104</v>
      </c>
      <c r="H259" s="8" t="s">
        <v>2105</v>
      </c>
      <c r="I259" s="8" t="s">
        <v>55</v>
      </c>
      <c r="J259" s="8" t="s">
        <v>56</v>
      </c>
      <c r="K259" s="7">
        <v>5.5256E7</v>
      </c>
      <c r="L259" s="8" t="s">
        <v>483</v>
      </c>
      <c r="M259" s="8" t="s">
        <v>1771</v>
      </c>
      <c r="N259" s="8" t="s">
        <v>45</v>
      </c>
      <c r="O259" s="32">
        <v>44623.0</v>
      </c>
      <c r="P259" s="7" t="s">
        <v>5335</v>
      </c>
      <c r="Q259" s="32">
        <v>45719.0</v>
      </c>
      <c r="R259" s="8" t="s">
        <v>226</v>
      </c>
      <c r="S259" s="8" t="s">
        <v>484</v>
      </c>
      <c r="T259" s="8" t="s">
        <v>49</v>
      </c>
      <c r="U259" s="8" t="s">
        <v>53</v>
      </c>
    </row>
    <row r="260">
      <c r="A260" s="8" t="s">
        <v>1336</v>
      </c>
      <c r="B260" s="8" t="s">
        <v>1339</v>
      </c>
      <c r="C260" s="8" t="s">
        <v>71</v>
      </c>
      <c r="D260" s="46" t="s">
        <v>48</v>
      </c>
      <c r="E260" s="8" t="s">
        <v>1340</v>
      </c>
      <c r="F260" s="8" t="s">
        <v>2348</v>
      </c>
      <c r="G260" s="8" t="s">
        <v>174</v>
      </c>
      <c r="H260" s="8" t="s">
        <v>2349</v>
      </c>
      <c r="I260" s="8" t="s">
        <v>55</v>
      </c>
      <c r="J260" s="8" t="s">
        <v>70</v>
      </c>
      <c r="K260" s="7" t="s">
        <v>5383</v>
      </c>
      <c r="L260" s="8" t="s">
        <v>52</v>
      </c>
      <c r="M260" s="8" t="s">
        <v>1771</v>
      </c>
      <c r="N260" s="8" t="s">
        <v>170</v>
      </c>
      <c r="O260" s="32">
        <v>44664.0</v>
      </c>
      <c r="P260" s="7">
        <v>0.0</v>
      </c>
      <c r="Q260" s="32">
        <v>46856.0</v>
      </c>
      <c r="R260" s="8" t="s">
        <v>158</v>
      </c>
      <c r="S260" s="8" t="s">
        <v>54</v>
      </c>
      <c r="T260" s="8" t="s">
        <v>49</v>
      </c>
      <c r="U260" s="8" t="s">
        <v>53</v>
      </c>
    </row>
    <row r="261">
      <c r="A261" s="8" t="s">
        <v>1336</v>
      </c>
      <c r="B261" s="8" t="s">
        <v>1339</v>
      </c>
      <c r="C261" s="8" t="s">
        <v>71</v>
      </c>
      <c r="D261" s="46" t="s">
        <v>48</v>
      </c>
      <c r="E261" s="8" t="s">
        <v>1340</v>
      </c>
      <c r="F261" s="8" t="s">
        <v>2351</v>
      </c>
      <c r="G261" s="8" t="s">
        <v>174</v>
      </c>
      <c r="H261" s="8" t="s">
        <v>2352</v>
      </c>
      <c r="I261" s="8" t="s">
        <v>55</v>
      </c>
      <c r="J261" s="8" t="s">
        <v>70</v>
      </c>
      <c r="K261" s="7" t="s">
        <v>5383</v>
      </c>
      <c r="L261" s="8" t="s">
        <v>52</v>
      </c>
      <c r="M261" s="8" t="s">
        <v>1771</v>
      </c>
      <c r="N261" s="8" t="s">
        <v>170</v>
      </c>
      <c r="O261" s="32">
        <v>44664.0</v>
      </c>
      <c r="P261" s="7">
        <v>0.0</v>
      </c>
      <c r="Q261" s="32">
        <v>46125.0</v>
      </c>
      <c r="R261" s="8" t="s">
        <v>162</v>
      </c>
      <c r="S261" s="8" t="s">
        <v>54</v>
      </c>
      <c r="T261" s="8" t="s">
        <v>49</v>
      </c>
      <c r="U261" s="8" t="s">
        <v>53</v>
      </c>
    </row>
    <row r="262">
      <c r="A262" s="8" t="s">
        <v>477</v>
      </c>
      <c r="B262" s="8" t="s">
        <v>480</v>
      </c>
      <c r="C262" s="8" t="s">
        <v>57</v>
      </c>
      <c r="D262" s="45">
        <v>1.3105</v>
      </c>
      <c r="E262" s="8" t="s">
        <v>45</v>
      </c>
      <c r="F262" s="8" t="s">
        <v>2107</v>
      </c>
      <c r="G262" s="8" t="s">
        <v>2108</v>
      </c>
      <c r="H262" s="8" t="s">
        <v>2109</v>
      </c>
      <c r="I262" s="8" t="s">
        <v>55</v>
      </c>
      <c r="J262" s="8" t="s">
        <v>56</v>
      </c>
      <c r="K262" s="7">
        <v>1.09384E7</v>
      </c>
      <c r="L262" s="8" t="s">
        <v>483</v>
      </c>
      <c r="M262" s="8" t="s">
        <v>174</v>
      </c>
      <c r="N262" s="8" t="s">
        <v>45</v>
      </c>
      <c r="O262" s="32">
        <v>44635.0</v>
      </c>
      <c r="P262" s="42">
        <v>1125.0</v>
      </c>
      <c r="Q262" s="32">
        <v>48288.0</v>
      </c>
      <c r="R262" s="8" t="s">
        <v>226</v>
      </c>
      <c r="S262" s="8" t="s">
        <v>484</v>
      </c>
      <c r="T262" s="8" t="s">
        <v>49</v>
      </c>
      <c r="U262" s="8" t="s">
        <v>53</v>
      </c>
    </row>
    <row r="263">
      <c r="A263" s="8" t="s">
        <v>477</v>
      </c>
      <c r="B263" s="8" t="s">
        <v>480</v>
      </c>
      <c r="C263" s="8" t="s">
        <v>57</v>
      </c>
      <c r="D263" s="45">
        <v>0.55</v>
      </c>
      <c r="E263" s="8" t="s">
        <v>45</v>
      </c>
      <c r="F263" s="8" t="s">
        <v>2111</v>
      </c>
      <c r="G263" s="8" t="s">
        <v>2112</v>
      </c>
      <c r="H263" s="8" t="s">
        <v>2113</v>
      </c>
      <c r="I263" s="8" t="s">
        <v>55</v>
      </c>
      <c r="J263" s="8" t="s">
        <v>56</v>
      </c>
      <c r="K263" s="7">
        <v>2.764675E7</v>
      </c>
      <c r="L263" s="8" t="s">
        <v>483</v>
      </c>
      <c r="M263" s="8" t="s">
        <v>1771</v>
      </c>
      <c r="N263" s="8" t="s">
        <v>45</v>
      </c>
      <c r="O263" s="32">
        <v>44638.0</v>
      </c>
      <c r="P263" s="7" t="s">
        <v>5222</v>
      </c>
      <c r="Q263" s="32">
        <v>45734.0</v>
      </c>
      <c r="R263" s="8" t="s">
        <v>226</v>
      </c>
      <c r="S263" s="8" t="s">
        <v>484</v>
      </c>
      <c r="T263" s="8" t="s">
        <v>49</v>
      </c>
      <c r="U263" s="8" t="s">
        <v>53</v>
      </c>
    </row>
    <row r="264">
      <c r="A264" s="8" t="s">
        <v>1474</v>
      </c>
      <c r="B264" s="8" t="s">
        <v>1477</v>
      </c>
      <c r="C264" s="8" t="s">
        <v>57</v>
      </c>
      <c r="D264" s="42">
        <v>454.0</v>
      </c>
      <c r="E264" s="8" t="s">
        <v>185</v>
      </c>
      <c r="F264" s="8" t="s">
        <v>2871</v>
      </c>
      <c r="G264" s="8" t="s">
        <v>2872</v>
      </c>
      <c r="H264" s="8" t="s">
        <v>2873</v>
      </c>
      <c r="I264" s="8" t="s">
        <v>133</v>
      </c>
      <c r="J264" s="8" t="s">
        <v>56</v>
      </c>
      <c r="K264" s="7" t="s">
        <v>5264</v>
      </c>
      <c r="L264" s="8" t="s">
        <v>52</v>
      </c>
      <c r="M264" s="8" t="s">
        <v>2874</v>
      </c>
      <c r="N264" s="8" t="s">
        <v>185</v>
      </c>
      <c r="O264" s="32">
        <v>44649.0</v>
      </c>
      <c r="P264" s="42">
        <v>375.0</v>
      </c>
      <c r="Q264" s="32">
        <v>45380.0</v>
      </c>
      <c r="R264" s="8" t="s">
        <v>174</v>
      </c>
      <c r="S264" s="8" t="s">
        <v>421</v>
      </c>
      <c r="T264" s="8" t="s">
        <v>115</v>
      </c>
      <c r="U264" s="8" t="s">
        <v>53</v>
      </c>
    </row>
    <row r="265">
      <c r="A265" s="8" t="s">
        <v>1474</v>
      </c>
      <c r="B265" s="8" t="s">
        <v>1477</v>
      </c>
      <c r="C265" s="8" t="s">
        <v>392</v>
      </c>
      <c r="D265" s="45">
        <v>-0.4534</v>
      </c>
      <c r="E265" s="8" t="s">
        <v>185</v>
      </c>
      <c r="F265" s="8" t="s">
        <v>2876</v>
      </c>
      <c r="G265" s="8" t="s">
        <v>2877</v>
      </c>
      <c r="H265" s="8" t="s">
        <v>2878</v>
      </c>
      <c r="I265" s="8" t="s">
        <v>133</v>
      </c>
      <c r="J265" s="8" t="s">
        <v>70</v>
      </c>
      <c r="K265" s="7" t="s">
        <v>5384</v>
      </c>
      <c r="L265" s="8" t="s">
        <v>52</v>
      </c>
      <c r="M265" s="8" t="s">
        <v>1771</v>
      </c>
      <c r="N265" s="8" t="s">
        <v>185</v>
      </c>
      <c r="O265" s="32">
        <v>44649.0</v>
      </c>
      <c r="P265" s="42">
        <v>223.0</v>
      </c>
      <c r="Q265" s="32">
        <v>45380.0</v>
      </c>
      <c r="R265" s="8" t="s">
        <v>174</v>
      </c>
      <c r="S265" s="8" t="s">
        <v>421</v>
      </c>
      <c r="T265" s="8" t="s">
        <v>115</v>
      </c>
      <c r="U265" s="8" t="s">
        <v>53</v>
      </c>
    </row>
    <row r="266">
      <c r="A266" s="8" t="s">
        <v>477</v>
      </c>
      <c r="B266" s="8" t="s">
        <v>480</v>
      </c>
      <c r="C266" s="8" t="s">
        <v>57</v>
      </c>
      <c r="D266" s="45">
        <v>0.9877</v>
      </c>
      <c r="E266" s="8" t="s">
        <v>45</v>
      </c>
      <c r="F266" s="8" t="s">
        <v>2115</v>
      </c>
      <c r="G266" s="8" t="s">
        <v>2116</v>
      </c>
      <c r="H266" s="8" t="s">
        <v>2117</v>
      </c>
      <c r="I266" s="8" t="s">
        <v>55</v>
      </c>
      <c r="J266" s="8" t="s">
        <v>56</v>
      </c>
      <c r="K266" s="7">
        <v>2.19496E7</v>
      </c>
      <c r="L266" s="8" t="s">
        <v>459</v>
      </c>
      <c r="M266" s="8" t="s">
        <v>174</v>
      </c>
      <c r="N266" s="8" t="s">
        <v>45</v>
      </c>
      <c r="O266" s="32">
        <v>44655.0</v>
      </c>
      <c r="P266" s="7" t="s">
        <v>5235</v>
      </c>
      <c r="Q266" s="32">
        <v>45751.0</v>
      </c>
      <c r="R266" s="8" t="s">
        <v>226</v>
      </c>
      <c r="S266" s="8" t="s">
        <v>190</v>
      </c>
      <c r="T266" s="8" t="s">
        <v>49</v>
      </c>
      <c r="U266" s="8" t="s">
        <v>53</v>
      </c>
    </row>
    <row r="267">
      <c r="A267" s="8" t="s">
        <v>1519</v>
      </c>
      <c r="B267" s="8" t="s">
        <v>1522</v>
      </c>
      <c r="C267" s="8" t="s">
        <v>57</v>
      </c>
      <c r="D267" s="42">
        <v>903.0</v>
      </c>
      <c r="E267" s="8" t="s">
        <v>185</v>
      </c>
      <c r="F267" s="8" t="s">
        <v>3120</v>
      </c>
      <c r="G267" s="8" t="s">
        <v>3121</v>
      </c>
      <c r="H267" s="8" t="s">
        <v>3122</v>
      </c>
      <c r="I267" s="8" t="s">
        <v>117</v>
      </c>
      <c r="J267" s="8" t="s">
        <v>56</v>
      </c>
      <c r="K267" s="7" t="s">
        <v>5385</v>
      </c>
      <c r="L267" s="8" t="s">
        <v>52</v>
      </c>
      <c r="M267" s="8" t="s">
        <v>1771</v>
      </c>
      <c r="N267" s="8" t="s">
        <v>185</v>
      </c>
      <c r="O267" s="32">
        <v>44657.0</v>
      </c>
      <c r="P267" s="42">
        <v>875.0</v>
      </c>
      <c r="Q267" s="32">
        <v>45753.0</v>
      </c>
      <c r="R267" s="8" t="s">
        <v>174</v>
      </c>
      <c r="S267" s="8" t="s">
        <v>484</v>
      </c>
      <c r="T267" s="8" t="s">
        <v>115</v>
      </c>
      <c r="U267" s="8" t="s">
        <v>53</v>
      </c>
    </row>
    <row r="268">
      <c r="A268" s="8" t="s">
        <v>1626</v>
      </c>
      <c r="B268" s="8" t="s">
        <v>1629</v>
      </c>
      <c r="C268" s="8" t="s">
        <v>71</v>
      </c>
      <c r="D268" s="8" t="s">
        <v>54</v>
      </c>
      <c r="E268" s="8" t="s">
        <v>45</v>
      </c>
      <c r="F268" s="8" t="s">
        <v>2708</v>
      </c>
      <c r="G268" s="8" t="s">
        <v>174</v>
      </c>
      <c r="H268" s="8" t="s">
        <v>2709</v>
      </c>
      <c r="I268" s="8" t="s">
        <v>55</v>
      </c>
      <c r="J268" s="8" t="s">
        <v>70</v>
      </c>
      <c r="K268" s="7">
        <v>6.40864E7</v>
      </c>
      <c r="L268" s="8" t="s">
        <v>52</v>
      </c>
      <c r="M268" s="8" t="s">
        <v>174</v>
      </c>
      <c r="N268" s="8" t="s">
        <v>45</v>
      </c>
      <c r="O268" s="32">
        <v>44573.0</v>
      </c>
      <c r="P268" s="7">
        <v>0.0</v>
      </c>
      <c r="Q268" s="32">
        <v>48225.0</v>
      </c>
      <c r="R268" s="8" t="s">
        <v>51</v>
      </c>
      <c r="S268" s="8" t="s">
        <v>54</v>
      </c>
      <c r="T268" s="8" t="s">
        <v>49</v>
      </c>
      <c r="U268" s="8" t="s">
        <v>53</v>
      </c>
    </row>
    <row r="269">
      <c r="A269" s="8" t="s">
        <v>1626</v>
      </c>
      <c r="B269" s="8" t="s">
        <v>1629</v>
      </c>
      <c r="C269" s="8" t="s">
        <v>71</v>
      </c>
      <c r="D269" s="8" t="s">
        <v>54</v>
      </c>
      <c r="E269" s="8" t="s">
        <v>45</v>
      </c>
      <c r="F269" s="8" t="s">
        <v>2711</v>
      </c>
      <c r="G269" s="8" t="s">
        <v>174</v>
      </c>
      <c r="H269" s="8" t="s">
        <v>2712</v>
      </c>
      <c r="I269" s="8" t="s">
        <v>55</v>
      </c>
      <c r="J269" s="8" t="s">
        <v>70</v>
      </c>
      <c r="K269" s="7">
        <v>6.40864E7</v>
      </c>
      <c r="L269" s="8" t="s">
        <v>52</v>
      </c>
      <c r="M269" s="8" t="s">
        <v>174</v>
      </c>
      <c r="N269" s="8" t="s">
        <v>45</v>
      </c>
      <c r="O269" s="32">
        <v>44573.0</v>
      </c>
      <c r="P269" s="7">
        <v>0.0</v>
      </c>
      <c r="Q269" s="32">
        <v>47130.0</v>
      </c>
      <c r="R269" s="8" t="s">
        <v>69</v>
      </c>
      <c r="S269" s="8" t="s">
        <v>54</v>
      </c>
      <c r="T269" s="8" t="s">
        <v>49</v>
      </c>
      <c r="U269" s="8" t="s">
        <v>53</v>
      </c>
    </row>
    <row r="270">
      <c r="A270" s="8" t="s">
        <v>1626</v>
      </c>
      <c r="B270" s="8" t="s">
        <v>1629</v>
      </c>
      <c r="C270" s="8" t="s">
        <v>71</v>
      </c>
      <c r="D270" s="8" t="s">
        <v>54</v>
      </c>
      <c r="E270" s="8" t="s">
        <v>45</v>
      </c>
      <c r="F270" s="8" t="s">
        <v>2714</v>
      </c>
      <c r="G270" s="8" t="s">
        <v>174</v>
      </c>
      <c r="H270" s="8" t="s">
        <v>2715</v>
      </c>
      <c r="I270" s="8" t="s">
        <v>55</v>
      </c>
      <c r="J270" s="8" t="s">
        <v>70</v>
      </c>
      <c r="K270" s="7">
        <v>6.40864E7</v>
      </c>
      <c r="L270" s="8" t="s">
        <v>52</v>
      </c>
      <c r="M270" s="8" t="s">
        <v>174</v>
      </c>
      <c r="N270" s="8" t="s">
        <v>45</v>
      </c>
      <c r="O270" s="32">
        <v>44573.0</v>
      </c>
      <c r="P270" s="7">
        <v>0.0</v>
      </c>
      <c r="Q270" s="32">
        <v>46399.0</v>
      </c>
      <c r="R270" s="8" t="s">
        <v>76</v>
      </c>
      <c r="S270" s="8" t="s">
        <v>54</v>
      </c>
      <c r="T270" s="8" t="s">
        <v>49</v>
      </c>
      <c r="U270" s="8" t="s">
        <v>53</v>
      </c>
    </row>
    <row r="271">
      <c r="A271" s="8" t="s">
        <v>166</v>
      </c>
      <c r="B271" s="8" t="s">
        <v>169</v>
      </c>
      <c r="C271" s="8" t="s">
        <v>57</v>
      </c>
      <c r="D271" s="45">
        <v>1.4388</v>
      </c>
      <c r="E271" s="8" t="s">
        <v>171</v>
      </c>
      <c r="F271" s="8" t="s">
        <v>2663</v>
      </c>
      <c r="G271" s="8" t="s">
        <v>2664</v>
      </c>
      <c r="H271" s="8" t="s">
        <v>2665</v>
      </c>
      <c r="I271" s="8" t="s">
        <v>55</v>
      </c>
      <c r="J271" s="8" t="s">
        <v>56</v>
      </c>
      <c r="K271" s="7" t="s">
        <v>5386</v>
      </c>
      <c r="L271" s="8" t="s">
        <v>52</v>
      </c>
      <c r="M271" s="8" t="s">
        <v>1771</v>
      </c>
      <c r="N271" s="8" t="s">
        <v>170</v>
      </c>
      <c r="O271" s="32">
        <v>44657.0</v>
      </c>
      <c r="P271" s="7" t="s">
        <v>5214</v>
      </c>
      <c r="Q271" s="32">
        <v>45753.0</v>
      </c>
      <c r="R271" s="8" t="s">
        <v>174</v>
      </c>
      <c r="S271" s="8" t="s">
        <v>175</v>
      </c>
      <c r="T271" s="8" t="s">
        <v>49</v>
      </c>
      <c r="U271" s="8" t="s">
        <v>53</v>
      </c>
    </row>
    <row r="272">
      <c r="A272" s="8" t="s">
        <v>477</v>
      </c>
      <c r="B272" s="8" t="s">
        <v>480</v>
      </c>
      <c r="C272" s="8" t="s">
        <v>57</v>
      </c>
      <c r="D272" s="45">
        <v>1.1715</v>
      </c>
      <c r="E272" s="8" t="s">
        <v>45</v>
      </c>
      <c r="F272" s="8" t="s">
        <v>2119</v>
      </c>
      <c r="G272" s="8" t="s">
        <v>2120</v>
      </c>
      <c r="H272" s="8" t="s">
        <v>2121</v>
      </c>
      <c r="I272" s="8" t="s">
        <v>55</v>
      </c>
      <c r="J272" s="8" t="s">
        <v>56</v>
      </c>
      <c r="K272" s="7">
        <v>8653040.0</v>
      </c>
      <c r="L272" s="8" t="s">
        <v>483</v>
      </c>
      <c r="M272" s="8" t="s">
        <v>174</v>
      </c>
      <c r="N272" s="8" t="s">
        <v>45</v>
      </c>
      <c r="O272" s="32">
        <v>44665.0</v>
      </c>
      <c r="P272" s="7">
        <v>1.0</v>
      </c>
      <c r="Q272" s="32">
        <v>45761.0</v>
      </c>
      <c r="R272" s="8" t="s">
        <v>226</v>
      </c>
      <c r="S272" s="8" t="s">
        <v>484</v>
      </c>
      <c r="T272" s="8" t="s">
        <v>49</v>
      </c>
      <c r="U272" s="8" t="s">
        <v>53</v>
      </c>
    </row>
    <row r="273">
      <c r="A273" s="8" t="s">
        <v>477</v>
      </c>
      <c r="B273" s="8" t="s">
        <v>480</v>
      </c>
      <c r="C273" s="8" t="s">
        <v>57</v>
      </c>
      <c r="D273" s="45">
        <v>1.1</v>
      </c>
      <c r="E273" s="8" t="s">
        <v>45</v>
      </c>
      <c r="F273" s="8" t="s">
        <v>2123</v>
      </c>
      <c r="G273" s="8" t="s">
        <v>2124</v>
      </c>
      <c r="H273" s="8" t="s">
        <v>2125</v>
      </c>
      <c r="I273" s="8" t="s">
        <v>55</v>
      </c>
      <c r="J273" s="8" t="s">
        <v>56</v>
      </c>
      <c r="K273" s="7">
        <v>2.15588E7</v>
      </c>
      <c r="L273" s="8" t="s">
        <v>483</v>
      </c>
      <c r="M273" s="8" t="s">
        <v>174</v>
      </c>
      <c r="N273" s="8" t="s">
        <v>45</v>
      </c>
      <c r="O273" s="32">
        <v>44673.0</v>
      </c>
      <c r="P273" s="7" t="s">
        <v>5387</v>
      </c>
      <c r="Q273" s="32">
        <v>45769.0</v>
      </c>
      <c r="R273" s="8" t="s">
        <v>226</v>
      </c>
      <c r="S273" s="8" t="s">
        <v>484</v>
      </c>
      <c r="T273" s="8" t="s">
        <v>49</v>
      </c>
      <c r="U273" s="8" t="s">
        <v>53</v>
      </c>
    </row>
    <row r="274">
      <c r="A274" s="8" t="s">
        <v>980</v>
      </c>
      <c r="B274" s="8" t="s">
        <v>983</v>
      </c>
      <c r="C274" s="8" t="s">
        <v>57</v>
      </c>
      <c r="D274" s="8" t="s">
        <v>54</v>
      </c>
      <c r="E274" s="8" t="s">
        <v>200</v>
      </c>
      <c r="F274" s="8" t="s">
        <v>2623</v>
      </c>
      <c r="G274" s="8" t="s">
        <v>2624</v>
      </c>
      <c r="H274" s="8" t="s">
        <v>2625</v>
      </c>
      <c r="I274" s="8" t="s">
        <v>55</v>
      </c>
      <c r="J274" s="8" t="s">
        <v>56</v>
      </c>
      <c r="K274" s="7">
        <v>8.749492E7</v>
      </c>
      <c r="L274" s="8" t="s">
        <v>52</v>
      </c>
      <c r="M274" s="8" t="s">
        <v>1776</v>
      </c>
      <c r="N274" s="8" t="s">
        <v>200</v>
      </c>
      <c r="O274" s="32">
        <v>41416.0</v>
      </c>
      <c r="P274" s="42">
        <v>3375.0</v>
      </c>
      <c r="Q274" s="32">
        <v>45068.0</v>
      </c>
      <c r="R274" s="8" t="s">
        <v>226</v>
      </c>
      <c r="S274" s="8" t="s">
        <v>175</v>
      </c>
      <c r="T274" s="8" t="s">
        <v>49</v>
      </c>
      <c r="U274" s="8" t="s">
        <v>53</v>
      </c>
    </row>
    <row r="275">
      <c r="A275" s="8" t="s">
        <v>833</v>
      </c>
      <c r="B275" s="8" t="s">
        <v>169</v>
      </c>
      <c r="C275" s="8" t="s">
        <v>57</v>
      </c>
      <c r="D275" s="8" t="s">
        <v>54</v>
      </c>
      <c r="E275" s="8" t="s">
        <v>171</v>
      </c>
      <c r="F275" s="8" t="s">
        <v>2683</v>
      </c>
      <c r="G275" s="8" t="s">
        <v>2684</v>
      </c>
      <c r="H275" s="8" t="s">
        <v>2685</v>
      </c>
      <c r="I275" s="8" t="s">
        <v>55</v>
      </c>
      <c r="J275" s="8" t="s">
        <v>56</v>
      </c>
      <c r="K275" s="7">
        <v>5.0E7</v>
      </c>
      <c r="L275" s="8" t="s">
        <v>52</v>
      </c>
      <c r="M275" s="8" t="s">
        <v>1771</v>
      </c>
      <c r="N275" s="8" t="s">
        <v>170</v>
      </c>
      <c r="O275" s="32">
        <v>41428.0</v>
      </c>
      <c r="P275" s="7" t="s">
        <v>5388</v>
      </c>
      <c r="Q275" s="32">
        <v>48733.0</v>
      </c>
      <c r="R275" s="8" t="s">
        <v>226</v>
      </c>
      <c r="S275" s="8" t="s">
        <v>175</v>
      </c>
      <c r="T275" s="8" t="s">
        <v>49</v>
      </c>
      <c r="U275" s="8" t="s">
        <v>263</v>
      </c>
    </row>
    <row r="276">
      <c r="A276" s="8" t="s">
        <v>980</v>
      </c>
      <c r="B276" s="8" t="s">
        <v>983</v>
      </c>
      <c r="C276" s="8" t="s">
        <v>57</v>
      </c>
      <c r="D276" s="8" t="s">
        <v>54</v>
      </c>
      <c r="E276" s="8" t="s">
        <v>200</v>
      </c>
      <c r="F276" s="8" t="s">
        <v>2627</v>
      </c>
      <c r="G276" s="8" t="s">
        <v>2628</v>
      </c>
      <c r="H276" s="8" t="s">
        <v>2629</v>
      </c>
      <c r="I276" s="8" t="s">
        <v>55</v>
      </c>
      <c r="J276" s="8" t="s">
        <v>56</v>
      </c>
      <c r="K276" s="7">
        <v>4.117408E7</v>
      </c>
      <c r="L276" s="8" t="s">
        <v>52</v>
      </c>
      <c r="M276" s="8" t="s">
        <v>1776</v>
      </c>
      <c r="N276" s="8" t="s">
        <v>200</v>
      </c>
      <c r="O276" s="32">
        <v>41416.0</v>
      </c>
      <c r="P276" s="7" t="s">
        <v>5245</v>
      </c>
      <c r="Q276" s="32">
        <v>45799.0</v>
      </c>
      <c r="R276" s="8" t="s">
        <v>226</v>
      </c>
      <c r="S276" s="8" t="s">
        <v>175</v>
      </c>
      <c r="T276" s="8" t="s">
        <v>49</v>
      </c>
      <c r="U276" s="8" t="s">
        <v>53</v>
      </c>
    </row>
    <row r="277">
      <c r="A277" s="8" t="s">
        <v>614</v>
      </c>
      <c r="B277" s="8" t="s">
        <v>617</v>
      </c>
      <c r="C277" s="8" t="s">
        <v>57</v>
      </c>
      <c r="D277" s="8" t="s">
        <v>54</v>
      </c>
      <c r="E277" s="8" t="s">
        <v>200</v>
      </c>
      <c r="F277" s="8" t="s">
        <v>2501</v>
      </c>
      <c r="G277" s="8" t="s">
        <v>2502</v>
      </c>
      <c r="H277" s="8" t="s">
        <v>2503</v>
      </c>
      <c r="I277" s="8" t="s">
        <v>117</v>
      </c>
      <c r="J277" s="8" t="s">
        <v>56</v>
      </c>
      <c r="K277" s="7" t="s">
        <v>5389</v>
      </c>
      <c r="L277" s="8" t="s">
        <v>52</v>
      </c>
      <c r="M277" s="8" t="s">
        <v>1771</v>
      </c>
      <c r="N277" s="8" t="s">
        <v>200</v>
      </c>
      <c r="O277" s="32">
        <v>41464.0</v>
      </c>
      <c r="P277" s="7" t="s">
        <v>5244</v>
      </c>
      <c r="Q277" s="32">
        <v>45117.0</v>
      </c>
      <c r="R277" s="8" t="s">
        <v>226</v>
      </c>
      <c r="S277" s="8" t="s">
        <v>620</v>
      </c>
      <c r="T277" s="8" t="s">
        <v>49</v>
      </c>
      <c r="U277" s="8" t="s">
        <v>53</v>
      </c>
    </row>
    <row r="278">
      <c r="A278" s="8" t="s">
        <v>477</v>
      </c>
      <c r="B278" s="8" t="s">
        <v>480</v>
      </c>
      <c r="C278" s="8" t="s">
        <v>57</v>
      </c>
      <c r="D278" s="8" t="s">
        <v>54</v>
      </c>
      <c r="E278" s="8" t="s">
        <v>45</v>
      </c>
      <c r="F278" s="8" t="s">
        <v>2127</v>
      </c>
      <c r="G278" s="8" t="s">
        <v>2128</v>
      </c>
      <c r="H278" s="8" t="s">
        <v>2129</v>
      </c>
      <c r="I278" s="8" t="s">
        <v>55</v>
      </c>
      <c r="J278" s="8" t="s">
        <v>56</v>
      </c>
      <c r="K278" s="7">
        <v>2.66212E7</v>
      </c>
      <c r="L278" s="8" t="s">
        <v>2012</v>
      </c>
      <c r="M278" s="8" t="s">
        <v>2130</v>
      </c>
      <c r="N278" s="8" t="s">
        <v>45</v>
      </c>
      <c r="O278" s="32">
        <v>41529.0</v>
      </c>
      <c r="P278" s="7" t="s">
        <v>5390</v>
      </c>
      <c r="Q278" s="32">
        <v>44816.0</v>
      </c>
      <c r="R278" s="8">
        <v>78.0</v>
      </c>
      <c r="S278" s="8" t="s">
        <v>190</v>
      </c>
      <c r="T278" s="8" t="s">
        <v>49</v>
      </c>
      <c r="U278" s="8" t="s">
        <v>53</v>
      </c>
    </row>
    <row r="279">
      <c r="A279" s="8" t="s">
        <v>614</v>
      </c>
      <c r="B279" s="8" t="s">
        <v>617</v>
      </c>
      <c r="C279" s="8" t="s">
        <v>57</v>
      </c>
      <c r="D279" s="8" t="s">
        <v>54</v>
      </c>
      <c r="E279" s="8" t="s">
        <v>200</v>
      </c>
      <c r="F279" s="8" t="s">
        <v>2505</v>
      </c>
      <c r="G279" s="8" t="s">
        <v>2506</v>
      </c>
      <c r="H279" s="8" t="s">
        <v>2507</v>
      </c>
      <c r="I279" s="8" t="s">
        <v>117</v>
      </c>
      <c r="J279" s="8" t="s">
        <v>56</v>
      </c>
      <c r="K279" s="7" t="s">
        <v>5391</v>
      </c>
      <c r="L279" s="8" t="s">
        <v>52</v>
      </c>
      <c r="M279" s="8" t="s">
        <v>1771</v>
      </c>
      <c r="N279" s="8" t="s">
        <v>200</v>
      </c>
      <c r="O279" s="32">
        <v>41529.0</v>
      </c>
      <c r="P279" s="7" t="s">
        <v>5347</v>
      </c>
      <c r="Q279" s="32">
        <v>45912.0</v>
      </c>
      <c r="R279" s="8" t="s">
        <v>226</v>
      </c>
      <c r="S279" s="8" t="s">
        <v>620</v>
      </c>
      <c r="T279" s="8" t="s">
        <v>49</v>
      </c>
      <c r="U279" s="8" t="s">
        <v>53</v>
      </c>
    </row>
    <row r="280">
      <c r="A280" s="8" t="s">
        <v>1519</v>
      </c>
      <c r="B280" s="8" t="s">
        <v>1522</v>
      </c>
      <c r="C280" s="8" t="s">
        <v>57</v>
      </c>
      <c r="D280" s="8" t="s">
        <v>54</v>
      </c>
      <c r="E280" s="8" t="s">
        <v>185</v>
      </c>
      <c r="F280" s="8" t="s">
        <v>3124</v>
      </c>
      <c r="G280" s="8" t="s">
        <v>3125</v>
      </c>
      <c r="H280" s="8" t="s">
        <v>3126</v>
      </c>
      <c r="I280" s="8" t="s">
        <v>117</v>
      </c>
      <c r="J280" s="8" t="s">
        <v>56</v>
      </c>
      <c r="K280" s="7" t="s">
        <v>5392</v>
      </c>
      <c r="L280" s="8" t="s">
        <v>52</v>
      </c>
      <c r="M280" s="8" t="s">
        <v>1771</v>
      </c>
      <c r="N280" s="8" t="s">
        <v>185</v>
      </c>
      <c r="O280" s="32">
        <v>41592.0</v>
      </c>
      <c r="P280" s="7" t="s">
        <v>5219</v>
      </c>
      <c r="Q280" s="32">
        <v>45244.0</v>
      </c>
      <c r="R280" s="8" t="s">
        <v>226</v>
      </c>
      <c r="S280" s="8" t="s">
        <v>484</v>
      </c>
      <c r="T280" s="8" t="s">
        <v>115</v>
      </c>
      <c r="U280" s="8" t="s">
        <v>53</v>
      </c>
    </row>
    <row r="281">
      <c r="A281" s="8" t="s">
        <v>775</v>
      </c>
      <c r="B281" s="8" t="s">
        <v>778</v>
      </c>
      <c r="C281" s="8" t="s">
        <v>57</v>
      </c>
      <c r="D281" s="8" t="s">
        <v>54</v>
      </c>
      <c r="E281" s="8" t="s">
        <v>200</v>
      </c>
      <c r="F281" s="8" t="s">
        <v>1782</v>
      </c>
      <c r="G281" s="8" t="s">
        <v>1783</v>
      </c>
      <c r="H281" s="8" t="s">
        <v>1784</v>
      </c>
      <c r="I281" s="8" t="s">
        <v>55</v>
      </c>
      <c r="J281" s="8" t="s">
        <v>56</v>
      </c>
      <c r="K281" s="7" t="s">
        <v>5393</v>
      </c>
      <c r="L281" s="8" t="s">
        <v>52</v>
      </c>
      <c r="M281" s="8" t="s">
        <v>1771</v>
      </c>
      <c r="N281" s="8" t="s">
        <v>200</v>
      </c>
      <c r="O281" s="32">
        <v>41612.0</v>
      </c>
      <c r="P281" s="7">
        <v>4.0</v>
      </c>
      <c r="Q281" s="32">
        <v>45264.0</v>
      </c>
      <c r="R281" s="8" t="s">
        <v>226</v>
      </c>
      <c r="S281" s="8" t="s">
        <v>190</v>
      </c>
      <c r="T281" s="8" t="s">
        <v>49</v>
      </c>
      <c r="U281" s="8" t="s">
        <v>53</v>
      </c>
    </row>
    <row r="282">
      <c r="A282" s="8" t="s">
        <v>814</v>
      </c>
      <c r="B282" s="8" t="s">
        <v>817</v>
      </c>
      <c r="C282" s="8" t="s">
        <v>57</v>
      </c>
      <c r="D282" s="8" t="s">
        <v>54</v>
      </c>
      <c r="E282" s="8" t="s">
        <v>185</v>
      </c>
      <c r="F282" s="8" t="s">
        <v>3445</v>
      </c>
      <c r="G282" s="8" t="s">
        <v>3446</v>
      </c>
      <c r="H282" s="8" t="s">
        <v>3447</v>
      </c>
      <c r="I282" s="8" t="s">
        <v>133</v>
      </c>
      <c r="J282" s="8" t="s">
        <v>56</v>
      </c>
      <c r="K282" s="7" t="s">
        <v>5394</v>
      </c>
      <c r="L282" s="8" t="s">
        <v>52</v>
      </c>
      <c r="M282" s="8" t="s">
        <v>1771</v>
      </c>
      <c r="N282" s="8" t="s">
        <v>185</v>
      </c>
      <c r="O282" s="32">
        <v>41661.0</v>
      </c>
      <c r="P282" s="7" t="s">
        <v>5244</v>
      </c>
      <c r="Q282" s="32">
        <v>45313.0</v>
      </c>
      <c r="R282" s="8" t="s">
        <v>226</v>
      </c>
      <c r="S282" s="8" t="s">
        <v>264</v>
      </c>
      <c r="T282" s="8" t="s">
        <v>49</v>
      </c>
      <c r="U282" s="8" t="s">
        <v>53</v>
      </c>
    </row>
    <row r="283">
      <c r="A283" s="8" t="s">
        <v>1360</v>
      </c>
      <c r="B283" s="8" t="s">
        <v>1363</v>
      </c>
      <c r="C283" s="8" t="s">
        <v>57</v>
      </c>
      <c r="D283" s="42">
        <v>3367.0</v>
      </c>
      <c r="E283" s="8" t="s">
        <v>200</v>
      </c>
      <c r="F283" s="8" t="s">
        <v>3246</v>
      </c>
      <c r="G283" s="8" t="s">
        <v>3247</v>
      </c>
      <c r="H283" s="8" t="s">
        <v>3248</v>
      </c>
      <c r="I283" s="8" t="s">
        <v>117</v>
      </c>
      <c r="J283" s="8" t="s">
        <v>56</v>
      </c>
      <c r="K283" s="7" t="s">
        <v>5395</v>
      </c>
      <c r="L283" s="8" t="s">
        <v>52</v>
      </c>
      <c r="M283" s="8" t="s">
        <v>1771</v>
      </c>
      <c r="N283" s="8" t="s">
        <v>200</v>
      </c>
      <c r="O283" s="32">
        <v>41661.0</v>
      </c>
      <c r="P283" s="7" t="s">
        <v>5244</v>
      </c>
      <c r="Q283" s="32">
        <v>45313.0</v>
      </c>
      <c r="R283" s="8" t="s">
        <v>226</v>
      </c>
      <c r="S283" s="8" t="s">
        <v>175</v>
      </c>
      <c r="T283" s="8" t="s">
        <v>49</v>
      </c>
      <c r="U283" s="8" t="s">
        <v>53</v>
      </c>
    </row>
    <row r="284">
      <c r="A284" s="8" t="s">
        <v>166</v>
      </c>
      <c r="B284" s="8" t="s">
        <v>169</v>
      </c>
      <c r="C284" s="8" t="s">
        <v>57</v>
      </c>
      <c r="D284" s="42">
        <v>3068.0</v>
      </c>
      <c r="E284" s="8" t="s">
        <v>171</v>
      </c>
      <c r="F284" s="8" t="s">
        <v>2667</v>
      </c>
      <c r="G284" s="8" t="s">
        <v>2668</v>
      </c>
      <c r="H284" s="8" t="s">
        <v>2669</v>
      </c>
      <c r="I284" s="8" t="s">
        <v>55</v>
      </c>
      <c r="J284" s="8" t="s">
        <v>56</v>
      </c>
      <c r="K284" s="7" t="s">
        <v>5396</v>
      </c>
      <c r="L284" s="8" t="s">
        <v>52</v>
      </c>
      <c r="M284" s="8" t="s">
        <v>1771</v>
      </c>
      <c r="N284" s="8" t="s">
        <v>170</v>
      </c>
      <c r="O284" s="32">
        <v>41661.0</v>
      </c>
      <c r="P284" s="7">
        <v>3.0</v>
      </c>
      <c r="Q284" s="32">
        <v>45313.0</v>
      </c>
      <c r="R284" s="8" t="s">
        <v>2135</v>
      </c>
      <c r="S284" s="8" t="s">
        <v>175</v>
      </c>
      <c r="T284" s="8" t="s">
        <v>49</v>
      </c>
      <c r="U284" s="8" t="s">
        <v>53</v>
      </c>
    </row>
    <row r="285">
      <c r="A285" s="8" t="s">
        <v>614</v>
      </c>
      <c r="B285" s="8" t="s">
        <v>617</v>
      </c>
      <c r="C285" s="8" t="s">
        <v>57</v>
      </c>
      <c r="D285" s="7" t="s">
        <v>5397</v>
      </c>
      <c r="E285" s="8" t="s">
        <v>200</v>
      </c>
      <c r="F285" s="8" t="s">
        <v>2509</v>
      </c>
      <c r="G285" s="8" t="s">
        <v>2510</v>
      </c>
      <c r="H285" s="8" t="s">
        <v>2511</v>
      </c>
      <c r="I285" s="8" t="s">
        <v>117</v>
      </c>
      <c r="J285" s="8" t="s">
        <v>56</v>
      </c>
      <c r="K285" s="7" t="s">
        <v>5398</v>
      </c>
      <c r="L285" s="8" t="s">
        <v>52</v>
      </c>
      <c r="M285" s="8" t="s">
        <v>1771</v>
      </c>
      <c r="N285" s="8" t="s">
        <v>200</v>
      </c>
      <c r="O285" s="32">
        <v>41667.0</v>
      </c>
      <c r="P285" s="42">
        <v>3625.0</v>
      </c>
      <c r="Q285" s="32">
        <v>47147.0</v>
      </c>
      <c r="R285" s="8" t="s">
        <v>226</v>
      </c>
      <c r="S285" s="8" t="s">
        <v>620</v>
      </c>
      <c r="T285" s="8" t="s">
        <v>49</v>
      </c>
      <c r="U285" s="8" t="s">
        <v>53</v>
      </c>
    </row>
    <row r="286">
      <c r="A286" s="8" t="s">
        <v>1167</v>
      </c>
      <c r="B286" s="8" t="s">
        <v>1170</v>
      </c>
      <c r="C286" s="8" t="s">
        <v>57</v>
      </c>
      <c r="D286" s="42">
        <v>3439.0</v>
      </c>
      <c r="E286" s="8" t="s">
        <v>200</v>
      </c>
      <c r="F286" s="8" t="s">
        <v>1833</v>
      </c>
      <c r="G286" s="8" t="s">
        <v>1834</v>
      </c>
      <c r="H286" s="8" t="s">
        <v>1835</v>
      </c>
      <c r="I286" s="8" t="s">
        <v>55</v>
      </c>
      <c r="J286" s="8" t="s">
        <v>56</v>
      </c>
      <c r="K286" s="7" t="s">
        <v>5399</v>
      </c>
      <c r="L286" s="8" t="s">
        <v>1830</v>
      </c>
      <c r="M286" s="8" t="s">
        <v>1831</v>
      </c>
      <c r="N286" s="8" t="s">
        <v>200</v>
      </c>
      <c r="O286" s="32">
        <v>41683.0</v>
      </c>
      <c r="P286" s="42">
        <v>3375.0</v>
      </c>
      <c r="Q286" s="32">
        <v>45335.0</v>
      </c>
      <c r="R286" s="8" t="s">
        <v>226</v>
      </c>
      <c r="S286" s="8" t="s">
        <v>497</v>
      </c>
      <c r="T286" s="8" t="s">
        <v>49</v>
      </c>
      <c r="U286" s="8" t="s">
        <v>53</v>
      </c>
    </row>
    <row r="287">
      <c r="A287" s="8" t="s">
        <v>477</v>
      </c>
      <c r="B287" s="8" t="s">
        <v>480</v>
      </c>
      <c r="C287" s="8" t="s">
        <v>57</v>
      </c>
      <c r="D287" s="8" t="s">
        <v>54</v>
      </c>
      <c r="E287" s="8" t="s">
        <v>45</v>
      </c>
      <c r="F287" s="8" t="s">
        <v>2132</v>
      </c>
      <c r="G287" s="8" t="s">
        <v>2133</v>
      </c>
      <c r="H287" s="8" t="s">
        <v>2134</v>
      </c>
      <c r="I287" s="8" t="s">
        <v>55</v>
      </c>
      <c r="J287" s="8" t="s">
        <v>56</v>
      </c>
      <c r="K287" s="7">
        <v>3.417425E7</v>
      </c>
      <c r="L287" s="8" t="s">
        <v>2012</v>
      </c>
      <c r="M287" s="8" t="s">
        <v>2130</v>
      </c>
      <c r="N287" s="8" t="s">
        <v>45</v>
      </c>
      <c r="O287" s="32">
        <v>41683.0</v>
      </c>
      <c r="P287" s="7" t="s">
        <v>5219</v>
      </c>
      <c r="Q287" s="32">
        <v>46066.0</v>
      </c>
      <c r="R287" s="8" t="s">
        <v>2135</v>
      </c>
      <c r="S287" s="8" t="s">
        <v>190</v>
      </c>
      <c r="T287" s="8" t="s">
        <v>49</v>
      </c>
      <c r="U287" s="8" t="s">
        <v>53</v>
      </c>
    </row>
    <row r="288">
      <c r="A288" s="8" t="s">
        <v>477</v>
      </c>
      <c r="B288" s="8" t="s">
        <v>480</v>
      </c>
      <c r="C288" s="8" t="s">
        <v>57</v>
      </c>
      <c r="D288" s="8" t="s">
        <v>54</v>
      </c>
      <c r="E288" s="8" t="s">
        <v>45</v>
      </c>
      <c r="F288" s="8" t="s">
        <v>2137</v>
      </c>
      <c r="G288" s="8" t="s">
        <v>2138</v>
      </c>
      <c r="H288" s="8" t="s">
        <v>2139</v>
      </c>
      <c r="I288" s="8" t="s">
        <v>55</v>
      </c>
      <c r="J288" s="8" t="s">
        <v>56</v>
      </c>
      <c r="K288" s="7">
        <v>6876950.0</v>
      </c>
      <c r="L288" s="8" t="s">
        <v>2012</v>
      </c>
      <c r="M288" s="8" t="s">
        <v>2130</v>
      </c>
      <c r="N288" s="8" t="s">
        <v>45</v>
      </c>
      <c r="O288" s="32">
        <v>41688.0</v>
      </c>
      <c r="P288" s="42">
        <v>2125.0</v>
      </c>
      <c r="Q288" s="32">
        <v>44974.0</v>
      </c>
      <c r="R288" s="8" t="s">
        <v>226</v>
      </c>
      <c r="S288" s="8" t="s">
        <v>190</v>
      </c>
      <c r="T288" s="8" t="s">
        <v>49</v>
      </c>
      <c r="U288" s="8" t="s">
        <v>53</v>
      </c>
    </row>
    <row r="289">
      <c r="A289" s="8" t="s">
        <v>680</v>
      </c>
      <c r="B289" s="8" t="s">
        <v>683</v>
      </c>
      <c r="C289" s="8" t="s">
        <v>392</v>
      </c>
      <c r="D289" s="8" t="s">
        <v>54</v>
      </c>
      <c r="E289" s="8" t="s">
        <v>368</v>
      </c>
      <c r="F289" s="8" t="s">
        <v>3286</v>
      </c>
      <c r="G289" s="8" t="s">
        <v>3287</v>
      </c>
      <c r="H289" s="8" t="s">
        <v>3288</v>
      </c>
      <c r="I289" s="8" t="s">
        <v>55</v>
      </c>
      <c r="J289" s="8" t="s">
        <v>343</v>
      </c>
      <c r="K289" s="7">
        <v>5.0E7</v>
      </c>
      <c r="L289" s="8" t="s">
        <v>459</v>
      </c>
      <c r="M289" s="8" t="s">
        <v>1771</v>
      </c>
      <c r="N289" s="8" t="s">
        <v>368</v>
      </c>
      <c r="O289" s="32">
        <v>41724.0</v>
      </c>
      <c r="P289" s="7" t="s">
        <v>5400</v>
      </c>
      <c r="Q289" s="32">
        <v>49035.0</v>
      </c>
      <c r="R289" s="8" t="s">
        <v>174</v>
      </c>
      <c r="S289" s="8" t="s">
        <v>190</v>
      </c>
      <c r="T289" s="8" t="s">
        <v>49</v>
      </c>
      <c r="U289" s="8" t="s">
        <v>263</v>
      </c>
    </row>
    <row r="290">
      <c r="A290" s="8" t="s">
        <v>469</v>
      </c>
      <c r="B290" s="8" t="s">
        <v>472</v>
      </c>
      <c r="C290" s="8" t="s">
        <v>57</v>
      </c>
      <c r="D290" s="7" t="s">
        <v>5401</v>
      </c>
      <c r="E290" s="8" t="s">
        <v>258</v>
      </c>
      <c r="F290" s="8" t="s">
        <v>2808</v>
      </c>
      <c r="G290" s="8" t="s">
        <v>2809</v>
      </c>
      <c r="H290" s="8" t="s">
        <v>2810</v>
      </c>
      <c r="I290" s="8" t="s">
        <v>55</v>
      </c>
      <c r="J290" s="8" t="s">
        <v>56</v>
      </c>
      <c r="K290" s="7" t="s">
        <v>5402</v>
      </c>
      <c r="L290" s="8" t="s">
        <v>52</v>
      </c>
      <c r="M290" s="8" t="s">
        <v>174</v>
      </c>
      <c r="N290" s="8" t="s">
        <v>258</v>
      </c>
      <c r="O290" s="32">
        <v>41815.0</v>
      </c>
      <c r="P290" s="7">
        <v>3.0</v>
      </c>
      <c r="Q290" s="32">
        <v>46198.0</v>
      </c>
      <c r="R290" s="8" t="s">
        <v>226</v>
      </c>
      <c r="S290" s="8" t="s">
        <v>190</v>
      </c>
      <c r="T290" s="8" t="s">
        <v>49</v>
      </c>
      <c r="U290" s="8" t="s">
        <v>53</v>
      </c>
    </row>
    <row r="291">
      <c r="A291" s="8" t="s">
        <v>1158</v>
      </c>
      <c r="B291" s="8" t="s">
        <v>1161</v>
      </c>
      <c r="C291" s="8" t="s">
        <v>57</v>
      </c>
      <c r="D291" s="8" t="s">
        <v>54</v>
      </c>
      <c r="E291" s="8" t="s">
        <v>185</v>
      </c>
      <c r="F291" s="8" t="s">
        <v>1803</v>
      </c>
      <c r="G291" s="8" t="s">
        <v>1804</v>
      </c>
      <c r="H291" s="8" t="s">
        <v>1805</v>
      </c>
      <c r="I291" s="8" t="s">
        <v>117</v>
      </c>
      <c r="J291" s="8" t="s">
        <v>1806</v>
      </c>
      <c r="K291" s="7" t="s">
        <v>5403</v>
      </c>
      <c r="L291" s="8" t="s">
        <v>52</v>
      </c>
      <c r="M291" s="8" t="s">
        <v>174</v>
      </c>
      <c r="N291" s="8" t="s">
        <v>185</v>
      </c>
      <c r="O291" s="32">
        <v>41817.0</v>
      </c>
      <c r="P291" s="7">
        <v>3.0</v>
      </c>
      <c r="Q291" s="32">
        <v>44739.0</v>
      </c>
      <c r="R291" s="8" t="s">
        <v>226</v>
      </c>
      <c r="S291" s="8" t="s">
        <v>264</v>
      </c>
      <c r="T291" s="8" t="s">
        <v>49</v>
      </c>
      <c r="U291" s="8" t="s">
        <v>1807</v>
      </c>
    </row>
    <row r="292">
      <c r="A292" s="8" t="s">
        <v>1487</v>
      </c>
      <c r="B292" s="8" t="s">
        <v>1490</v>
      </c>
      <c r="C292" s="8" t="s">
        <v>57</v>
      </c>
      <c r="D292" s="42">
        <v>1846.0</v>
      </c>
      <c r="E292" s="8" t="s">
        <v>185</v>
      </c>
      <c r="F292" s="8" t="s">
        <v>2272</v>
      </c>
      <c r="G292" s="8" t="s">
        <v>2273</v>
      </c>
      <c r="H292" s="8" t="s">
        <v>2274</v>
      </c>
      <c r="I292" s="8" t="s">
        <v>117</v>
      </c>
      <c r="J292" s="8" t="s">
        <v>56</v>
      </c>
      <c r="K292" s="7" t="s">
        <v>5404</v>
      </c>
      <c r="L292" s="8" t="s">
        <v>52</v>
      </c>
      <c r="M292" s="8" t="s">
        <v>1771</v>
      </c>
      <c r="N292" s="8" t="s">
        <v>185</v>
      </c>
      <c r="O292" s="32">
        <v>41835.0</v>
      </c>
      <c r="P292" s="7" t="s">
        <v>5238</v>
      </c>
      <c r="Q292" s="32">
        <v>44757.0</v>
      </c>
      <c r="R292" s="8" t="s">
        <v>226</v>
      </c>
      <c r="S292" s="8" t="s">
        <v>190</v>
      </c>
      <c r="T292" s="8" t="s">
        <v>115</v>
      </c>
      <c r="U292" s="8" t="s">
        <v>53</v>
      </c>
    </row>
    <row r="293">
      <c r="A293" s="8" t="s">
        <v>477</v>
      </c>
      <c r="B293" s="8" t="s">
        <v>480</v>
      </c>
      <c r="C293" s="8" t="s">
        <v>57</v>
      </c>
      <c r="D293" s="8" t="s">
        <v>54</v>
      </c>
      <c r="E293" s="8" t="s">
        <v>45</v>
      </c>
      <c r="F293" s="8" t="s">
        <v>2141</v>
      </c>
      <c r="G293" s="8" t="s">
        <v>2142</v>
      </c>
      <c r="H293" s="8" t="s">
        <v>2143</v>
      </c>
      <c r="I293" s="8" t="s">
        <v>55</v>
      </c>
      <c r="J293" s="8" t="s">
        <v>56</v>
      </c>
      <c r="K293" s="7">
        <v>6.8058E7</v>
      </c>
      <c r="L293" s="8" t="s">
        <v>459</v>
      </c>
      <c r="M293" s="8" t="s">
        <v>1771</v>
      </c>
      <c r="N293" s="8" t="s">
        <v>45</v>
      </c>
      <c r="O293" s="32">
        <v>41834.0</v>
      </c>
      <c r="P293" s="7" t="s">
        <v>5405</v>
      </c>
      <c r="Q293" s="32">
        <v>44756.0</v>
      </c>
      <c r="R293" s="8" t="s">
        <v>2135</v>
      </c>
      <c r="S293" s="8" t="s">
        <v>190</v>
      </c>
      <c r="T293" s="8" t="s">
        <v>49</v>
      </c>
      <c r="U293" s="8" t="s">
        <v>53</v>
      </c>
    </row>
    <row r="294">
      <c r="A294" s="8" t="s">
        <v>477</v>
      </c>
      <c r="B294" s="8" t="s">
        <v>480</v>
      </c>
      <c r="C294" s="8" t="s">
        <v>57</v>
      </c>
      <c r="D294" s="42">
        <v>1526.0</v>
      </c>
      <c r="E294" s="8" t="s">
        <v>45</v>
      </c>
      <c r="F294" s="8" t="s">
        <v>2145</v>
      </c>
      <c r="G294" s="8" t="s">
        <v>2146</v>
      </c>
      <c r="H294" s="8" t="s">
        <v>2147</v>
      </c>
      <c r="I294" s="8" t="s">
        <v>55</v>
      </c>
      <c r="J294" s="8" t="s">
        <v>56</v>
      </c>
      <c r="K294" s="7" t="s">
        <v>5406</v>
      </c>
      <c r="L294" s="8" t="s">
        <v>459</v>
      </c>
      <c r="M294" s="8" t="s">
        <v>1771</v>
      </c>
      <c r="N294" s="8" t="s">
        <v>45</v>
      </c>
      <c r="O294" s="32">
        <v>41834.0</v>
      </c>
      <c r="P294" s="7" t="s">
        <v>5407</v>
      </c>
      <c r="Q294" s="32">
        <v>45488.0</v>
      </c>
      <c r="R294" s="8" t="s">
        <v>2135</v>
      </c>
      <c r="S294" s="8" t="s">
        <v>190</v>
      </c>
      <c r="T294" s="8" t="s">
        <v>49</v>
      </c>
      <c r="U294" s="8" t="s">
        <v>53</v>
      </c>
    </row>
    <row r="295">
      <c r="A295" s="8" t="s">
        <v>254</v>
      </c>
      <c r="B295" s="8" t="s">
        <v>257</v>
      </c>
      <c r="C295" s="8" t="s">
        <v>71</v>
      </c>
      <c r="D295" s="7" t="s">
        <v>5408</v>
      </c>
      <c r="E295" s="8" t="s">
        <v>259</v>
      </c>
      <c r="F295" s="8" t="s">
        <v>2839</v>
      </c>
      <c r="G295" s="8" t="s">
        <v>2840</v>
      </c>
      <c r="H295" s="8" t="s">
        <v>2841</v>
      </c>
      <c r="I295" s="8" t="s">
        <v>55</v>
      </c>
      <c r="J295" s="8" t="s">
        <v>56</v>
      </c>
      <c r="K295" s="43">
        <v>5.0E8</v>
      </c>
      <c r="L295" s="8" t="s">
        <v>52</v>
      </c>
      <c r="M295" s="8" t="s">
        <v>1771</v>
      </c>
      <c r="N295" s="8" t="s">
        <v>258</v>
      </c>
      <c r="O295" s="32">
        <v>41836.0</v>
      </c>
      <c r="P295" s="7" t="s">
        <v>5408</v>
      </c>
      <c r="Q295" s="32">
        <v>45489.0</v>
      </c>
      <c r="R295" s="8" t="s">
        <v>262</v>
      </c>
      <c r="S295" s="8" t="s">
        <v>264</v>
      </c>
      <c r="T295" s="8" t="s">
        <v>49</v>
      </c>
      <c r="U295" s="8" t="s">
        <v>263</v>
      </c>
    </row>
    <row r="296">
      <c r="A296" s="8" t="s">
        <v>254</v>
      </c>
      <c r="B296" s="8" t="s">
        <v>257</v>
      </c>
      <c r="C296" s="8" t="s">
        <v>71</v>
      </c>
      <c r="D296" s="7" t="s">
        <v>5408</v>
      </c>
      <c r="E296" s="8" t="s">
        <v>259</v>
      </c>
      <c r="F296" s="8" t="s">
        <v>2843</v>
      </c>
      <c r="G296" s="8" t="s">
        <v>2844</v>
      </c>
      <c r="H296" s="8" t="s">
        <v>2845</v>
      </c>
      <c r="I296" s="8" t="s">
        <v>55</v>
      </c>
      <c r="J296" s="8" t="s">
        <v>56</v>
      </c>
      <c r="K296" s="43">
        <v>5.0E8</v>
      </c>
      <c r="L296" s="8" t="s">
        <v>52</v>
      </c>
      <c r="M296" s="8" t="s">
        <v>1771</v>
      </c>
      <c r="N296" s="8" t="s">
        <v>258</v>
      </c>
      <c r="O296" s="32">
        <v>41836.0</v>
      </c>
      <c r="P296" s="7" t="s">
        <v>5408</v>
      </c>
      <c r="Q296" s="32">
        <v>45489.0</v>
      </c>
      <c r="R296" s="8" t="s">
        <v>271</v>
      </c>
      <c r="S296" s="8" t="s">
        <v>264</v>
      </c>
      <c r="T296" s="8" t="s">
        <v>49</v>
      </c>
      <c r="U296" s="8" t="s">
        <v>263</v>
      </c>
    </row>
    <row r="297">
      <c r="A297" s="8" t="s">
        <v>477</v>
      </c>
      <c r="B297" s="8" t="s">
        <v>480</v>
      </c>
      <c r="C297" s="8" t="s">
        <v>57</v>
      </c>
      <c r="D297" s="8" t="s">
        <v>54</v>
      </c>
      <c r="E297" s="8" t="s">
        <v>45</v>
      </c>
      <c r="F297" s="8" t="s">
        <v>2149</v>
      </c>
      <c r="G297" s="8" t="s">
        <v>2150</v>
      </c>
      <c r="H297" s="8" t="s">
        <v>2151</v>
      </c>
      <c r="I297" s="8" t="s">
        <v>55</v>
      </c>
      <c r="J297" s="8" t="s">
        <v>56</v>
      </c>
      <c r="K297" s="7">
        <v>1.33689E7</v>
      </c>
      <c r="L297" s="8" t="s">
        <v>2012</v>
      </c>
      <c r="M297" s="8" t="s">
        <v>2130</v>
      </c>
      <c r="N297" s="8" t="s">
        <v>45</v>
      </c>
      <c r="O297" s="32">
        <v>41857.0</v>
      </c>
      <c r="P297" s="42">
        <v>1625.0</v>
      </c>
      <c r="Q297" s="32">
        <v>45510.0</v>
      </c>
      <c r="R297" s="8" t="s">
        <v>2135</v>
      </c>
      <c r="S297" s="8" t="s">
        <v>190</v>
      </c>
      <c r="T297" s="8" t="s">
        <v>49</v>
      </c>
      <c r="U297" s="8" t="s">
        <v>53</v>
      </c>
    </row>
    <row r="298">
      <c r="A298" s="8" t="s">
        <v>1519</v>
      </c>
      <c r="B298" s="8" t="s">
        <v>1522</v>
      </c>
      <c r="C298" s="8" t="s">
        <v>57</v>
      </c>
      <c r="D298" s="42">
        <v>1872.0</v>
      </c>
      <c r="E298" s="8" t="s">
        <v>185</v>
      </c>
      <c r="F298" s="8" t="s">
        <v>3128</v>
      </c>
      <c r="G298" s="8" t="s">
        <v>3129</v>
      </c>
      <c r="H298" s="8" t="s">
        <v>3130</v>
      </c>
      <c r="I298" s="8" t="s">
        <v>117</v>
      </c>
      <c r="J298" s="8" t="s">
        <v>56</v>
      </c>
      <c r="K298" s="7" t="s">
        <v>5409</v>
      </c>
      <c r="L298" s="8" t="s">
        <v>52</v>
      </c>
      <c r="M298" s="8" t="s">
        <v>1771</v>
      </c>
      <c r="N298" s="8" t="s">
        <v>185</v>
      </c>
      <c r="O298" s="32">
        <v>41892.0</v>
      </c>
      <c r="P298" s="7" t="s">
        <v>5238</v>
      </c>
      <c r="Q298" s="32">
        <v>46275.0</v>
      </c>
      <c r="R298" s="8" t="s">
        <v>226</v>
      </c>
      <c r="S298" s="8" t="s">
        <v>484</v>
      </c>
      <c r="T298" s="8" t="s">
        <v>115</v>
      </c>
      <c r="U298" s="8" t="s">
        <v>53</v>
      </c>
    </row>
    <row r="299">
      <c r="A299" s="8" t="s">
        <v>1526</v>
      </c>
      <c r="B299" s="8" t="s">
        <v>1529</v>
      </c>
      <c r="C299" s="8" t="s">
        <v>57</v>
      </c>
      <c r="D299" s="8" t="s">
        <v>54</v>
      </c>
      <c r="E299" s="8" t="s">
        <v>185</v>
      </c>
      <c r="F299" s="8" t="s">
        <v>3010</v>
      </c>
      <c r="G299" s="8" t="s">
        <v>3011</v>
      </c>
      <c r="H299" s="8" t="s">
        <v>3012</v>
      </c>
      <c r="I299" s="8" t="s">
        <v>421</v>
      </c>
      <c r="J299" s="8" t="s">
        <v>56</v>
      </c>
      <c r="K299" s="7" t="s">
        <v>5348</v>
      </c>
      <c r="L299" s="8" t="s">
        <v>52</v>
      </c>
      <c r="M299" s="8" t="s">
        <v>1771</v>
      </c>
      <c r="N299" s="8" t="s">
        <v>185</v>
      </c>
      <c r="O299" s="32">
        <v>41911.0</v>
      </c>
      <c r="P299" s="42">
        <v>2125.0</v>
      </c>
      <c r="Q299" s="32">
        <v>45562.0</v>
      </c>
      <c r="R299" s="8" t="s">
        <v>174</v>
      </c>
      <c r="S299" s="8" t="s">
        <v>620</v>
      </c>
      <c r="T299" s="8" t="s">
        <v>115</v>
      </c>
      <c r="U299" s="8" t="s">
        <v>53</v>
      </c>
    </row>
    <row r="300">
      <c r="A300" s="8" t="s">
        <v>477</v>
      </c>
      <c r="B300" s="8" t="s">
        <v>480</v>
      </c>
      <c r="C300" s="8" t="s">
        <v>392</v>
      </c>
      <c r="D300" s="8" t="s">
        <v>54</v>
      </c>
      <c r="E300" s="8" t="s">
        <v>45</v>
      </c>
      <c r="F300" s="8" t="s">
        <v>2153</v>
      </c>
      <c r="G300" s="8" t="s">
        <v>2154</v>
      </c>
      <c r="H300" s="8" t="s">
        <v>2155</v>
      </c>
      <c r="I300" s="8" t="s">
        <v>55</v>
      </c>
      <c r="J300" s="8" t="s">
        <v>70</v>
      </c>
      <c r="K300" s="7">
        <v>6344650.0</v>
      </c>
      <c r="L300" s="8" t="s">
        <v>2012</v>
      </c>
      <c r="M300" s="8" t="s">
        <v>2130</v>
      </c>
      <c r="N300" s="8" t="s">
        <v>45</v>
      </c>
      <c r="O300" s="32">
        <v>41908.0</v>
      </c>
      <c r="P300" s="7" t="s">
        <v>5410</v>
      </c>
      <c r="Q300" s="32">
        <v>44830.0</v>
      </c>
      <c r="R300" s="8" t="s">
        <v>226</v>
      </c>
      <c r="S300" s="8" t="s">
        <v>190</v>
      </c>
      <c r="T300" s="8" t="s">
        <v>49</v>
      </c>
      <c r="U300" s="8" t="s">
        <v>53</v>
      </c>
    </row>
    <row r="301">
      <c r="A301" s="8" t="s">
        <v>1360</v>
      </c>
      <c r="B301" s="8" t="s">
        <v>1363</v>
      </c>
      <c r="C301" s="8" t="s">
        <v>57</v>
      </c>
      <c r="D301" s="42">
        <v>1591.0</v>
      </c>
      <c r="E301" s="8" t="s">
        <v>200</v>
      </c>
      <c r="F301" s="8" t="s">
        <v>3250</v>
      </c>
      <c r="G301" s="8" t="s">
        <v>3251</v>
      </c>
      <c r="H301" s="8" t="s">
        <v>3252</v>
      </c>
      <c r="I301" s="8" t="s">
        <v>117</v>
      </c>
      <c r="J301" s="8" t="s">
        <v>56</v>
      </c>
      <c r="K301" s="7" t="s">
        <v>5411</v>
      </c>
      <c r="L301" s="8" t="s">
        <v>52</v>
      </c>
      <c r="M301" s="8" t="s">
        <v>1771</v>
      </c>
      <c r="N301" s="8" t="s">
        <v>200</v>
      </c>
      <c r="O301" s="32">
        <v>41934.0</v>
      </c>
      <c r="P301" s="7" t="s">
        <v>5214</v>
      </c>
      <c r="Q301" s="32">
        <v>45037.0</v>
      </c>
      <c r="R301" s="8" t="s">
        <v>226</v>
      </c>
      <c r="S301" s="8" t="s">
        <v>175</v>
      </c>
      <c r="T301" s="8" t="s">
        <v>49</v>
      </c>
      <c r="U301" s="8" t="s">
        <v>53</v>
      </c>
    </row>
    <row r="302">
      <c r="A302" s="8" t="s">
        <v>1640</v>
      </c>
      <c r="B302" s="8" t="s">
        <v>1643</v>
      </c>
      <c r="C302" s="8" t="s">
        <v>57</v>
      </c>
      <c r="D302" s="42">
        <v>1653.0</v>
      </c>
      <c r="E302" s="8" t="s">
        <v>171</v>
      </c>
      <c r="F302" s="8" t="s">
        <v>2985</v>
      </c>
      <c r="G302" s="8" t="s">
        <v>2986</v>
      </c>
      <c r="H302" s="8" t="s">
        <v>2987</v>
      </c>
      <c r="I302" s="8" t="s">
        <v>55</v>
      </c>
      <c r="J302" s="8" t="s">
        <v>56</v>
      </c>
      <c r="K302" s="7" t="s">
        <v>5412</v>
      </c>
      <c r="L302" s="8" t="s">
        <v>52</v>
      </c>
      <c r="M302" s="8" t="s">
        <v>1771</v>
      </c>
      <c r="N302" s="8" t="s">
        <v>170</v>
      </c>
      <c r="O302" s="32">
        <v>41950.0</v>
      </c>
      <c r="P302" s="42">
        <v>1625.0</v>
      </c>
      <c r="Q302" s="32">
        <v>46335.0</v>
      </c>
      <c r="R302" s="8" t="s">
        <v>174</v>
      </c>
      <c r="S302" s="8" t="s">
        <v>1646</v>
      </c>
      <c r="T302" s="8" t="s">
        <v>49</v>
      </c>
      <c r="U302" s="8" t="s">
        <v>53</v>
      </c>
    </row>
    <row r="303">
      <c r="A303" s="8" t="s">
        <v>477</v>
      </c>
      <c r="B303" s="8" t="s">
        <v>480</v>
      </c>
      <c r="C303" s="8" t="s">
        <v>57</v>
      </c>
      <c r="D303" s="8" t="s">
        <v>54</v>
      </c>
      <c r="E303" s="8" t="s">
        <v>45</v>
      </c>
      <c r="F303" s="8" t="s">
        <v>2157</v>
      </c>
      <c r="G303" s="8" t="s">
        <v>2158</v>
      </c>
      <c r="H303" s="8" t="s">
        <v>2159</v>
      </c>
      <c r="I303" s="8" t="s">
        <v>55</v>
      </c>
      <c r="J303" s="8" t="s">
        <v>56</v>
      </c>
      <c r="K303" s="7">
        <v>1.25316E7</v>
      </c>
      <c r="L303" s="8" t="s">
        <v>2012</v>
      </c>
      <c r="M303" s="8" t="s">
        <v>2130</v>
      </c>
      <c r="N303" s="8" t="s">
        <v>45</v>
      </c>
      <c r="O303" s="32">
        <v>41961.0</v>
      </c>
      <c r="P303" s="7" t="s">
        <v>5413</v>
      </c>
      <c r="Q303" s="32">
        <v>45614.0</v>
      </c>
      <c r="R303" s="8" t="s">
        <v>226</v>
      </c>
      <c r="S303" s="8" t="s">
        <v>190</v>
      </c>
      <c r="T303" s="8" t="s">
        <v>49</v>
      </c>
      <c r="U303" s="8" t="s">
        <v>53</v>
      </c>
    </row>
    <row r="304">
      <c r="A304" s="8" t="s">
        <v>567</v>
      </c>
      <c r="B304" s="8" t="s">
        <v>570</v>
      </c>
      <c r="C304" s="8" t="s">
        <v>57</v>
      </c>
      <c r="D304" s="42">
        <v>2127.0</v>
      </c>
      <c r="E304" s="8" t="s">
        <v>185</v>
      </c>
      <c r="F304" s="8" t="s">
        <v>2691</v>
      </c>
      <c r="G304" s="8" t="s">
        <v>2692</v>
      </c>
      <c r="H304" s="8" t="s">
        <v>2693</v>
      </c>
      <c r="I304" s="8" t="s">
        <v>55</v>
      </c>
      <c r="J304" s="8" t="s">
        <v>56</v>
      </c>
      <c r="K304" s="7" t="s">
        <v>5414</v>
      </c>
      <c r="L304" s="8" t="s">
        <v>52</v>
      </c>
      <c r="M304" s="8" t="s">
        <v>1771</v>
      </c>
      <c r="N304" s="8" t="s">
        <v>185</v>
      </c>
      <c r="O304" s="32">
        <v>41983.0</v>
      </c>
      <c r="P304" s="7">
        <v>2.0</v>
      </c>
      <c r="Q304" s="32">
        <v>45636.0</v>
      </c>
      <c r="R304" s="8" t="s">
        <v>226</v>
      </c>
      <c r="S304" s="8" t="s">
        <v>497</v>
      </c>
      <c r="T304" s="8" t="s">
        <v>115</v>
      </c>
      <c r="U304" s="8" t="s">
        <v>53</v>
      </c>
    </row>
    <row r="305">
      <c r="A305" s="8" t="s">
        <v>477</v>
      </c>
      <c r="B305" s="8" t="s">
        <v>480</v>
      </c>
      <c r="C305" s="8" t="s">
        <v>57</v>
      </c>
      <c r="D305" s="8" t="s">
        <v>54</v>
      </c>
      <c r="E305" s="8" t="s">
        <v>45</v>
      </c>
      <c r="F305" s="8" t="s">
        <v>2161</v>
      </c>
      <c r="G305" s="8" t="s">
        <v>2162</v>
      </c>
      <c r="H305" s="8" t="s">
        <v>2163</v>
      </c>
      <c r="I305" s="8" t="s">
        <v>55</v>
      </c>
      <c r="J305" s="8" t="s">
        <v>56</v>
      </c>
      <c r="K305" s="7">
        <v>1.21757E7</v>
      </c>
      <c r="L305" s="8" t="s">
        <v>2012</v>
      </c>
      <c r="M305" s="8" t="s">
        <v>2130</v>
      </c>
      <c r="N305" s="8" t="s">
        <v>45</v>
      </c>
      <c r="O305" s="32">
        <v>41996.0</v>
      </c>
      <c r="P305" s="7">
        <v>1.0</v>
      </c>
      <c r="Q305" s="32">
        <v>45287.0</v>
      </c>
      <c r="R305" s="8" t="s">
        <v>226</v>
      </c>
      <c r="S305" s="8" t="s">
        <v>190</v>
      </c>
      <c r="T305" s="8" t="s">
        <v>49</v>
      </c>
      <c r="U305" s="8" t="s">
        <v>53</v>
      </c>
    </row>
    <row r="306">
      <c r="A306" s="8" t="s">
        <v>477</v>
      </c>
      <c r="B306" s="8" t="s">
        <v>480</v>
      </c>
      <c r="C306" s="8" t="s">
        <v>392</v>
      </c>
      <c r="D306" s="8" t="s">
        <v>54</v>
      </c>
      <c r="E306" s="8" t="s">
        <v>45</v>
      </c>
      <c r="F306" s="8" t="s">
        <v>2165</v>
      </c>
      <c r="G306" s="8" t="s">
        <v>2166</v>
      </c>
      <c r="H306" s="8" t="s">
        <v>2167</v>
      </c>
      <c r="I306" s="8" t="s">
        <v>55</v>
      </c>
      <c r="J306" s="8" t="s">
        <v>70</v>
      </c>
      <c r="K306" s="7">
        <v>2.4315E7</v>
      </c>
      <c r="L306" s="8" t="s">
        <v>2012</v>
      </c>
      <c r="M306" s="8" t="s">
        <v>2130</v>
      </c>
      <c r="N306" s="8" t="s">
        <v>45</v>
      </c>
      <c r="O306" s="32">
        <v>42003.0</v>
      </c>
      <c r="P306" s="7" t="s">
        <v>5374</v>
      </c>
      <c r="Q306" s="32">
        <v>45656.0</v>
      </c>
      <c r="R306" s="8" t="s">
        <v>2135</v>
      </c>
      <c r="S306" s="8" t="s">
        <v>190</v>
      </c>
      <c r="T306" s="8" t="s">
        <v>49</v>
      </c>
      <c r="U306" s="8" t="s">
        <v>53</v>
      </c>
    </row>
    <row r="307">
      <c r="A307" s="8" t="s">
        <v>477</v>
      </c>
      <c r="B307" s="8" t="s">
        <v>480</v>
      </c>
      <c r="C307" s="8" t="s">
        <v>392</v>
      </c>
      <c r="D307" s="8" t="s">
        <v>54</v>
      </c>
      <c r="E307" s="8" t="s">
        <v>45</v>
      </c>
      <c r="F307" s="8" t="s">
        <v>2169</v>
      </c>
      <c r="G307" s="8" t="s">
        <v>2170</v>
      </c>
      <c r="H307" s="8" t="s">
        <v>2171</v>
      </c>
      <c r="I307" s="8" t="s">
        <v>55</v>
      </c>
      <c r="J307" s="8" t="s">
        <v>70</v>
      </c>
      <c r="K307" s="7">
        <v>3.64725E7</v>
      </c>
      <c r="L307" s="8" t="s">
        <v>483</v>
      </c>
      <c r="M307" s="8" t="s">
        <v>1771</v>
      </c>
      <c r="N307" s="8" t="s">
        <v>45</v>
      </c>
      <c r="O307" s="32">
        <v>42003.0</v>
      </c>
      <c r="P307" s="7" t="s">
        <v>5374</v>
      </c>
      <c r="Q307" s="32">
        <v>45656.0</v>
      </c>
      <c r="R307" s="8" t="s">
        <v>2172</v>
      </c>
      <c r="S307" s="8" t="s">
        <v>484</v>
      </c>
      <c r="T307" s="8" t="s">
        <v>49</v>
      </c>
      <c r="U307" s="8" t="s">
        <v>53</v>
      </c>
    </row>
    <row r="308">
      <c r="A308" s="8" t="s">
        <v>477</v>
      </c>
      <c r="B308" s="8" t="s">
        <v>480</v>
      </c>
      <c r="C308" s="8" t="s">
        <v>57</v>
      </c>
      <c r="D308" s="8" t="s">
        <v>54</v>
      </c>
      <c r="E308" s="8" t="s">
        <v>45</v>
      </c>
      <c r="F308" s="8" t="s">
        <v>2174</v>
      </c>
      <c r="G308" s="8" t="s">
        <v>2175</v>
      </c>
      <c r="H308" s="8" t="s">
        <v>2176</v>
      </c>
      <c r="I308" s="8" t="s">
        <v>55</v>
      </c>
      <c r="J308" s="8" t="s">
        <v>56</v>
      </c>
      <c r="K308" s="7" t="s">
        <v>5307</v>
      </c>
      <c r="L308" s="8" t="s">
        <v>2012</v>
      </c>
      <c r="M308" s="8" t="s">
        <v>2130</v>
      </c>
      <c r="N308" s="8" t="s">
        <v>45</v>
      </c>
      <c r="O308" s="32">
        <v>42026.0</v>
      </c>
      <c r="P308" s="7" t="s">
        <v>5217</v>
      </c>
      <c r="Q308" s="32">
        <v>45679.0</v>
      </c>
      <c r="R308" s="8" t="s">
        <v>226</v>
      </c>
      <c r="S308" s="8" t="s">
        <v>190</v>
      </c>
      <c r="T308" s="8" t="s">
        <v>49</v>
      </c>
      <c r="U308" s="8" t="s">
        <v>53</v>
      </c>
    </row>
    <row r="309">
      <c r="A309" s="8" t="s">
        <v>642</v>
      </c>
      <c r="B309" s="8" t="s">
        <v>645</v>
      </c>
      <c r="C309" s="8" t="s">
        <v>57</v>
      </c>
      <c r="D309" s="42">
        <v>1966.0</v>
      </c>
      <c r="E309" s="8" t="s">
        <v>200</v>
      </c>
      <c r="F309" s="8" t="s">
        <v>2434</v>
      </c>
      <c r="G309" s="8" t="s">
        <v>2435</v>
      </c>
      <c r="H309" s="8" t="s">
        <v>2436</v>
      </c>
      <c r="I309" s="8" t="s">
        <v>55</v>
      </c>
      <c r="J309" s="8" t="s">
        <v>56</v>
      </c>
      <c r="K309" s="7" t="s">
        <v>5415</v>
      </c>
      <c r="L309" s="8" t="s">
        <v>52</v>
      </c>
      <c r="M309" s="8" t="s">
        <v>1771</v>
      </c>
      <c r="N309" s="8" t="s">
        <v>367</v>
      </c>
      <c r="O309" s="32">
        <v>42031.0</v>
      </c>
      <c r="P309" s="42">
        <v>1966.0</v>
      </c>
      <c r="Q309" s="32">
        <v>45684.0</v>
      </c>
      <c r="R309" s="8" t="s">
        <v>226</v>
      </c>
      <c r="S309" s="8" t="s">
        <v>620</v>
      </c>
      <c r="T309" s="8" t="s">
        <v>49</v>
      </c>
      <c r="U309" s="8" t="s">
        <v>53</v>
      </c>
    </row>
    <row r="310">
      <c r="A310" s="8" t="s">
        <v>1487</v>
      </c>
      <c r="B310" s="8" t="s">
        <v>1490</v>
      </c>
      <c r="C310" s="8" t="s">
        <v>57</v>
      </c>
      <c r="D310" s="42">
        <v>1305.0</v>
      </c>
      <c r="E310" s="8" t="s">
        <v>185</v>
      </c>
      <c r="F310" s="8" t="s">
        <v>2276</v>
      </c>
      <c r="G310" s="8" t="s">
        <v>2277</v>
      </c>
      <c r="H310" s="8" t="s">
        <v>2278</v>
      </c>
      <c r="I310" s="8" t="s">
        <v>117</v>
      </c>
      <c r="J310" s="8" t="s">
        <v>56</v>
      </c>
      <c r="K310" s="7" t="s">
        <v>5299</v>
      </c>
      <c r="L310" s="8" t="s">
        <v>52</v>
      </c>
      <c r="M310" s="8" t="s">
        <v>1771</v>
      </c>
      <c r="N310" s="8" t="s">
        <v>185</v>
      </c>
      <c r="O310" s="32">
        <v>42038.0</v>
      </c>
      <c r="P310" s="7" t="s">
        <v>5217</v>
      </c>
      <c r="Q310" s="32">
        <v>45811.0</v>
      </c>
      <c r="R310" s="8" t="s">
        <v>226</v>
      </c>
      <c r="S310" s="8" t="s">
        <v>190</v>
      </c>
      <c r="T310" s="8" t="s">
        <v>115</v>
      </c>
      <c r="U310" s="8" t="s">
        <v>53</v>
      </c>
    </row>
    <row r="311">
      <c r="A311" s="8" t="s">
        <v>614</v>
      </c>
      <c r="B311" s="8" t="s">
        <v>617</v>
      </c>
      <c r="C311" s="8" t="s">
        <v>57</v>
      </c>
      <c r="D311" s="42">
        <v>1573.0</v>
      </c>
      <c r="E311" s="8" t="s">
        <v>200</v>
      </c>
      <c r="F311" s="8" t="s">
        <v>2513</v>
      </c>
      <c r="G311" s="8" t="s">
        <v>2514</v>
      </c>
      <c r="H311" s="8" t="s">
        <v>2515</v>
      </c>
      <c r="I311" s="8" t="s">
        <v>117</v>
      </c>
      <c r="J311" s="8" t="s">
        <v>56</v>
      </c>
      <c r="K311" s="7" t="s">
        <v>5416</v>
      </c>
      <c r="L311" s="8" t="s">
        <v>52</v>
      </c>
      <c r="M311" s="8" t="s">
        <v>1771</v>
      </c>
      <c r="N311" s="8" t="s">
        <v>200</v>
      </c>
      <c r="O311" s="32">
        <v>42037.0</v>
      </c>
      <c r="P311" s="7" t="s">
        <v>5214</v>
      </c>
      <c r="Q311" s="32">
        <v>46055.0</v>
      </c>
      <c r="R311" s="8" t="s">
        <v>226</v>
      </c>
      <c r="S311" s="8" t="s">
        <v>620</v>
      </c>
      <c r="T311" s="8" t="s">
        <v>49</v>
      </c>
      <c r="U311" s="8" t="s">
        <v>53</v>
      </c>
    </row>
    <row r="312">
      <c r="A312" s="8" t="s">
        <v>775</v>
      </c>
      <c r="B312" s="8" t="s">
        <v>778</v>
      </c>
      <c r="C312" s="8" t="s">
        <v>57</v>
      </c>
      <c r="D312" s="8" t="s">
        <v>54</v>
      </c>
      <c r="E312" s="8" t="s">
        <v>200</v>
      </c>
      <c r="F312" s="8" t="s">
        <v>1786</v>
      </c>
      <c r="G312" s="8" t="s">
        <v>1787</v>
      </c>
      <c r="H312" s="8" t="s">
        <v>1788</v>
      </c>
      <c r="I312" s="8" t="s">
        <v>55</v>
      </c>
      <c r="J312" s="8" t="s">
        <v>56</v>
      </c>
      <c r="K312" s="7" t="s">
        <v>5417</v>
      </c>
      <c r="L312" s="8" t="s">
        <v>52</v>
      </c>
      <c r="M312" s="8" t="s">
        <v>1771</v>
      </c>
      <c r="N312" s="8" t="s">
        <v>200</v>
      </c>
      <c r="O312" s="32">
        <v>42060.0</v>
      </c>
      <c r="P312" s="7" t="s">
        <v>5238</v>
      </c>
      <c r="Q312" s="32">
        <v>45713.0</v>
      </c>
      <c r="R312" s="8" t="s">
        <v>226</v>
      </c>
      <c r="S312" s="8" t="s">
        <v>175</v>
      </c>
      <c r="T312" s="8" t="s">
        <v>115</v>
      </c>
      <c r="U312" s="8" t="s">
        <v>53</v>
      </c>
    </row>
    <row r="313">
      <c r="A313" s="8" t="s">
        <v>671</v>
      </c>
      <c r="B313" s="8" t="s">
        <v>674</v>
      </c>
      <c r="C313" s="8" t="s">
        <v>57</v>
      </c>
      <c r="D313" s="7" t="s">
        <v>5418</v>
      </c>
      <c r="E313" s="8" t="s">
        <v>185</v>
      </c>
      <c r="F313" s="8" t="s">
        <v>2379</v>
      </c>
      <c r="G313" s="8" t="s">
        <v>2380</v>
      </c>
      <c r="H313" s="8" t="s">
        <v>2381</v>
      </c>
      <c r="I313" s="8" t="s">
        <v>421</v>
      </c>
      <c r="J313" s="8" t="s">
        <v>56</v>
      </c>
      <c r="K313" s="7" t="s">
        <v>5419</v>
      </c>
      <c r="L313" s="8" t="s">
        <v>52</v>
      </c>
      <c r="M313" s="8" t="s">
        <v>1776</v>
      </c>
      <c r="N313" s="8" t="s">
        <v>185</v>
      </c>
      <c r="O313" s="32">
        <v>42073.0</v>
      </c>
      <c r="P313" s="42">
        <v>1375.0</v>
      </c>
      <c r="Q313" s="32">
        <v>45726.0</v>
      </c>
      <c r="R313" s="8" t="s">
        <v>174</v>
      </c>
      <c r="S313" s="8" t="s">
        <v>190</v>
      </c>
      <c r="T313" s="8" t="s">
        <v>115</v>
      </c>
      <c r="U313" s="8" t="s">
        <v>53</v>
      </c>
    </row>
    <row r="314">
      <c r="A314" s="8" t="s">
        <v>181</v>
      </c>
      <c r="B314" s="8" t="s">
        <v>184</v>
      </c>
      <c r="C314" s="8" t="s">
        <v>57</v>
      </c>
      <c r="D314" s="8" t="s">
        <v>54</v>
      </c>
      <c r="E314" s="8" t="s">
        <v>186</v>
      </c>
      <c r="F314" s="8" t="s">
        <v>3185</v>
      </c>
      <c r="G314" s="8" t="s">
        <v>3186</v>
      </c>
      <c r="H314" s="8" t="s">
        <v>3187</v>
      </c>
      <c r="I314" s="8" t="s">
        <v>133</v>
      </c>
      <c r="J314" s="8" t="s">
        <v>56</v>
      </c>
      <c r="K314" s="7" t="s">
        <v>5420</v>
      </c>
      <c r="L314" s="8" t="s">
        <v>52</v>
      </c>
      <c r="M314" s="8" t="s">
        <v>1771</v>
      </c>
      <c r="N314" s="8" t="s">
        <v>185</v>
      </c>
      <c r="O314" s="32">
        <v>42074.0</v>
      </c>
      <c r="P314" s="42">
        <v>875.0</v>
      </c>
      <c r="Q314" s="32">
        <v>45727.0</v>
      </c>
      <c r="R314" s="8" t="s">
        <v>226</v>
      </c>
      <c r="S314" s="8" t="s">
        <v>447</v>
      </c>
      <c r="T314" s="8" t="s">
        <v>115</v>
      </c>
      <c r="U314" s="8" t="s">
        <v>53</v>
      </c>
    </row>
    <row r="315">
      <c r="A315" s="8" t="s">
        <v>1043</v>
      </c>
      <c r="B315" s="8" t="s">
        <v>1046</v>
      </c>
      <c r="C315" s="8" t="s">
        <v>57</v>
      </c>
      <c r="D315" s="8" t="s">
        <v>54</v>
      </c>
      <c r="E315" s="8" t="s">
        <v>1047</v>
      </c>
      <c r="F315" s="8" t="s">
        <v>3343</v>
      </c>
      <c r="G315" s="8" t="s">
        <v>3344</v>
      </c>
      <c r="H315" s="8" t="s">
        <v>3345</v>
      </c>
      <c r="I315" s="8" t="s">
        <v>55</v>
      </c>
      <c r="J315" s="8" t="s">
        <v>56</v>
      </c>
      <c r="K315" s="7" t="s">
        <v>5421</v>
      </c>
      <c r="L315" s="8" t="s">
        <v>52</v>
      </c>
      <c r="M315" s="8" t="s">
        <v>1771</v>
      </c>
      <c r="N315" s="8" t="s">
        <v>367</v>
      </c>
      <c r="O315" s="32">
        <v>42094.0</v>
      </c>
      <c r="P315" s="42">
        <v>1875.0</v>
      </c>
      <c r="Q315" s="32">
        <v>46477.0</v>
      </c>
      <c r="R315" s="8" t="s">
        <v>174</v>
      </c>
      <c r="S315" s="8" t="s">
        <v>297</v>
      </c>
      <c r="T315" s="8" t="s">
        <v>115</v>
      </c>
      <c r="U315" s="8" t="s">
        <v>53</v>
      </c>
    </row>
    <row r="316">
      <c r="A316" s="8" t="s">
        <v>1043</v>
      </c>
      <c r="B316" s="8" t="s">
        <v>1046</v>
      </c>
      <c r="C316" s="8" t="s">
        <v>57</v>
      </c>
      <c r="D316" s="8" t="s">
        <v>54</v>
      </c>
      <c r="E316" s="8" t="s">
        <v>1047</v>
      </c>
      <c r="F316" s="8" t="s">
        <v>3347</v>
      </c>
      <c r="G316" s="8" t="s">
        <v>3348</v>
      </c>
      <c r="H316" s="8" t="s">
        <v>3349</v>
      </c>
      <c r="I316" s="8" t="s">
        <v>55</v>
      </c>
      <c r="J316" s="8" t="s">
        <v>56</v>
      </c>
      <c r="K316" s="7" t="s">
        <v>5422</v>
      </c>
      <c r="L316" s="8" t="s">
        <v>52</v>
      </c>
      <c r="M316" s="8" t="s">
        <v>1771</v>
      </c>
      <c r="N316" s="8" t="s">
        <v>367</v>
      </c>
      <c r="O316" s="32">
        <v>42094.0</v>
      </c>
      <c r="P316" s="7" t="s">
        <v>5217</v>
      </c>
      <c r="Q316" s="32">
        <v>45016.0</v>
      </c>
      <c r="R316" s="8" t="s">
        <v>174</v>
      </c>
      <c r="S316" s="8" t="s">
        <v>297</v>
      </c>
      <c r="T316" s="8" t="s">
        <v>115</v>
      </c>
      <c r="U316" s="8" t="s">
        <v>53</v>
      </c>
    </row>
    <row r="317">
      <c r="A317" s="8" t="s">
        <v>1560</v>
      </c>
      <c r="B317" s="8" t="s">
        <v>1563</v>
      </c>
      <c r="C317" s="8" t="s">
        <v>57</v>
      </c>
      <c r="D317" s="42">
        <v>1763.0</v>
      </c>
      <c r="E317" s="8" t="s">
        <v>258</v>
      </c>
      <c r="F317" s="8" t="s">
        <v>2768</v>
      </c>
      <c r="G317" s="8" t="s">
        <v>2769</v>
      </c>
      <c r="H317" s="8" t="s">
        <v>2770</v>
      </c>
      <c r="I317" s="8" t="s">
        <v>55</v>
      </c>
      <c r="J317" s="8" t="s">
        <v>56</v>
      </c>
      <c r="K317" s="7" t="s">
        <v>5423</v>
      </c>
      <c r="L317" s="8" t="s">
        <v>52</v>
      </c>
      <c r="M317" s="8" t="s">
        <v>1776</v>
      </c>
      <c r="N317" s="8" t="s">
        <v>367</v>
      </c>
      <c r="O317" s="32">
        <v>42124.0</v>
      </c>
      <c r="P317" s="42">
        <v>1625.0</v>
      </c>
      <c r="Q317" s="32">
        <v>45777.0</v>
      </c>
      <c r="R317" s="8" t="s">
        <v>174</v>
      </c>
      <c r="S317" s="8" t="s">
        <v>175</v>
      </c>
      <c r="T317" s="8" t="s">
        <v>49</v>
      </c>
      <c r="U317" s="8" t="s">
        <v>53</v>
      </c>
    </row>
    <row r="318">
      <c r="A318" s="8" t="s">
        <v>219</v>
      </c>
      <c r="B318" s="8" t="s">
        <v>222</v>
      </c>
      <c r="C318" s="8" t="s">
        <v>57</v>
      </c>
      <c r="D318" s="8" t="s">
        <v>54</v>
      </c>
      <c r="E318" s="8" t="s">
        <v>223</v>
      </c>
      <c r="F318" s="8" t="s">
        <v>3042</v>
      </c>
      <c r="G318" s="8" t="s">
        <v>3043</v>
      </c>
      <c r="H318" s="8" t="s">
        <v>3044</v>
      </c>
      <c r="I318" s="8" t="s">
        <v>55</v>
      </c>
      <c r="J318" s="8" t="s">
        <v>56</v>
      </c>
      <c r="K318" s="7">
        <v>2.17636E7</v>
      </c>
      <c r="L318" s="8" t="s">
        <v>52</v>
      </c>
      <c r="M318" s="8" t="s">
        <v>174</v>
      </c>
      <c r="N318" s="8" t="s">
        <v>223</v>
      </c>
      <c r="O318" s="32">
        <v>42151.0</v>
      </c>
      <c r="P318" s="7">
        <v>5.0</v>
      </c>
      <c r="Q318" s="32">
        <v>45804.0</v>
      </c>
      <c r="R318" s="8">
        <v>1.0</v>
      </c>
      <c r="S318" s="8" t="s">
        <v>54</v>
      </c>
      <c r="T318" s="8" t="s">
        <v>49</v>
      </c>
      <c r="U318" s="8" t="s">
        <v>53</v>
      </c>
    </row>
    <row r="319">
      <c r="A319" s="8" t="s">
        <v>219</v>
      </c>
      <c r="B319" s="8" t="s">
        <v>222</v>
      </c>
      <c r="C319" s="8" t="s">
        <v>57</v>
      </c>
      <c r="D319" s="8" t="s">
        <v>54</v>
      </c>
      <c r="E319" s="8" t="s">
        <v>223</v>
      </c>
      <c r="F319" s="8" t="s">
        <v>3046</v>
      </c>
      <c r="G319" s="8" t="s">
        <v>3047</v>
      </c>
      <c r="H319" s="8" t="s">
        <v>3048</v>
      </c>
      <c r="I319" s="8" t="s">
        <v>55</v>
      </c>
      <c r="J319" s="8" t="s">
        <v>56</v>
      </c>
      <c r="K319" s="7">
        <v>1.08818E7</v>
      </c>
      <c r="L319" s="8" t="s">
        <v>52</v>
      </c>
      <c r="M319" s="8" t="s">
        <v>174</v>
      </c>
      <c r="N319" s="8" t="s">
        <v>223</v>
      </c>
      <c r="O319" s="32">
        <v>42151.0</v>
      </c>
      <c r="P319" s="7" t="s">
        <v>5263</v>
      </c>
      <c r="Q319" s="32">
        <v>44708.0</v>
      </c>
      <c r="R319" s="8">
        <v>2.0</v>
      </c>
      <c r="S319" s="8" t="s">
        <v>54</v>
      </c>
      <c r="T319" s="8" t="s">
        <v>49</v>
      </c>
      <c r="U319" s="8" t="s">
        <v>53</v>
      </c>
    </row>
    <row r="320">
      <c r="A320" s="8" t="s">
        <v>477</v>
      </c>
      <c r="B320" s="8" t="s">
        <v>480</v>
      </c>
      <c r="C320" s="8" t="s">
        <v>57</v>
      </c>
      <c r="D320" s="8" t="s">
        <v>54</v>
      </c>
      <c r="E320" s="8" t="s">
        <v>45</v>
      </c>
      <c r="F320" s="8" t="s">
        <v>2178</v>
      </c>
      <c r="G320" s="8" t="s">
        <v>2179</v>
      </c>
      <c r="H320" s="8" t="s">
        <v>2180</v>
      </c>
      <c r="I320" s="8" t="s">
        <v>55</v>
      </c>
      <c r="J320" s="8" t="s">
        <v>56</v>
      </c>
      <c r="K320" s="7" t="s">
        <v>5424</v>
      </c>
      <c r="L320" s="8" t="s">
        <v>459</v>
      </c>
      <c r="M320" s="8" t="s">
        <v>1771</v>
      </c>
      <c r="N320" s="8" t="s">
        <v>45</v>
      </c>
      <c r="O320" s="32">
        <v>42422.0</v>
      </c>
      <c r="P320" s="7" t="s">
        <v>5279</v>
      </c>
      <c r="Q320" s="32">
        <v>44979.0</v>
      </c>
      <c r="R320" s="8" t="s">
        <v>226</v>
      </c>
      <c r="S320" s="8" t="s">
        <v>190</v>
      </c>
      <c r="T320" s="8" t="s">
        <v>49</v>
      </c>
      <c r="U320" s="8" t="s">
        <v>53</v>
      </c>
    </row>
    <row r="321">
      <c r="A321" s="8" t="s">
        <v>814</v>
      </c>
      <c r="B321" s="8" t="s">
        <v>817</v>
      </c>
      <c r="C321" s="8" t="s">
        <v>57</v>
      </c>
      <c r="D321" s="8" t="s">
        <v>54</v>
      </c>
      <c r="E321" s="8" t="s">
        <v>185</v>
      </c>
      <c r="F321" s="8" t="s">
        <v>3449</v>
      </c>
      <c r="G321" s="8" t="s">
        <v>3450</v>
      </c>
      <c r="H321" s="8" t="s">
        <v>3451</v>
      </c>
      <c r="I321" s="8" t="s">
        <v>133</v>
      </c>
      <c r="J321" s="8" t="s">
        <v>56</v>
      </c>
      <c r="K321" s="7" t="s">
        <v>5425</v>
      </c>
      <c r="L321" s="8" t="s">
        <v>52</v>
      </c>
      <c r="M321" s="8" t="s">
        <v>2895</v>
      </c>
      <c r="N321" s="8" t="s">
        <v>185</v>
      </c>
      <c r="O321" s="32">
        <v>42447.0</v>
      </c>
      <c r="P321" s="42">
        <v>1625.0</v>
      </c>
      <c r="Q321" s="32">
        <v>46099.0</v>
      </c>
      <c r="R321" s="8" t="s">
        <v>226</v>
      </c>
      <c r="S321" s="8" t="s">
        <v>264</v>
      </c>
      <c r="T321" s="8" t="s">
        <v>115</v>
      </c>
      <c r="U321" s="8" t="s">
        <v>53</v>
      </c>
    </row>
    <row r="322">
      <c r="A322" s="8" t="s">
        <v>567</v>
      </c>
      <c r="B322" s="8" t="s">
        <v>570</v>
      </c>
      <c r="C322" s="8" t="s">
        <v>57</v>
      </c>
      <c r="D322" s="8" t="s">
        <v>54</v>
      </c>
      <c r="E322" s="8" t="s">
        <v>185</v>
      </c>
      <c r="F322" s="8" t="s">
        <v>2695</v>
      </c>
      <c r="G322" s="8" t="s">
        <v>2696</v>
      </c>
      <c r="H322" s="8" t="s">
        <v>2697</v>
      </c>
      <c r="I322" s="8" t="s">
        <v>55</v>
      </c>
      <c r="J322" s="8" t="s">
        <v>56</v>
      </c>
      <c r="K322" s="7" t="s">
        <v>5426</v>
      </c>
      <c r="L322" s="8" t="s">
        <v>52</v>
      </c>
      <c r="M322" s="8" t="s">
        <v>174</v>
      </c>
      <c r="N322" s="8" t="s">
        <v>185</v>
      </c>
      <c r="O322" s="32">
        <v>42461.0</v>
      </c>
      <c r="P322" s="42">
        <v>1875.0</v>
      </c>
      <c r="Q322" s="32">
        <v>46843.0</v>
      </c>
      <c r="R322" s="8" t="s">
        <v>226</v>
      </c>
      <c r="S322" s="8" t="s">
        <v>497</v>
      </c>
      <c r="T322" s="8" t="s">
        <v>115</v>
      </c>
      <c r="U322" s="8" t="s">
        <v>53</v>
      </c>
    </row>
    <row r="323">
      <c r="A323" s="8" t="s">
        <v>1519</v>
      </c>
      <c r="B323" s="8" t="s">
        <v>1522</v>
      </c>
      <c r="C323" s="8" t="s">
        <v>57</v>
      </c>
      <c r="D323" s="8" t="s">
        <v>54</v>
      </c>
      <c r="E323" s="8" t="s">
        <v>185</v>
      </c>
      <c r="F323" s="8" t="s">
        <v>3132</v>
      </c>
      <c r="G323" s="8" t="s">
        <v>3133</v>
      </c>
      <c r="H323" s="8" t="s">
        <v>3134</v>
      </c>
      <c r="I323" s="8" t="s">
        <v>117</v>
      </c>
      <c r="J323" s="8" t="s">
        <v>56</v>
      </c>
      <c r="K323" s="7" t="s">
        <v>5427</v>
      </c>
      <c r="L323" s="8" t="s">
        <v>52</v>
      </c>
      <c r="M323" s="8" t="s">
        <v>1771</v>
      </c>
      <c r="N323" s="8" t="s">
        <v>185</v>
      </c>
      <c r="O323" s="32">
        <v>42465.0</v>
      </c>
      <c r="P323" s="42">
        <v>625.0</v>
      </c>
      <c r="Q323" s="32">
        <v>45387.0</v>
      </c>
      <c r="R323" s="8" t="s">
        <v>226</v>
      </c>
      <c r="S323" s="8" t="s">
        <v>484</v>
      </c>
      <c r="T323" s="8" t="s">
        <v>115</v>
      </c>
      <c r="U323" s="8" t="s">
        <v>53</v>
      </c>
    </row>
    <row r="324">
      <c r="A324" s="8" t="s">
        <v>1519</v>
      </c>
      <c r="B324" s="8" t="s">
        <v>1522</v>
      </c>
      <c r="C324" s="8" t="s">
        <v>57</v>
      </c>
      <c r="D324" s="8" t="s">
        <v>54</v>
      </c>
      <c r="E324" s="8" t="s">
        <v>185</v>
      </c>
      <c r="F324" s="8" t="s">
        <v>3136</v>
      </c>
      <c r="G324" s="8" t="s">
        <v>3137</v>
      </c>
      <c r="H324" s="8" t="s">
        <v>3138</v>
      </c>
      <c r="I324" s="8" t="s">
        <v>117</v>
      </c>
      <c r="J324" s="8" t="s">
        <v>56</v>
      </c>
      <c r="K324" s="7" t="s">
        <v>5428</v>
      </c>
      <c r="L324" s="8" t="s">
        <v>52</v>
      </c>
      <c r="M324" s="8" t="s">
        <v>1771</v>
      </c>
      <c r="N324" s="8" t="s">
        <v>185</v>
      </c>
      <c r="O324" s="32">
        <v>42465.0</v>
      </c>
      <c r="P324" s="42">
        <v>1125.0</v>
      </c>
      <c r="Q324" s="32">
        <v>46848.0</v>
      </c>
      <c r="R324" s="8" t="s">
        <v>226</v>
      </c>
      <c r="S324" s="8" t="s">
        <v>484</v>
      </c>
      <c r="T324" s="8" t="s">
        <v>115</v>
      </c>
      <c r="U324" s="8" t="s">
        <v>53</v>
      </c>
    </row>
    <row r="325">
      <c r="A325" s="8" t="s">
        <v>1487</v>
      </c>
      <c r="B325" s="8" t="s">
        <v>1490</v>
      </c>
      <c r="C325" s="8" t="s">
        <v>57</v>
      </c>
      <c r="D325" s="8" t="s">
        <v>54</v>
      </c>
      <c r="E325" s="8" t="s">
        <v>185</v>
      </c>
      <c r="F325" s="8" t="s">
        <v>2280</v>
      </c>
      <c r="G325" s="8" t="s">
        <v>2281</v>
      </c>
      <c r="H325" s="8" t="s">
        <v>2282</v>
      </c>
      <c r="I325" s="8" t="s">
        <v>117</v>
      </c>
      <c r="J325" s="8" t="s">
        <v>56</v>
      </c>
      <c r="K325" s="7" t="s">
        <v>5429</v>
      </c>
      <c r="L325" s="8" t="s">
        <v>52</v>
      </c>
      <c r="M325" s="8" t="s">
        <v>1771</v>
      </c>
      <c r="N325" s="8" t="s">
        <v>185</v>
      </c>
      <c r="O325" s="32">
        <v>42486.0</v>
      </c>
      <c r="P325" s="7" t="s">
        <v>5235</v>
      </c>
      <c r="Q325" s="32">
        <v>45408.0</v>
      </c>
      <c r="R325" s="8" t="s">
        <v>226</v>
      </c>
      <c r="S325" s="8" t="s">
        <v>190</v>
      </c>
      <c r="T325" s="8" t="s">
        <v>115</v>
      </c>
      <c r="U325" s="8" t="s">
        <v>53</v>
      </c>
    </row>
    <row r="326">
      <c r="A326" s="8" t="s">
        <v>477</v>
      </c>
      <c r="B326" s="8" t="s">
        <v>480</v>
      </c>
      <c r="C326" s="8" t="s">
        <v>57</v>
      </c>
      <c r="D326" s="8" t="s">
        <v>54</v>
      </c>
      <c r="E326" s="8" t="s">
        <v>45</v>
      </c>
      <c r="F326" s="8" t="s">
        <v>2182</v>
      </c>
      <c r="G326" s="8" t="s">
        <v>2183</v>
      </c>
      <c r="H326" s="8" t="s">
        <v>2184</v>
      </c>
      <c r="I326" s="8" t="s">
        <v>55</v>
      </c>
      <c r="J326" s="8" t="s">
        <v>56</v>
      </c>
      <c r="K326" s="7" t="s">
        <v>5430</v>
      </c>
      <c r="L326" s="8" t="s">
        <v>459</v>
      </c>
      <c r="M326" s="8" t="s">
        <v>1771</v>
      </c>
      <c r="N326" s="8" t="s">
        <v>45</v>
      </c>
      <c r="O326" s="32">
        <v>42493.0</v>
      </c>
      <c r="P326" s="42">
        <v>375.0</v>
      </c>
      <c r="Q326" s="32">
        <v>45415.0</v>
      </c>
      <c r="R326" s="8">
        <v>198.0</v>
      </c>
      <c r="S326" s="8" t="s">
        <v>190</v>
      </c>
      <c r="T326" s="8" t="s">
        <v>49</v>
      </c>
      <c r="U326" s="8" t="s">
        <v>53</v>
      </c>
    </row>
    <row r="327">
      <c r="A327" s="8" t="s">
        <v>917</v>
      </c>
      <c r="B327" s="8" t="s">
        <v>920</v>
      </c>
      <c r="C327" s="8" t="s">
        <v>57</v>
      </c>
      <c r="D327" s="42">
        <v>1954.0</v>
      </c>
      <c r="E327" s="8" t="s">
        <v>185</v>
      </c>
      <c r="F327" s="8" t="s">
        <v>2926</v>
      </c>
      <c r="G327" s="8" t="s">
        <v>2927</v>
      </c>
      <c r="H327" s="8" t="s">
        <v>2928</v>
      </c>
      <c r="I327" s="8" t="s">
        <v>421</v>
      </c>
      <c r="J327" s="8" t="s">
        <v>56</v>
      </c>
      <c r="K327" s="7" t="s">
        <v>5431</v>
      </c>
      <c r="L327" s="8" t="s">
        <v>52</v>
      </c>
      <c r="M327" s="8" t="s">
        <v>1840</v>
      </c>
      <c r="N327" s="8" t="s">
        <v>185</v>
      </c>
      <c r="O327" s="32">
        <v>42354.0</v>
      </c>
      <c r="P327" s="42">
        <v>1875.0</v>
      </c>
      <c r="Q327" s="32">
        <v>46737.0</v>
      </c>
      <c r="R327" s="8" t="s">
        <v>174</v>
      </c>
      <c r="S327" s="8" t="s">
        <v>190</v>
      </c>
      <c r="T327" s="8" t="s">
        <v>115</v>
      </c>
      <c r="U327" s="8" t="s">
        <v>53</v>
      </c>
    </row>
    <row r="328">
      <c r="A328" s="8" t="s">
        <v>947</v>
      </c>
      <c r="B328" s="8" t="s">
        <v>950</v>
      </c>
      <c r="C328" s="8" t="s">
        <v>57</v>
      </c>
      <c r="D328" s="8" t="s">
        <v>54</v>
      </c>
      <c r="E328" s="8" t="s">
        <v>367</v>
      </c>
      <c r="F328" s="8" t="s">
        <v>2961</v>
      </c>
      <c r="G328" s="8" t="s">
        <v>2962</v>
      </c>
      <c r="H328" s="8" t="s">
        <v>2963</v>
      </c>
      <c r="I328" s="8" t="s">
        <v>55</v>
      </c>
      <c r="J328" s="8" t="s">
        <v>56</v>
      </c>
      <c r="K328" s="7" t="s">
        <v>5432</v>
      </c>
      <c r="L328" s="8" t="s">
        <v>52</v>
      </c>
      <c r="M328" s="8" t="s">
        <v>174</v>
      </c>
      <c r="N328" s="8" t="s">
        <v>367</v>
      </c>
      <c r="O328" s="32">
        <v>42501.0</v>
      </c>
      <c r="P328" s="7">
        <v>1.0</v>
      </c>
      <c r="Q328" s="32">
        <v>46153.0</v>
      </c>
      <c r="R328" s="8" t="s">
        <v>226</v>
      </c>
      <c r="S328" s="8" t="s">
        <v>1646</v>
      </c>
      <c r="T328" s="8" t="s">
        <v>115</v>
      </c>
      <c r="U328" s="8" t="s">
        <v>53</v>
      </c>
    </row>
    <row r="329">
      <c r="A329" s="8" t="s">
        <v>1526</v>
      </c>
      <c r="B329" s="8" t="s">
        <v>1529</v>
      </c>
      <c r="C329" s="8" t="s">
        <v>57</v>
      </c>
      <c r="D329" s="8" t="s">
        <v>54</v>
      </c>
      <c r="E329" s="8" t="s">
        <v>185</v>
      </c>
      <c r="F329" s="8" t="s">
        <v>3014</v>
      </c>
      <c r="G329" s="8" t="s">
        <v>3015</v>
      </c>
      <c r="H329" s="8" t="s">
        <v>3016</v>
      </c>
      <c r="I329" s="8" t="s">
        <v>421</v>
      </c>
      <c r="J329" s="8" t="s">
        <v>56</v>
      </c>
      <c r="K329" s="7" t="s">
        <v>5433</v>
      </c>
      <c r="L329" s="8" t="s">
        <v>52</v>
      </c>
      <c r="M329" s="8" t="s">
        <v>1771</v>
      </c>
      <c r="N329" s="8" t="s">
        <v>185</v>
      </c>
      <c r="O329" s="32">
        <v>42507.0</v>
      </c>
      <c r="P329" s="7" t="s">
        <v>5214</v>
      </c>
      <c r="Q329" s="32">
        <v>46160.0</v>
      </c>
      <c r="R329" s="8" t="s">
        <v>174</v>
      </c>
      <c r="S329" s="8" t="s">
        <v>620</v>
      </c>
      <c r="T329" s="8" t="s">
        <v>115</v>
      </c>
      <c r="U329" s="8" t="s">
        <v>53</v>
      </c>
    </row>
    <row r="330">
      <c r="A330" s="8" t="s">
        <v>614</v>
      </c>
      <c r="B330" s="8" t="s">
        <v>617</v>
      </c>
      <c r="C330" s="8" t="s">
        <v>57</v>
      </c>
      <c r="D330" s="8" t="s">
        <v>54</v>
      </c>
      <c r="E330" s="8" t="s">
        <v>200</v>
      </c>
      <c r="F330" s="8" t="s">
        <v>2517</v>
      </c>
      <c r="G330" s="8" t="s">
        <v>2518</v>
      </c>
      <c r="H330" s="8" t="s">
        <v>2519</v>
      </c>
      <c r="I330" s="8" t="s">
        <v>117</v>
      </c>
      <c r="J330" s="8" t="s">
        <v>56</v>
      </c>
      <c r="K330" s="7" t="s">
        <v>5434</v>
      </c>
      <c r="L330" s="8" t="s">
        <v>52</v>
      </c>
      <c r="M330" s="8" t="s">
        <v>1771</v>
      </c>
      <c r="N330" s="8" t="s">
        <v>200</v>
      </c>
      <c r="O330" s="32">
        <v>42507.0</v>
      </c>
      <c r="P330" s="7" t="s">
        <v>5235</v>
      </c>
      <c r="Q330" s="32">
        <v>44698.0</v>
      </c>
      <c r="R330" s="8" t="s">
        <v>226</v>
      </c>
      <c r="S330" s="8" t="s">
        <v>620</v>
      </c>
      <c r="T330" s="8" t="s">
        <v>49</v>
      </c>
      <c r="U330" s="8" t="s">
        <v>53</v>
      </c>
    </row>
    <row r="331">
      <c r="A331" s="8" t="s">
        <v>614</v>
      </c>
      <c r="B331" s="8" t="s">
        <v>617</v>
      </c>
      <c r="C331" s="8" t="s">
        <v>57</v>
      </c>
      <c r="D331" s="42">
        <v>1743.0</v>
      </c>
      <c r="E331" s="8" t="s">
        <v>200</v>
      </c>
      <c r="F331" s="8" t="s">
        <v>2521</v>
      </c>
      <c r="G331" s="8" t="s">
        <v>2522</v>
      </c>
      <c r="H331" s="8" t="s">
        <v>2523</v>
      </c>
      <c r="I331" s="8" t="s">
        <v>117</v>
      </c>
      <c r="J331" s="8" t="s">
        <v>56</v>
      </c>
      <c r="K331" s="7" t="s">
        <v>5435</v>
      </c>
      <c r="L331" s="8" t="s">
        <v>52</v>
      </c>
      <c r="M331" s="8" t="s">
        <v>1771</v>
      </c>
      <c r="N331" s="8" t="s">
        <v>200</v>
      </c>
      <c r="O331" s="32">
        <v>42507.0</v>
      </c>
      <c r="P331" s="42">
        <v>1625.0</v>
      </c>
      <c r="Q331" s="32">
        <v>46890.0</v>
      </c>
      <c r="R331" s="8" t="s">
        <v>226</v>
      </c>
      <c r="S331" s="8" t="s">
        <v>620</v>
      </c>
      <c r="T331" s="8" t="s">
        <v>49</v>
      </c>
      <c r="U331" s="8" t="s">
        <v>53</v>
      </c>
    </row>
    <row r="332">
      <c r="A332" s="8" t="s">
        <v>642</v>
      </c>
      <c r="B332" s="8" t="s">
        <v>645</v>
      </c>
      <c r="C332" s="8" t="s">
        <v>57</v>
      </c>
      <c r="D332" s="8" t="s">
        <v>54</v>
      </c>
      <c r="E332" s="8" t="s">
        <v>200</v>
      </c>
      <c r="F332" s="8" t="s">
        <v>2438</v>
      </c>
      <c r="G332" s="8" t="s">
        <v>2439</v>
      </c>
      <c r="H332" s="8" t="s">
        <v>2440</v>
      </c>
      <c r="I332" s="8" t="s">
        <v>55</v>
      </c>
      <c r="J332" s="8" t="s">
        <v>56</v>
      </c>
      <c r="K332" s="7" t="s">
        <v>5436</v>
      </c>
      <c r="L332" s="8" t="s">
        <v>52</v>
      </c>
      <c r="M332" s="8" t="s">
        <v>1771</v>
      </c>
      <c r="N332" s="8" t="s">
        <v>367</v>
      </c>
      <c r="O332" s="32">
        <v>42522.0</v>
      </c>
      <c r="P332" s="42">
        <v>1375.0</v>
      </c>
      <c r="Q332" s="32">
        <v>46174.0</v>
      </c>
      <c r="R332" s="8" t="s">
        <v>174</v>
      </c>
      <c r="S332" s="8" t="s">
        <v>620</v>
      </c>
      <c r="T332" s="8" t="s">
        <v>49</v>
      </c>
      <c r="U332" s="8" t="s">
        <v>53</v>
      </c>
    </row>
    <row r="333">
      <c r="A333" s="8" t="s">
        <v>1560</v>
      </c>
      <c r="B333" s="8" t="s">
        <v>1563</v>
      </c>
      <c r="C333" s="8" t="s">
        <v>57</v>
      </c>
      <c r="D333" s="8" t="s">
        <v>54</v>
      </c>
      <c r="E333" s="8" t="s">
        <v>258</v>
      </c>
      <c r="F333" s="8" t="s">
        <v>2772</v>
      </c>
      <c r="G333" s="8" t="s">
        <v>2773</v>
      </c>
      <c r="H333" s="8" t="s">
        <v>2774</v>
      </c>
      <c r="I333" s="8" t="s">
        <v>55</v>
      </c>
      <c r="J333" s="8" t="s">
        <v>56</v>
      </c>
      <c r="K333" s="43">
        <v>1.0E9</v>
      </c>
      <c r="L333" s="8" t="s">
        <v>52</v>
      </c>
      <c r="M333" s="8" t="s">
        <v>1776</v>
      </c>
      <c r="N333" s="8" t="s">
        <v>367</v>
      </c>
      <c r="O333" s="32">
        <v>42515.0</v>
      </c>
      <c r="P333" s="7" t="s">
        <v>5238</v>
      </c>
      <c r="Q333" s="32">
        <v>45071.0</v>
      </c>
      <c r="R333" s="8" t="s">
        <v>174</v>
      </c>
      <c r="S333" s="8" t="s">
        <v>175</v>
      </c>
      <c r="T333" s="8" t="s">
        <v>49</v>
      </c>
      <c r="U333" s="8" t="s">
        <v>53</v>
      </c>
    </row>
    <row r="334">
      <c r="A334" s="8" t="s">
        <v>166</v>
      </c>
      <c r="B334" s="8" t="s">
        <v>169</v>
      </c>
      <c r="C334" s="8" t="s">
        <v>57</v>
      </c>
      <c r="D334" s="8" t="s">
        <v>54</v>
      </c>
      <c r="E334" s="8" t="s">
        <v>171</v>
      </c>
      <c r="F334" s="8" t="s">
        <v>2671</v>
      </c>
      <c r="G334" s="8" t="s">
        <v>2672</v>
      </c>
      <c r="H334" s="8" t="s">
        <v>2673</v>
      </c>
      <c r="I334" s="8" t="s">
        <v>55</v>
      </c>
      <c r="J334" s="8" t="s">
        <v>56</v>
      </c>
      <c r="K334" s="7" t="s">
        <v>5437</v>
      </c>
      <c r="L334" s="8" t="s">
        <v>52</v>
      </c>
      <c r="M334" s="8" t="s">
        <v>1771</v>
      </c>
      <c r="N334" s="8" t="s">
        <v>170</v>
      </c>
      <c r="O334" s="32">
        <v>42516.0</v>
      </c>
      <c r="P334" s="42">
        <v>1375.0</v>
      </c>
      <c r="Q334" s="32">
        <v>45072.0</v>
      </c>
      <c r="R334" s="8" t="s">
        <v>226</v>
      </c>
      <c r="S334" s="8" t="s">
        <v>175</v>
      </c>
      <c r="T334" s="8" t="s">
        <v>115</v>
      </c>
      <c r="U334" s="8" t="s">
        <v>53</v>
      </c>
    </row>
    <row r="335">
      <c r="A335" s="8" t="s">
        <v>166</v>
      </c>
      <c r="B335" s="8" t="s">
        <v>169</v>
      </c>
      <c r="C335" s="8" t="s">
        <v>57</v>
      </c>
      <c r="D335" s="8" t="s">
        <v>54</v>
      </c>
      <c r="E335" s="8" t="s">
        <v>171</v>
      </c>
      <c r="F335" s="8" t="s">
        <v>2675</v>
      </c>
      <c r="G335" s="8" t="s">
        <v>2676</v>
      </c>
      <c r="H335" s="8" t="s">
        <v>2677</v>
      </c>
      <c r="I335" s="8" t="s">
        <v>55</v>
      </c>
      <c r="J335" s="8" t="s">
        <v>56</v>
      </c>
      <c r="K335" s="7" t="s">
        <v>5437</v>
      </c>
      <c r="L335" s="8" t="s">
        <v>52</v>
      </c>
      <c r="M335" s="8" t="s">
        <v>1771</v>
      </c>
      <c r="N335" s="8" t="s">
        <v>170</v>
      </c>
      <c r="O335" s="32">
        <v>42516.0</v>
      </c>
      <c r="P335" s="7" t="s">
        <v>5438</v>
      </c>
      <c r="Q335" s="32">
        <v>46899.0</v>
      </c>
      <c r="R335" s="8" t="s">
        <v>226</v>
      </c>
      <c r="S335" s="8" t="s">
        <v>175</v>
      </c>
      <c r="T335" s="8" t="s">
        <v>115</v>
      </c>
      <c r="U335" s="8" t="s">
        <v>53</v>
      </c>
    </row>
    <row r="336">
      <c r="A336" s="8" t="s">
        <v>1526</v>
      </c>
      <c r="B336" s="8" t="s">
        <v>1529</v>
      </c>
      <c r="C336" s="8" t="s">
        <v>71</v>
      </c>
      <c r="D336" s="42">
        <v>3316.0</v>
      </c>
      <c r="E336" s="8" t="s">
        <v>185</v>
      </c>
      <c r="F336" s="8" t="s">
        <v>3018</v>
      </c>
      <c r="G336" s="8" t="s">
        <v>3019</v>
      </c>
      <c r="H336" s="8" t="s">
        <v>3020</v>
      </c>
      <c r="I336" s="8" t="s">
        <v>421</v>
      </c>
      <c r="J336" s="8" t="s">
        <v>56</v>
      </c>
      <c r="K336" s="43">
        <v>6.0E8</v>
      </c>
      <c r="L336" s="8" t="s">
        <v>52</v>
      </c>
      <c r="M336" s="8" t="s">
        <v>1771</v>
      </c>
      <c r="N336" s="8" t="s">
        <v>185</v>
      </c>
      <c r="O336" s="32">
        <v>42529.0</v>
      </c>
      <c r="P336" s="7" t="s">
        <v>5244</v>
      </c>
      <c r="Q336" s="32">
        <v>46181.0</v>
      </c>
      <c r="R336" s="8" t="s">
        <v>262</v>
      </c>
      <c r="S336" s="8" t="s">
        <v>620</v>
      </c>
      <c r="T336" s="8" t="s">
        <v>115</v>
      </c>
      <c r="U336" s="8" t="s">
        <v>263</v>
      </c>
    </row>
    <row r="337">
      <c r="A337" s="8" t="s">
        <v>1526</v>
      </c>
      <c r="B337" s="8" t="s">
        <v>1529</v>
      </c>
      <c r="C337" s="8" t="s">
        <v>71</v>
      </c>
      <c r="D337" s="42">
        <v>3316.0</v>
      </c>
      <c r="E337" s="8" t="s">
        <v>185</v>
      </c>
      <c r="F337" s="8" t="s">
        <v>3022</v>
      </c>
      <c r="G337" s="8" t="s">
        <v>3023</v>
      </c>
      <c r="H337" s="8" t="s">
        <v>3024</v>
      </c>
      <c r="I337" s="8" t="s">
        <v>421</v>
      </c>
      <c r="J337" s="8" t="s">
        <v>56</v>
      </c>
      <c r="K337" s="43">
        <v>6.0E8</v>
      </c>
      <c r="L337" s="8" t="s">
        <v>52</v>
      </c>
      <c r="M337" s="8" t="s">
        <v>1771</v>
      </c>
      <c r="N337" s="8" t="s">
        <v>185</v>
      </c>
      <c r="O337" s="32">
        <v>42529.0</v>
      </c>
      <c r="P337" s="7" t="s">
        <v>5244</v>
      </c>
      <c r="Q337" s="32">
        <v>46181.0</v>
      </c>
      <c r="R337" s="8" t="s">
        <v>271</v>
      </c>
      <c r="S337" s="8" t="s">
        <v>620</v>
      </c>
      <c r="T337" s="8" t="s">
        <v>115</v>
      </c>
      <c r="U337" s="8" t="s">
        <v>263</v>
      </c>
    </row>
    <row r="338">
      <c r="A338" s="8" t="s">
        <v>1059</v>
      </c>
      <c r="B338" s="8" t="s">
        <v>1046</v>
      </c>
      <c r="C338" s="8" t="s">
        <v>71</v>
      </c>
      <c r="D338" s="42">
        <v>2853.0</v>
      </c>
      <c r="E338" s="8" t="s">
        <v>1047</v>
      </c>
      <c r="F338" s="8" t="s">
        <v>3387</v>
      </c>
      <c r="G338" s="8" t="s">
        <v>3388</v>
      </c>
      <c r="H338" s="8" t="s">
        <v>3389</v>
      </c>
      <c r="I338" s="8" t="s">
        <v>55</v>
      </c>
      <c r="J338" s="8" t="s">
        <v>56</v>
      </c>
      <c r="K338" s="43">
        <v>3.0E9</v>
      </c>
      <c r="L338" s="8" t="s">
        <v>52</v>
      </c>
      <c r="M338" s="8" t="s">
        <v>2895</v>
      </c>
      <c r="N338" s="8" t="s">
        <v>367</v>
      </c>
      <c r="O338" s="32">
        <v>42572.0</v>
      </c>
      <c r="P338" s="7" t="s">
        <v>5439</v>
      </c>
      <c r="Q338" s="32">
        <v>45128.0</v>
      </c>
      <c r="R338" s="8" t="s">
        <v>174</v>
      </c>
      <c r="S338" s="8" t="s">
        <v>297</v>
      </c>
      <c r="T338" s="8" t="s">
        <v>49</v>
      </c>
      <c r="U338" s="8" t="s">
        <v>263</v>
      </c>
    </row>
    <row r="339">
      <c r="A339" s="8" t="s">
        <v>1059</v>
      </c>
      <c r="B339" s="8" t="s">
        <v>1046</v>
      </c>
      <c r="C339" s="8" t="s">
        <v>71</v>
      </c>
      <c r="D339" s="7" t="s">
        <v>5440</v>
      </c>
      <c r="E339" s="8" t="s">
        <v>1047</v>
      </c>
      <c r="F339" s="8" t="s">
        <v>3391</v>
      </c>
      <c r="G339" s="8" t="s">
        <v>3392</v>
      </c>
      <c r="H339" s="8" t="s">
        <v>3393</v>
      </c>
      <c r="I339" s="8" t="s">
        <v>55</v>
      </c>
      <c r="J339" s="8" t="s">
        <v>56</v>
      </c>
      <c r="K339" s="7" t="s">
        <v>5441</v>
      </c>
      <c r="L339" s="8" t="s">
        <v>52</v>
      </c>
      <c r="M339" s="8" t="s">
        <v>2895</v>
      </c>
      <c r="N339" s="8" t="s">
        <v>367</v>
      </c>
      <c r="O339" s="32">
        <v>42572.0</v>
      </c>
      <c r="P339" s="7" t="s">
        <v>5442</v>
      </c>
      <c r="Q339" s="32">
        <v>46296.0</v>
      </c>
      <c r="R339" s="8" t="s">
        <v>174</v>
      </c>
      <c r="S339" s="8" t="s">
        <v>297</v>
      </c>
      <c r="T339" s="8" t="s">
        <v>49</v>
      </c>
      <c r="U339" s="8" t="s">
        <v>263</v>
      </c>
    </row>
    <row r="340">
      <c r="A340" s="8" t="s">
        <v>1059</v>
      </c>
      <c r="B340" s="8" t="s">
        <v>1046</v>
      </c>
      <c r="C340" s="8" t="s">
        <v>71</v>
      </c>
      <c r="D340" s="42">
        <v>4148.0</v>
      </c>
      <c r="E340" s="8" t="s">
        <v>1047</v>
      </c>
      <c r="F340" s="8" t="s">
        <v>3395</v>
      </c>
      <c r="G340" s="8" t="s">
        <v>3396</v>
      </c>
      <c r="H340" s="8" t="s">
        <v>3397</v>
      </c>
      <c r="I340" s="8" t="s">
        <v>55</v>
      </c>
      <c r="J340" s="8" t="s">
        <v>56</v>
      </c>
      <c r="K340" s="43">
        <v>2.0E9</v>
      </c>
      <c r="L340" s="8" t="s">
        <v>52</v>
      </c>
      <c r="M340" s="8" t="s">
        <v>2895</v>
      </c>
      <c r="N340" s="8" t="s">
        <v>367</v>
      </c>
      <c r="O340" s="32">
        <v>42572.0</v>
      </c>
      <c r="P340" s="7" t="s">
        <v>5443</v>
      </c>
      <c r="Q340" s="32">
        <v>53601.0</v>
      </c>
      <c r="R340" s="8" t="s">
        <v>174</v>
      </c>
      <c r="S340" s="8" t="s">
        <v>297</v>
      </c>
      <c r="T340" s="8" t="s">
        <v>49</v>
      </c>
      <c r="U340" s="8" t="s">
        <v>263</v>
      </c>
    </row>
    <row r="341">
      <c r="A341" s="8" t="s">
        <v>1043</v>
      </c>
      <c r="B341" s="8" t="s">
        <v>1046</v>
      </c>
      <c r="C341" s="8" t="s">
        <v>57</v>
      </c>
      <c r="D341" s="8" t="s">
        <v>54</v>
      </c>
      <c r="E341" s="8" t="s">
        <v>1047</v>
      </c>
      <c r="F341" s="8" t="s">
        <v>3351</v>
      </c>
      <c r="G341" s="8" t="s">
        <v>3352</v>
      </c>
      <c r="H341" s="8" t="s">
        <v>3353</v>
      </c>
      <c r="I341" s="8" t="s">
        <v>55</v>
      </c>
      <c r="J341" s="8" t="s">
        <v>56</v>
      </c>
      <c r="K341" s="7" t="s">
        <v>5444</v>
      </c>
      <c r="L341" s="8" t="s">
        <v>52</v>
      </c>
      <c r="M341" s="8" t="s">
        <v>2895</v>
      </c>
      <c r="N341" s="8" t="s">
        <v>367</v>
      </c>
      <c r="O341" s="32">
        <v>42576.0</v>
      </c>
      <c r="P341" s="42">
        <v>1125.0</v>
      </c>
      <c r="Q341" s="32">
        <v>45580.0</v>
      </c>
      <c r="R341" s="8" t="s">
        <v>174</v>
      </c>
      <c r="S341" s="8" t="s">
        <v>297</v>
      </c>
      <c r="T341" s="8" t="s">
        <v>49</v>
      </c>
      <c r="U341" s="8" t="s">
        <v>53</v>
      </c>
    </row>
    <row r="342">
      <c r="A342" s="8" t="s">
        <v>1043</v>
      </c>
      <c r="B342" s="8" t="s">
        <v>1046</v>
      </c>
      <c r="C342" s="8" t="s">
        <v>57</v>
      </c>
      <c r="D342" s="8" t="s">
        <v>54</v>
      </c>
      <c r="E342" s="8" t="s">
        <v>1047</v>
      </c>
      <c r="F342" s="8" t="s">
        <v>3355</v>
      </c>
      <c r="G342" s="8" t="s">
        <v>3356</v>
      </c>
      <c r="H342" s="8" t="s">
        <v>3357</v>
      </c>
      <c r="I342" s="8" t="s">
        <v>55</v>
      </c>
      <c r="J342" s="8" t="s">
        <v>56</v>
      </c>
      <c r="K342" s="7" t="s">
        <v>5445</v>
      </c>
      <c r="L342" s="8" t="s">
        <v>52</v>
      </c>
      <c r="M342" s="8" t="s">
        <v>2895</v>
      </c>
      <c r="N342" s="8" t="s">
        <v>367</v>
      </c>
      <c r="O342" s="32">
        <v>42576.0</v>
      </c>
      <c r="P342" s="42">
        <v>1625.0</v>
      </c>
      <c r="Q342" s="32">
        <v>47041.0</v>
      </c>
      <c r="R342" s="8" t="s">
        <v>174</v>
      </c>
      <c r="S342" s="8" t="s">
        <v>297</v>
      </c>
      <c r="T342" s="8" t="s">
        <v>49</v>
      </c>
      <c r="U342" s="8" t="s">
        <v>53</v>
      </c>
    </row>
    <row r="343">
      <c r="A343" s="8" t="s">
        <v>1360</v>
      </c>
      <c r="B343" s="8" t="s">
        <v>1363</v>
      </c>
      <c r="C343" s="8" t="s">
        <v>57</v>
      </c>
      <c r="D343" s="8" t="s">
        <v>54</v>
      </c>
      <c r="E343" s="8" t="s">
        <v>200</v>
      </c>
      <c r="F343" s="8" t="s">
        <v>3254</v>
      </c>
      <c r="G343" s="8" t="s">
        <v>3255</v>
      </c>
      <c r="H343" s="8" t="s">
        <v>3256</v>
      </c>
      <c r="I343" s="8" t="s">
        <v>117</v>
      </c>
      <c r="J343" s="8" t="s">
        <v>56</v>
      </c>
      <c r="K343" s="7" t="s">
        <v>5303</v>
      </c>
      <c r="L343" s="8" t="s">
        <v>52</v>
      </c>
      <c r="M343" s="8" t="s">
        <v>1771</v>
      </c>
      <c r="N343" s="8" t="s">
        <v>200</v>
      </c>
      <c r="O343" s="32">
        <v>42327.0</v>
      </c>
      <c r="P343" s="42">
        <v>1375.0</v>
      </c>
      <c r="Q343" s="32">
        <v>45249.0</v>
      </c>
      <c r="R343" s="8" t="s">
        <v>226</v>
      </c>
      <c r="S343" s="8" t="s">
        <v>175</v>
      </c>
      <c r="T343" s="8" t="s">
        <v>49</v>
      </c>
      <c r="U343" s="8" t="s">
        <v>53</v>
      </c>
    </row>
    <row r="344">
      <c r="A344" s="8" t="s">
        <v>1122</v>
      </c>
      <c r="B344" s="8" t="s">
        <v>1125</v>
      </c>
      <c r="C344" s="8" t="s">
        <v>57</v>
      </c>
      <c r="D344" s="8" t="s">
        <v>54</v>
      </c>
      <c r="E344" s="8" t="s">
        <v>367</v>
      </c>
      <c r="F344" s="8" t="s">
        <v>2859</v>
      </c>
      <c r="G344" s="8" t="s">
        <v>2860</v>
      </c>
      <c r="H344" s="8" t="s">
        <v>2861</v>
      </c>
      <c r="I344" s="8" t="s">
        <v>133</v>
      </c>
      <c r="J344" s="8" t="s">
        <v>56</v>
      </c>
      <c r="K344" s="7" t="s">
        <v>5446</v>
      </c>
      <c r="L344" s="8" t="s">
        <v>52</v>
      </c>
      <c r="M344" s="8" t="s">
        <v>1771</v>
      </c>
      <c r="N344" s="8" t="s">
        <v>367</v>
      </c>
      <c r="O344" s="32">
        <v>42622.0</v>
      </c>
      <c r="P344" s="42">
        <v>625.0</v>
      </c>
      <c r="Q344" s="32">
        <v>45756.0</v>
      </c>
      <c r="R344" s="8" t="s">
        <v>1128</v>
      </c>
      <c r="S344" s="8" t="s">
        <v>497</v>
      </c>
      <c r="T344" s="8" t="s">
        <v>115</v>
      </c>
      <c r="U344" s="8" t="s">
        <v>53</v>
      </c>
    </row>
    <row r="345">
      <c r="A345" s="8" t="s">
        <v>1122</v>
      </c>
      <c r="B345" s="8" t="s">
        <v>1125</v>
      </c>
      <c r="C345" s="8" t="s">
        <v>57</v>
      </c>
      <c r="D345" s="8" t="s">
        <v>54</v>
      </c>
      <c r="E345" s="8" t="s">
        <v>367</v>
      </c>
      <c r="F345" s="8" t="s">
        <v>2863</v>
      </c>
      <c r="G345" s="8" t="s">
        <v>2864</v>
      </c>
      <c r="H345" s="8" t="s">
        <v>2865</v>
      </c>
      <c r="I345" s="8" t="s">
        <v>133</v>
      </c>
      <c r="J345" s="8" t="s">
        <v>56</v>
      </c>
      <c r="K345" s="7" t="s">
        <v>5446</v>
      </c>
      <c r="L345" s="8" t="s">
        <v>52</v>
      </c>
      <c r="M345" s="8" t="s">
        <v>1771</v>
      </c>
      <c r="N345" s="8" t="s">
        <v>367</v>
      </c>
      <c r="O345" s="32">
        <v>42622.0</v>
      </c>
      <c r="P345" s="42">
        <v>1125.0</v>
      </c>
      <c r="Q345" s="32">
        <v>47007.0</v>
      </c>
      <c r="R345" s="8" t="s">
        <v>1128</v>
      </c>
      <c r="S345" s="8" t="s">
        <v>497</v>
      </c>
      <c r="T345" s="8" t="s">
        <v>115</v>
      </c>
      <c r="U345" s="8" t="s">
        <v>53</v>
      </c>
    </row>
    <row r="346">
      <c r="A346" s="8" t="s">
        <v>181</v>
      </c>
      <c r="B346" s="8" t="s">
        <v>184</v>
      </c>
      <c r="C346" s="8" t="s">
        <v>57</v>
      </c>
      <c r="D346" s="8" t="s">
        <v>54</v>
      </c>
      <c r="E346" s="8" t="s">
        <v>186</v>
      </c>
      <c r="F346" s="8" t="s">
        <v>3189</v>
      </c>
      <c r="G346" s="8" t="s">
        <v>3190</v>
      </c>
      <c r="H346" s="8" t="s">
        <v>3191</v>
      </c>
      <c r="I346" s="8" t="s">
        <v>133</v>
      </c>
      <c r="J346" s="8" t="s">
        <v>56</v>
      </c>
      <c r="K346" s="7" t="s">
        <v>5447</v>
      </c>
      <c r="L346" s="8" t="s">
        <v>52</v>
      </c>
      <c r="M346" s="8" t="s">
        <v>1771</v>
      </c>
      <c r="N346" s="8" t="s">
        <v>185</v>
      </c>
      <c r="O346" s="32">
        <v>42622.0</v>
      </c>
      <c r="P346" s="7" t="s">
        <v>5279</v>
      </c>
      <c r="Q346" s="32">
        <v>45544.0</v>
      </c>
      <c r="R346" s="8" t="s">
        <v>226</v>
      </c>
      <c r="S346" s="8" t="s">
        <v>447</v>
      </c>
      <c r="T346" s="8" t="s">
        <v>115</v>
      </c>
      <c r="U346" s="8" t="s">
        <v>53</v>
      </c>
    </row>
    <row r="347">
      <c r="A347" s="8" t="s">
        <v>1133</v>
      </c>
      <c r="B347" s="8" t="s">
        <v>1136</v>
      </c>
      <c r="C347" s="8" t="s">
        <v>57</v>
      </c>
      <c r="D347" s="42">
        <v>946.0</v>
      </c>
      <c r="E347" s="8" t="s">
        <v>45</v>
      </c>
      <c r="F347" s="8" t="s">
        <v>2606</v>
      </c>
      <c r="G347" s="8" t="s">
        <v>2607</v>
      </c>
      <c r="H347" s="8" t="s">
        <v>2608</v>
      </c>
      <c r="I347" s="8" t="s">
        <v>421</v>
      </c>
      <c r="J347" s="8" t="s">
        <v>56</v>
      </c>
      <c r="K347" s="7" t="s">
        <v>5448</v>
      </c>
      <c r="L347" s="8" t="s">
        <v>52</v>
      </c>
      <c r="M347" s="8" t="s">
        <v>2609</v>
      </c>
      <c r="N347" s="8" t="s">
        <v>45</v>
      </c>
      <c r="O347" s="32">
        <v>42626.0</v>
      </c>
      <c r="P347" s="42">
        <v>875.0</v>
      </c>
      <c r="Q347" s="32">
        <v>44817.0</v>
      </c>
      <c r="R347" s="8" t="s">
        <v>226</v>
      </c>
      <c r="S347" s="8" t="s">
        <v>117</v>
      </c>
      <c r="T347" s="8" t="s">
        <v>115</v>
      </c>
      <c r="U347" s="8" t="s">
        <v>1548</v>
      </c>
    </row>
    <row r="348">
      <c r="A348" s="8" t="s">
        <v>1519</v>
      </c>
      <c r="B348" s="8" t="s">
        <v>1522</v>
      </c>
      <c r="C348" s="8" t="s">
        <v>57</v>
      </c>
      <c r="D348" s="8" t="s">
        <v>54</v>
      </c>
      <c r="E348" s="8" t="s">
        <v>185</v>
      </c>
      <c r="F348" s="8" t="s">
        <v>3140</v>
      </c>
      <c r="G348" s="8" t="s">
        <v>3141</v>
      </c>
      <c r="H348" s="8" t="s">
        <v>3142</v>
      </c>
      <c r="I348" s="8" t="s">
        <v>117</v>
      </c>
      <c r="J348" s="8" t="s">
        <v>56</v>
      </c>
      <c r="K348" s="7" t="s">
        <v>5449</v>
      </c>
      <c r="L348" s="8" t="s">
        <v>52</v>
      </c>
      <c r="M348" s="8" t="s">
        <v>1771</v>
      </c>
      <c r="N348" s="8" t="s">
        <v>185</v>
      </c>
      <c r="O348" s="32">
        <v>42626.0</v>
      </c>
      <c r="P348" s="7">
        <v>0.0</v>
      </c>
      <c r="Q348" s="32">
        <v>44817.0</v>
      </c>
      <c r="R348" s="8" t="s">
        <v>226</v>
      </c>
      <c r="S348" s="8" t="s">
        <v>484</v>
      </c>
      <c r="T348" s="8" t="s">
        <v>115</v>
      </c>
      <c r="U348" s="8" t="s">
        <v>53</v>
      </c>
    </row>
    <row r="349">
      <c r="A349" s="8" t="s">
        <v>1519</v>
      </c>
      <c r="B349" s="8" t="s">
        <v>1522</v>
      </c>
      <c r="C349" s="8" t="s">
        <v>57</v>
      </c>
      <c r="D349" s="8" t="s">
        <v>54</v>
      </c>
      <c r="E349" s="8" t="s">
        <v>185</v>
      </c>
      <c r="F349" s="8" t="s">
        <v>3144</v>
      </c>
      <c r="G349" s="8" t="s">
        <v>3145</v>
      </c>
      <c r="H349" s="8" t="s">
        <v>3146</v>
      </c>
      <c r="I349" s="8" t="s">
        <v>117</v>
      </c>
      <c r="J349" s="8" t="s">
        <v>56</v>
      </c>
      <c r="K349" s="7" t="s">
        <v>5437</v>
      </c>
      <c r="L349" s="8" t="s">
        <v>52</v>
      </c>
      <c r="M349" s="8" t="s">
        <v>1771</v>
      </c>
      <c r="N349" s="8" t="s">
        <v>185</v>
      </c>
      <c r="O349" s="32">
        <v>42626.0</v>
      </c>
      <c r="P349" s="7" t="s">
        <v>5248</v>
      </c>
      <c r="Q349" s="32">
        <v>46400.0</v>
      </c>
      <c r="R349" s="8" t="s">
        <v>226</v>
      </c>
      <c r="S349" s="8" t="s">
        <v>484</v>
      </c>
      <c r="T349" s="8" t="s">
        <v>115</v>
      </c>
      <c r="U349" s="8" t="s">
        <v>53</v>
      </c>
    </row>
    <row r="350">
      <c r="A350" s="8" t="s">
        <v>1640</v>
      </c>
      <c r="B350" s="8" t="s">
        <v>1643</v>
      </c>
      <c r="C350" s="8" t="s">
        <v>57</v>
      </c>
      <c r="D350" s="8" t="s">
        <v>54</v>
      </c>
      <c r="E350" s="8" t="s">
        <v>171</v>
      </c>
      <c r="F350" s="8" t="s">
        <v>2989</v>
      </c>
      <c r="G350" s="8" t="s">
        <v>2990</v>
      </c>
      <c r="H350" s="8" t="s">
        <v>2991</v>
      </c>
      <c r="I350" s="8" t="s">
        <v>55</v>
      </c>
      <c r="J350" s="8" t="s">
        <v>56</v>
      </c>
      <c r="K350" s="7" t="s">
        <v>5436</v>
      </c>
      <c r="L350" s="8" t="s">
        <v>52</v>
      </c>
      <c r="M350" s="8" t="s">
        <v>174</v>
      </c>
      <c r="N350" s="8" t="s">
        <v>170</v>
      </c>
      <c r="O350" s="32">
        <v>42633.0</v>
      </c>
      <c r="P350" s="42">
        <v>125.0</v>
      </c>
      <c r="Q350" s="32">
        <v>45189.0</v>
      </c>
      <c r="R350" s="8" t="s">
        <v>174</v>
      </c>
      <c r="S350" s="8" t="s">
        <v>1646</v>
      </c>
      <c r="T350" s="8" t="s">
        <v>49</v>
      </c>
      <c r="U350" s="8" t="s">
        <v>53</v>
      </c>
    </row>
    <row r="351">
      <c r="A351" s="8" t="s">
        <v>1640</v>
      </c>
      <c r="B351" s="8" t="s">
        <v>1643</v>
      </c>
      <c r="C351" s="8" t="s">
        <v>57</v>
      </c>
      <c r="D351" s="8" t="s">
        <v>54</v>
      </c>
      <c r="E351" s="8" t="s">
        <v>171</v>
      </c>
      <c r="F351" s="8" t="s">
        <v>2993</v>
      </c>
      <c r="G351" s="8" t="s">
        <v>2994</v>
      </c>
      <c r="H351" s="8" t="s">
        <v>2995</v>
      </c>
      <c r="I351" s="8" t="s">
        <v>55</v>
      </c>
      <c r="J351" s="8" t="s">
        <v>56</v>
      </c>
      <c r="K351" s="7" t="s">
        <v>5381</v>
      </c>
      <c r="L351" s="8" t="s">
        <v>52</v>
      </c>
      <c r="M351" s="8" t="s">
        <v>174</v>
      </c>
      <c r="N351" s="8" t="s">
        <v>170</v>
      </c>
      <c r="O351" s="32">
        <v>42633.0</v>
      </c>
      <c r="P351" s="42">
        <v>625.0</v>
      </c>
      <c r="Q351" s="32">
        <v>47016.0</v>
      </c>
      <c r="R351" s="8" t="s">
        <v>174</v>
      </c>
      <c r="S351" s="8" t="s">
        <v>1646</v>
      </c>
      <c r="T351" s="8" t="s">
        <v>49</v>
      </c>
      <c r="U351" s="8" t="s">
        <v>53</v>
      </c>
    </row>
    <row r="352">
      <c r="A352" s="8" t="s">
        <v>614</v>
      </c>
      <c r="B352" s="8" t="s">
        <v>617</v>
      </c>
      <c r="C352" s="8" t="s">
        <v>57</v>
      </c>
      <c r="D352" s="8" t="s">
        <v>54</v>
      </c>
      <c r="E352" s="8" t="s">
        <v>200</v>
      </c>
      <c r="F352" s="8" t="s">
        <v>2525</v>
      </c>
      <c r="G352" s="8" t="s">
        <v>2526</v>
      </c>
      <c r="H352" s="8" t="s">
        <v>2527</v>
      </c>
      <c r="I352" s="8" t="s">
        <v>117</v>
      </c>
      <c r="J352" s="8" t="s">
        <v>56</v>
      </c>
      <c r="K352" s="7" t="s">
        <v>5450</v>
      </c>
      <c r="L352" s="8" t="s">
        <v>52</v>
      </c>
      <c r="M352" s="8" t="s">
        <v>1771</v>
      </c>
      <c r="N352" s="8" t="s">
        <v>200</v>
      </c>
      <c r="O352" s="32">
        <v>42632.0</v>
      </c>
      <c r="P352" s="42">
        <v>625.0</v>
      </c>
      <c r="Q352" s="32">
        <v>45554.0</v>
      </c>
      <c r="R352" s="8" t="s">
        <v>226</v>
      </c>
      <c r="S352" s="8" t="s">
        <v>620</v>
      </c>
      <c r="T352" s="8" t="s">
        <v>49</v>
      </c>
      <c r="U352" s="8" t="s">
        <v>53</v>
      </c>
    </row>
    <row r="353">
      <c r="A353" s="8" t="s">
        <v>614</v>
      </c>
      <c r="B353" s="8" t="s">
        <v>617</v>
      </c>
      <c r="C353" s="8" t="s">
        <v>57</v>
      </c>
      <c r="D353" s="8" t="s">
        <v>54</v>
      </c>
      <c r="E353" s="8" t="s">
        <v>200</v>
      </c>
      <c r="F353" s="8" t="s">
        <v>2529</v>
      </c>
      <c r="G353" s="8" t="s">
        <v>2530</v>
      </c>
      <c r="H353" s="8" t="s">
        <v>2531</v>
      </c>
      <c r="I353" s="8" t="s">
        <v>117</v>
      </c>
      <c r="J353" s="8" t="s">
        <v>56</v>
      </c>
      <c r="K353" s="7" t="s">
        <v>5451</v>
      </c>
      <c r="L353" s="8" t="s">
        <v>52</v>
      </c>
      <c r="M353" s="8" t="s">
        <v>1771</v>
      </c>
      <c r="N353" s="8" t="s">
        <v>200</v>
      </c>
      <c r="O353" s="32">
        <v>42632.0</v>
      </c>
      <c r="P353" s="42">
        <v>1125.0</v>
      </c>
      <c r="Q353" s="32">
        <v>47015.0</v>
      </c>
      <c r="R353" s="8" t="s">
        <v>226</v>
      </c>
      <c r="S353" s="8" t="s">
        <v>620</v>
      </c>
      <c r="T353" s="8" t="s">
        <v>49</v>
      </c>
      <c r="U353" s="8" t="s">
        <v>53</v>
      </c>
    </row>
    <row r="354">
      <c r="A354" s="8" t="s">
        <v>980</v>
      </c>
      <c r="B354" s="8" t="s">
        <v>983</v>
      </c>
      <c r="C354" s="8" t="s">
        <v>57</v>
      </c>
      <c r="D354" s="8" t="s">
        <v>54</v>
      </c>
      <c r="E354" s="8" t="s">
        <v>200</v>
      </c>
      <c r="F354" s="8" t="s">
        <v>2631</v>
      </c>
      <c r="G354" s="8" t="s">
        <v>2632</v>
      </c>
      <c r="H354" s="8" t="s">
        <v>2633</v>
      </c>
      <c r="I354" s="8" t="s">
        <v>55</v>
      </c>
      <c r="J354" s="8" t="s">
        <v>56</v>
      </c>
      <c r="K354" s="7" t="s">
        <v>5452</v>
      </c>
      <c r="L354" s="8" t="s">
        <v>52</v>
      </c>
      <c r="M354" s="8" t="s">
        <v>1776</v>
      </c>
      <c r="N354" s="8" t="s">
        <v>200</v>
      </c>
      <c r="O354" s="32">
        <v>42657.0</v>
      </c>
      <c r="P354" s="42">
        <v>875.0</v>
      </c>
      <c r="Q354" s="32">
        <v>46309.0</v>
      </c>
      <c r="R354" s="8" t="s">
        <v>226</v>
      </c>
      <c r="S354" s="8" t="s">
        <v>175</v>
      </c>
      <c r="T354" s="8" t="s">
        <v>49</v>
      </c>
      <c r="U354" s="8" t="s">
        <v>53</v>
      </c>
    </row>
    <row r="355">
      <c r="A355" s="8" t="s">
        <v>1217</v>
      </c>
      <c r="B355" s="8" t="s">
        <v>1220</v>
      </c>
      <c r="C355" s="8" t="s">
        <v>57</v>
      </c>
      <c r="D355" s="8" t="s">
        <v>54</v>
      </c>
      <c r="E355" s="8" t="s">
        <v>45</v>
      </c>
      <c r="F355" s="8" t="s">
        <v>2888</v>
      </c>
      <c r="G355" s="8" t="s">
        <v>2889</v>
      </c>
      <c r="H355" s="8" t="s">
        <v>2890</v>
      </c>
      <c r="I355" s="8" t="s">
        <v>421</v>
      </c>
      <c r="J355" s="8" t="s">
        <v>56</v>
      </c>
      <c r="K355" s="7" t="s">
        <v>5381</v>
      </c>
      <c r="L355" s="8" t="s">
        <v>52</v>
      </c>
      <c r="M355" s="8" t="s">
        <v>1771</v>
      </c>
      <c r="N355" s="8" t="s">
        <v>45</v>
      </c>
      <c r="O355" s="32">
        <v>42650.0</v>
      </c>
      <c r="P355" s="7">
        <v>1.0</v>
      </c>
      <c r="Q355" s="32">
        <v>46302.0</v>
      </c>
      <c r="R355" s="8" t="s">
        <v>226</v>
      </c>
      <c r="S355" s="8" t="s">
        <v>175</v>
      </c>
      <c r="T355" s="8" t="s">
        <v>115</v>
      </c>
      <c r="U355" s="8" t="s">
        <v>53</v>
      </c>
    </row>
    <row r="356">
      <c r="A356" s="8" t="s">
        <v>1067</v>
      </c>
      <c r="B356" s="8" t="s">
        <v>1070</v>
      </c>
      <c r="C356" s="8" t="s">
        <v>57</v>
      </c>
      <c r="D356" s="8" t="s">
        <v>54</v>
      </c>
      <c r="E356" s="8" t="s">
        <v>185</v>
      </c>
      <c r="F356" s="8" t="s">
        <v>1850</v>
      </c>
      <c r="G356" s="8" t="s">
        <v>1851</v>
      </c>
      <c r="H356" s="8" t="s">
        <v>1852</v>
      </c>
      <c r="I356" s="8" t="s">
        <v>55</v>
      </c>
      <c r="J356" s="8" t="s">
        <v>56</v>
      </c>
      <c r="K356" s="7" t="s">
        <v>5453</v>
      </c>
      <c r="L356" s="8" t="s">
        <v>52</v>
      </c>
      <c r="M356" s="8" t="s">
        <v>1771</v>
      </c>
      <c r="N356" s="8" t="s">
        <v>185</v>
      </c>
      <c r="O356" s="32">
        <v>42649.0</v>
      </c>
      <c r="P356" s="42">
        <v>1444.0</v>
      </c>
      <c r="Q356" s="32">
        <v>45205.0</v>
      </c>
      <c r="R356" s="8" t="s">
        <v>174</v>
      </c>
      <c r="S356" s="8" t="s">
        <v>54</v>
      </c>
      <c r="T356" s="8" t="s">
        <v>115</v>
      </c>
      <c r="U356" s="8" t="s">
        <v>53</v>
      </c>
    </row>
    <row r="357">
      <c r="A357" s="8" t="s">
        <v>1360</v>
      </c>
      <c r="B357" s="8" t="s">
        <v>1363</v>
      </c>
      <c r="C357" s="8" t="s">
        <v>57</v>
      </c>
      <c r="D357" s="8" t="s">
        <v>54</v>
      </c>
      <c r="E357" s="8" t="s">
        <v>200</v>
      </c>
      <c r="F357" s="8" t="s">
        <v>3258</v>
      </c>
      <c r="G357" s="8" t="s">
        <v>3259</v>
      </c>
      <c r="H357" s="8" t="s">
        <v>3260</v>
      </c>
      <c r="I357" s="8" t="s">
        <v>117</v>
      </c>
      <c r="J357" s="8" t="s">
        <v>56</v>
      </c>
      <c r="K357" s="7" t="s">
        <v>5404</v>
      </c>
      <c r="L357" s="8" t="s">
        <v>52</v>
      </c>
      <c r="M357" s="8" t="s">
        <v>1771</v>
      </c>
      <c r="N357" s="8" t="s">
        <v>200</v>
      </c>
      <c r="O357" s="32">
        <v>42668.0</v>
      </c>
      <c r="P357" s="42">
        <v>875.0</v>
      </c>
      <c r="Q357" s="32">
        <v>46320.0</v>
      </c>
      <c r="R357" s="8" t="s">
        <v>226</v>
      </c>
      <c r="S357" s="8" t="s">
        <v>175</v>
      </c>
      <c r="T357" s="8" t="s">
        <v>49</v>
      </c>
      <c r="U357" s="8" t="s">
        <v>53</v>
      </c>
    </row>
    <row r="358">
      <c r="A358" s="8" t="s">
        <v>680</v>
      </c>
      <c r="B358" s="8" t="s">
        <v>683</v>
      </c>
      <c r="C358" s="8" t="s">
        <v>392</v>
      </c>
      <c r="D358" s="8" t="s">
        <v>54</v>
      </c>
      <c r="E358" s="8" t="s">
        <v>368</v>
      </c>
      <c r="F358" s="8" t="s">
        <v>3290</v>
      </c>
      <c r="G358" s="8" t="s">
        <v>3291</v>
      </c>
      <c r="H358" s="8" t="s">
        <v>3292</v>
      </c>
      <c r="I358" s="8" t="s">
        <v>55</v>
      </c>
      <c r="J358" s="8" t="s">
        <v>343</v>
      </c>
      <c r="K358" s="7">
        <v>5.0E7</v>
      </c>
      <c r="L358" s="8" t="s">
        <v>459</v>
      </c>
      <c r="M358" s="8" t="s">
        <v>1771</v>
      </c>
      <c r="N358" s="8" t="s">
        <v>368</v>
      </c>
      <c r="O358" s="32">
        <v>42235.0</v>
      </c>
      <c r="P358" s="7" t="s">
        <v>5400</v>
      </c>
      <c r="Q358" s="32">
        <v>49522.0</v>
      </c>
      <c r="R358" s="8" t="s">
        <v>351</v>
      </c>
      <c r="S358" s="8" t="s">
        <v>190</v>
      </c>
      <c r="T358" s="8" t="s">
        <v>3293</v>
      </c>
      <c r="U358" s="8" t="s">
        <v>263</v>
      </c>
    </row>
    <row r="359">
      <c r="A359" s="8" t="s">
        <v>1225</v>
      </c>
      <c r="B359" s="8" t="s">
        <v>1228</v>
      </c>
      <c r="C359" s="8" t="s">
        <v>57</v>
      </c>
      <c r="D359" s="8" t="s">
        <v>54</v>
      </c>
      <c r="E359" s="8" t="s">
        <v>595</v>
      </c>
      <c r="F359" s="8" t="s">
        <v>2815</v>
      </c>
      <c r="G359" s="8" t="s">
        <v>2816</v>
      </c>
      <c r="H359" s="8" t="s">
        <v>2817</v>
      </c>
      <c r="I359" s="8" t="s">
        <v>55</v>
      </c>
      <c r="J359" s="8" t="s">
        <v>56</v>
      </c>
      <c r="K359" s="7" t="s">
        <v>5454</v>
      </c>
      <c r="L359" s="8" t="s">
        <v>52</v>
      </c>
      <c r="M359" s="8" t="s">
        <v>174</v>
      </c>
      <c r="N359" s="8" t="s">
        <v>595</v>
      </c>
      <c r="O359" s="32">
        <v>42257.0</v>
      </c>
      <c r="P359" s="42">
        <v>2375.0</v>
      </c>
      <c r="Q359" s="32">
        <v>45910.0</v>
      </c>
      <c r="R359" s="8" t="s">
        <v>174</v>
      </c>
      <c r="S359" s="8" t="s">
        <v>175</v>
      </c>
      <c r="T359" s="8" t="s">
        <v>115</v>
      </c>
      <c r="U359" s="8" t="s">
        <v>53</v>
      </c>
    </row>
    <row r="360">
      <c r="A360" s="8" t="s">
        <v>1560</v>
      </c>
      <c r="B360" s="8" t="s">
        <v>1563</v>
      </c>
      <c r="C360" s="8" t="s">
        <v>57</v>
      </c>
      <c r="D360" s="8" t="s">
        <v>54</v>
      </c>
      <c r="E360" s="8" t="s">
        <v>258</v>
      </c>
      <c r="F360" s="8" t="s">
        <v>2776</v>
      </c>
      <c r="G360" s="8" t="s">
        <v>2777</v>
      </c>
      <c r="H360" s="8" t="s">
        <v>2778</v>
      </c>
      <c r="I360" s="8" t="s">
        <v>55</v>
      </c>
      <c r="J360" s="8" t="s">
        <v>56</v>
      </c>
      <c r="K360" s="7" t="s">
        <v>5455</v>
      </c>
      <c r="L360" s="8" t="s">
        <v>52</v>
      </c>
      <c r="M360" s="8" t="s">
        <v>1771</v>
      </c>
      <c r="N360" s="8" t="s">
        <v>367</v>
      </c>
      <c r="O360" s="32">
        <v>42263.0</v>
      </c>
      <c r="P360" s="42">
        <v>2125.0</v>
      </c>
      <c r="Q360" s="32">
        <v>44820.0</v>
      </c>
      <c r="R360" s="8" t="s">
        <v>174</v>
      </c>
      <c r="S360" s="8" t="s">
        <v>175</v>
      </c>
      <c r="T360" s="8" t="s">
        <v>49</v>
      </c>
      <c r="U360" s="8" t="s">
        <v>53</v>
      </c>
    </row>
    <row r="361">
      <c r="A361" s="8" t="s">
        <v>181</v>
      </c>
      <c r="B361" s="8" t="s">
        <v>184</v>
      </c>
      <c r="C361" s="8" t="s">
        <v>57</v>
      </c>
      <c r="D361" s="8" t="s">
        <v>54</v>
      </c>
      <c r="E361" s="8" t="s">
        <v>186</v>
      </c>
      <c r="F361" s="8" t="s">
        <v>3193</v>
      </c>
      <c r="G361" s="8" t="s">
        <v>3194</v>
      </c>
      <c r="H361" s="8" t="s">
        <v>3195</v>
      </c>
      <c r="I361" s="8" t="s">
        <v>133</v>
      </c>
      <c r="J361" s="8" t="s">
        <v>56</v>
      </c>
      <c r="K361" s="7" t="s">
        <v>5456</v>
      </c>
      <c r="L361" s="8" t="s">
        <v>52</v>
      </c>
      <c r="M361" s="8" t="s">
        <v>1771</v>
      </c>
      <c r="N361" s="8" t="s">
        <v>185</v>
      </c>
      <c r="O361" s="32">
        <v>42255.0</v>
      </c>
      <c r="P361" s="7" t="s">
        <v>5214</v>
      </c>
      <c r="Q361" s="32">
        <v>45177.0</v>
      </c>
      <c r="R361" s="8" t="s">
        <v>2172</v>
      </c>
      <c r="S361" s="8" t="s">
        <v>447</v>
      </c>
      <c r="T361" s="8" t="s">
        <v>115</v>
      </c>
      <c r="U361" s="8" t="s">
        <v>53</v>
      </c>
    </row>
    <row r="362">
      <c r="A362" s="8" t="s">
        <v>1158</v>
      </c>
      <c r="B362" s="8" t="s">
        <v>1161</v>
      </c>
      <c r="C362" s="8" t="s">
        <v>57</v>
      </c>
      <c r="D362" s="42">
        <v>2408.0</v>
      </c>
      <c r="E362" s="8" t="s">
        <v>185</v>
      </c>
      <c r="F362" s="8" t="s">
        <v>1809</v>
      </c>
      <c r="G362" s="8" t="s">
        <v>1810</v>
      </c>
      <c r="H362" s="8" t="s">
        <v>1811</v>
      </c>
      <c r="I362" s="8" t="s">
        <v>117</v>
      </c>
      <c r="J362" s="8" t="s">
        <v>56</v>
      </c>
      <c r="K362" s="7" t="s">
        <v>5457</v>
      </c>
      <c r="L362" s="8" t="s">
        <v>52</v>
      </c>
      <c r="M362" s="8" t="s">
        <v>1771</v>
      </c>
      <c r="N362" s="8" t="s">
        <v>185</v>
      </c>
      <c r="O362" s="32">
        <v>42264.0</v>
      </c>
      <c r="P362" s="42">
        <v>3625.0</v>
      </c>
      <c r="Q362" s="32">
        <v>45186.0</v>
      </c>
      <c r="R362" s="8" t="s">
        <v>174</v>
      </c>
      <c r="S362" s="8" t="s">
        <v>264</v>
      </c>
      <c r="T362" s="8" t="s">
        <v>49</v>
      </c>
      <c r="U362" s="8" t="s">
        <v>53</v>
      </c>
    </row>
    <row r="363">
      <c r="A363" s="8" t="s">
        <v>477</v>
      </c>
      <c r="B363" s="8" t="s">
        <v>480</v>
      </c>
      <c r="C363" s="8" t="s">
        <v>392</v>
      </c>
      <c r="D363" s="8" t="s">
        <v>54</v>
      </c>
      <c r="E363" s="8" t="s">
        <v>45</v>
      </c>
      <c r="F363" s="8" t="s">
        <v>2186</v>
      </c>
      <c r="G363" s="8" t="s">
        <v>2187</v>
      </c>
      <c r="H363" s="8" t="s">
        <v>2188</v>
      </c>
      <c r="I363" s="8" t="s">
        <v>55</v>
      </c>
      <c r="J363" s="8" t="s">
        <v>70</v>
      </c>
      <c r="K363" s="7">
        <v>1.116E7</v>
      </c>
      <c r="L363" s="8" t="s">
        <v>2012</v>
      </c>
      <c r="M363" s="8" t="s">
        <v>2130</v>
      </c>
      <c r="N363" s="8" t="s">
        <v>45</v>
      </c>
      <c r="O363" s="32">
        <v>42256.0</v>
      </c>
      <c r="P363" s="42">
        <v>102.0</v>
      </c>
      <c r="Q363" s="32">
        <v>44813.0</v>
      </c>
      <c r="R363" s="8" t="s">
        <v>226</v>
      </c>
      <c r="S363" s="8" t="s">
        <v>117</v>
      </c>
      <c r="T363" s="8" t="s">
        <v>49</v>
      </c>
      <c r="U363" s="8" t="s">
        <v>53</v>
      </c>
    </row>
    <row r="364">
      <c r="A364" s="8" t="s">
        <v>614</v>
      </c>
      <c r="B364" s="8" t="s">
        <v>617</v>
      </c>
      <c r="C364" s="8" t="s">
        <v>57</v>
      </c>
      <c r="D364" s="8" t="s">
        <v>54</v>
      </c>
      <c r="E364" s="8" t="s">
        <v>200</v>
      </c>
      <c r="F364" s="8" t="s">
        <v>2533</v>
      </c>
      <c r="G364" s="8" t="s">
        <v>2534</v>
      </c>
      <c r="H364" s="8" t="s">
        <v>2535</v>
      </c>
      <c r="I364" s="8" t="s">
        <v>117</v>
      </c>
      <c r="J364" s="8" t="s">
        <v>56</v>
      </c>
      <c r="K364" s="7" t="s">
        <v>5458</v>
      </c>
      <c r="L364" s="8" t="s">
        <v>52</v>
      </c>
      <c r="M364" s="8" t="s">
        <v>1771</v>
      </c>
      <c r="N364" s="8" t="s">
        <v>200</v>
      </c>
      <c r="O364" s="32">
        <v>42265.0</v>
      </c>
      <c r="P364" s="7" t="s">
        <v>5238</v>
      </c>
      <c r="Q364" s="32">
        <v>45309.0</v>
      </c>
      <c r="R364" s="8" t="s">
        <v>226</v>
      </c>
      <c r="S364" s="8" t="s">
        <v>620</v>
      </c>
      <c r="T364" s="8" t="s">
        <v>49</v>
      </c>
      <c r="U364" s="8" t="s">
        <v>53</v>
      </c>
    </row>
    <row r="365">
      <c r="A365" s="8" t="s">
        <v>1519</v>
      </c>
      <c r="B365" s="8" t="s">
        <v>1522</v>
      </c>
      <c r="C365" s="8" t="s">
        <v>57</v>
      </c>
      <c r="D365" s="8" t="s">
        <v>54</v>
      </c>
      <c r="E365" s="8" t="s">
        <v>185</v>
      </c>
      <c r="F365" s="8" t="s">
        <v>3148</v>
      </c>
      <c r="G365" s="8" t="s">
        <v>3149</v>
      </c>
      <c r="H365" s="8" t="s">
        <v>3150</v>
      </c>
      <c r="I365" s="8" t="s">
        <v>117</v>
      </c>
      <c r="J365" s="8" t="s">
        <v>56</v>
      </c>
      <c r="K365" s="7" t="s">
        <v>5225</v>
      </c>
      <c r="L365" s="8" t="s">
        <v>52</v>
      </c>
      <c r="M365" s="8" t="s">
        <v>1771</v>
      </c>
      <c r="N365" s="8" t="s">
        <v>185</v>
      </c>
      <c r="O365" s="32">
        <v>42269.0</v>
      </c>
      <c r="P365" s="7" t="s">
        <v>5214</v>
      </c>
      <c r="Q365" s="32">
        <v>45922.0</v>
      </c>
      <c r="R365" s="8" t="s">
        <v>226</v>
      </c>
      <c r="S365" s="8" t="s">
        <v>484</v>
      </c>
      <c r="T365" s="8" t="s">
        <v>115</v>
      </c>
      <c r="U365" s="8" t="s">
        <v>53</v>
      </c>
    </row>
    <row r="366">
      <c r="A366" s="8" t="s">
        <v>1526</v>
      </c>
      <c r="B366" s="8" t="s">
        <v>1529</v>
      </c>
      <c r="C366" s="8" t="s">
        <v>57</v>
      </c>
      <c r="D366" s="8" t="s">
        <v>54</v>
      </c>
      <c r="E366" s="8" t="s">
        <v>185</v>
      </c>
      <c r="F366" s="8" t="s">
        <v>3026</v>
      </c>
      <c r="G366" s="8" t="s">
        <v>3027</v>
      </c>
      <c r="H366" s="8" t="s">
        <v>3028</v>
      </c>
      <c r="I366" s="8" t="s">
        <v>421</v>
      </c>
      <c r="J366" s="8" t="s">
        <v>56</v>
      </c>
      <c r="K366" s="7" t="s">
        <v>5341</v>
      </c>
      <c r="L366" s="8" t="s">
        <v>52</v>
      </c>
      <c r="M366" s="8" t="s">
        <v>1771</v>
      </c>
      <c r="N366" s="8" t="s">
        <v>185</v>
      </c>
      <c r="O366" s="32">
        <v>42275.0</v>
      </c>
      <c r="P366" s="42">
        <v>1875.0</v>
      </c>
      <c r="Q366" s="32">
        <v>45197.0</v>
      </c>
      <c r="R366" s="8" t="s">
        <v>174</v>
      </c>
      <c r="S366" s="8" t="s">
        <v>190</v>
      </c>
      <c r="T366" s="8" t="s">
        <v>115</v>
      </c>
      <c r="U366" s="8" t="s">
        <v>53</v>
      </c>
    </row>
    <row r="367">
      <c r="A367" s="8" t="s">
        <v>1059</v>
      </c>
      <c r="B367" s="8" t="s">
        <v>1046</v>
      </c>
      <c r="C367" s="8" t="s">
        <v>71</v>
      </c>
      <c r="D367" s="8" t="s">
        <v>54</v>
      </c>
      <c r="E367" s="8" t="s">
        <v>1047</v>
      </c>
      <c r="F367" s="8" t="s">
        <v>3399</v>
      </c>
      <c r="G367" s="8" t="s">
        <v>3400</v>
      </c>
      <c r="H367" s="8" t="s">
        <v>3401</v>
      </c>
      <c r="I367" s="8" t="s">
        <v>55</v>
      </c>
      <c r="J367" s="8" t="s">
        <v>56</v>
      </c>
      <c r="K367" s="7" t="s">
        <v>5459</v>
      </c>
      <c r="L367" s="8" t="s">
        <v>52</v>
      </c>
      <c r="M367" s="8" t="s">
        <v>174</v>
      </c>
      <c r="N367" s="8" t="s">
        <v>367</v>
      </c>
      <c r="O367" s="32">
        <v>44088.0</v>
      </c>
      <c r="P367" s="42">
        <v>7125.0</v>
      </c>
      <c r="Q367" s="32">
        <v>45688.0</v>
      </c>
      <c r="R367" s="8" t="s">
        <v>174</v>
      </c>
      <c r="S367" s="8" t="s">
        <v>297</v>
      </c>
      <c r="T367" s="8" t="s">
        <v>115</v>
      </c>
      <c r="U367" s="8" t="s">
        <v>263</v>
      </c>
    </row>
    <row r="368">
      <c r="A368" s="8" t="s">
        <v>1122</v>
      </c>
      <c r="B368" s="8" t="s">
        <v>1125</v>
      </c>
      <c r="C368" s="8" t="s">
        <v>57</v>
      </c>
      <c r="D368" s="8" t="s">
        <v>54</v>
      </c>
      <c r="E368" s="8" t="s">
        <v>367</v>
      </c>
      <c r="F368" s="8" t="s">
        <v>2867</v>
      </c>
      <c r="G368" s="8" t="s">
        <v>2868</v>
      </c>
      <c r="H368" s="8" t="s">
        <v>2869</v>
      </c>
      <c r="I368" s="8" t="s">
        <v>133</v>
      </c>
      <c r="J368" s="8" t="s">
        <v>56</v>
      </c>
      <c r="K368" s="7" t="s">
        <v>5460</v>
      </c>
      <c r="L368" s="8" t="s">
        <v>52</v>
      </c>
      <c r="M368" s="8" t="s">
        <v>1771</v>
      </c>
      <c r="N368" s="8" t="s">
        <v>367</v>
      </c>
      <c r="O368" s="32">
        <v>44088.0</v>
      </c>
      <c r="P368" s="42">
        <v>875.0</v>
      </c>
      <c r="Q368" s="32">
        <v>48562.0</v>
      </c>
      <c r="R368" s="8" t="s">
        <v>226</v>
      </c>
      <c r="S368" s="8" t="s">
        <v>497</v>
      </c>
      <c r="T368" s="8" t="s">
        <v>115</v>
      </c>
      <c r="U368" s="8" t="s">
        <v>53</v>
      </c>
    </row>
    <row r="369">
      <c r="A369" s="8" t="s">
        <v>872</v>
      </c>
      <c r="B369" s="8" t="s">
        <v>875</v>
      </c>
      <c r="C369" s="8" t="s">
        <v>57</v>
      </c>
      <c r="D369" s="8" t="s">
        <v>54</v>
      </c>
      <c r="E369" s="8" t="s">
        <v>186</v>
      </c>
      <c r="F369" s="8" t="s">
        <v>2800</v>
      </c>
      <c r="G369" s="8" t="s">
        <v>2801</v>
      </c>
      <c r="H369" s="8" t="s">
        <v>2802</v>
      </c>
      <c r="I369" s="8" t="s">
        <v>55</v>
      </c>
      <c r="J369" s="8" t="s">
        <v>56</v>
      </c>
      <c r="K369" s="7" t="s">
        <v>5365</v>
      </c>
      <c r="L369" s="8" t="s">
        <v>52</v>
      </c>
      <c r="M369" s="8" t="s">
        <v>1776</v>
      </c>
      <c r="N369" s="8" t="s">
        <v>595</v>
      </c>
      <c r="O369" s="32">
        <v>44089.0</v>
      </c>
      <c r="P369" s="42">
        <v>375.0</v>
      </c>
      <c r="Q369" s="32">
        <v>46645.0</v>
      </c>
      <c r="R369" s="8" t="s">
        <v>174</v>
      </c>
      <c r="S369" s="8" t="s">
        <v>175</v>
      </c>
      <c r="T369" s="8" t="s">
        <v>115</v>
      </c>
      <c r="U369" s="8" t="s">
        <v>53</v>
      </c>
    </row>
    <row r="370">
      <c r="A370" s="8" t="s">
        <v>872</v>
      </c>
      <c r="B370" s="8" t="s">
        <v>875</v>
      </c>
      <c r="C370" s="8" t="s">
        <v>57</v>
      </c>
      <c r="D370" s="8" t="s">
        <v>54</v>
      </c>
      <c r="E370" s="8" t="s">
        <v>186</v>
      </c>
      <c r="F370" s="8" t="s">
        <v>2804</v>
      </c>
      <c r="G370" s="8" t="s">
        <v>2805</v>
      </c>
      <c r="H370" s="8" t="s">
        <v>2806</v>
      </c>
      <c r="I370" s="8" t="s">
        <v>55</v>
      </c>
      <c r="J370" s="8" t="s">
        <v>56</v>
      </c>
      <c r="K370" s="7" t="s">
        <v>5365</v>
      </c>
      <c r="L370" s="8" t="s">
        <v>52</v>
      </c>
      <c r="M370" s="8" t="s">
        <v>1776</v>
      </c>
      <c r="N370" s="8" t="s">
        <v>595</v>
      </c>
      <c r="O370" s="32">
        <v>44089.0</v>
      </c>
      <c r="P370" s="7">
        <v>1.0</v>
      </c>
      <c r="Q370" s="32">
        <v>48472.0</v>
      </c>
      <c r="R370" s="8" t="s">
        <v>174</v>
      </c>
      <c r="S370" s="8" t="s">
        <v>175</v>
      </c>
      <c r="T370" s="8" t="s">
        <v>115</v>
      </c>
      <c r="U370" s="8" t="s">
        <v>53</v>
      </c>
    </row>
    <row r="371">
      <c r="A371" s="8" t="s">
        <v>1043</v>
      </c>
      <c r="B371" s="8" t="s">
        <v>1046</v>
      </c>
      <c r="C371" s="8" t="s">
        <v>71</v>
      </c>
      <c r="D371" s="8" t="s">
        <v>54</v>
      </c>
      <c r="E371" s="8" t="s">
        <v>1047</v>
      </c>
      <c r="F371" s="8" t="s">
        <v>3359</v>
      </c>
      <c r="G371" s="8" t="s">
        <v>3360</v>
      </c>
      <c r="H371" s="8" t="s">
        <v>3361</v>
      </c>
      <c r="I371" s="8" t="s">
        <v>55</v>
      </c>
      <c r="J371" s="8" t="s">
        <v>56</v>
      </c>
      <c r="K371" s="7" t="s">
        <v>5371</v>
      </c>
      <c r="L371" s="8" t="s">
        <v>52</v>
      </c>
      <c r="M371" s="8" t="s">
        <v>1776</v>
      </c>
      <c r="N371" s="8" t="s">
        <v>367</v>
      </c>
      <c r="O371" s="32">
        <v>44088.0</v>
      </c>
      <c r="P371" s="7">
        <v>6.0</v>
      </c>
      <c r="Q371" s="32">
        <v>45688.0</v>
      </c>
      <c r="R371" s="8" t="s">
        <v>174</v>
      </c>
      <c r="S371" s="8" t="s">
        <v>297</v>
      </c>
      <c r="T371" s="8" t="s">
        <v>115</v>
      </c>
      <c r="U371" s="8" t="s">
        <v>53</v>
      </c>
    </row>
    <row r="372">
      <c r="A372" s="8" t="s">
        <v>477</v>
      </c>
      <c r="B372" s="8" t="s">
        <v>480</v>
      </c>
      <c r="C372" s="8" t="s">
        <v>57</v>
      </c>
      <c r="D372" s="8" t="s">
        <v>54</v>
      </c>
      <c r="E372" s="8" t="s">
        <v>45</v>
      </c>
      <c r="F372" s="8" t="s">
        <v>2190</v>
      </c>
      <c r="G372" s="8" t="s">
        <v>2191</v>
      </c>
      <c r="H372" s="8" t="s">
        <v>2192</v>
      </c>
      <c r="I372" s="8" t="s">
        <v>55</v>
      </c>
      <c r="J372" s="8" t="s">
        <v>56</v>
      </c>
      <c r="K372" s="7">
        <v>1.056393E7</v>
      </c>
      <c r="L372" s="8" t="s">
        <v>459</v>
      </c>
      <c r="M372" s="8" t="s">
        <v>1771</v>
      </c>
      <c r="N372" s="8" t="s">
        <v>45</v>
      </c>
      <c r="O372" s="32">
        <v>44103.0</v>
      </c>
      <c r="P372" s="7" t="s">
        <v>5461</v>
      </c>
      <c r="Q372" s="32">
        <v>48486.0</v>
      </c>
      <c r="R372" s="8" t="s">
        <v>226</v>
      </c>
      <c r="S372" s="8" t="s">
        <v>190</v>
      </c>
      <c r="T372" s="8" t="s">
        <v>115</v>
      </c>
      <c r="U372" s="8" t="s">
        <v>53</v>
      </c>
    </row>
    <row r="373">
      <c r="A373" s="8" t="s">
        <v>41</v>
      </c>
      <c r="B373" s="8" t="s">
        <v>44</v>
      </c>
      <c r="C373" s="8" t="s">
        <v>57</v>
      </c>
      <c r="D373" s="8" t="s">
        <v>54</v>
      </c>
      <c r="E373" s="8" t="s">
        <v>45</v>
      </c>
      <c r="F373" s="8" t="s">
        <v>2362</v>
      </c>
      <c r="G373" s="8" t="s">
        <v>2363</v>
      </c>
      <c r="H373" s="8" t="s">
        <v>2364</v>
      </c>
      <c r="I373" s="8" t="s">
        <v>55</v>
      </c>
      <c r="J373" s="8" t="s">
        <v>56</v>
      </c>
      <c r="K373" s="7" t="s">
        <v>5364</v>
      </c>
      <c r="L373" s="8" t="s">
        <v>52</v>
      </c>
      <c r="M373" s="8" t="s">
        <v>1816</v>
      </c>
      <c r="N373" s="8" t="s">
        <v>45</v>
      </c>
      <c r="O373" s="32">
        <v>44105.0</v>
      </c>
      <c r="P373" s="7" t="s">
        <v>5235</v>
      </c>
      <c r="Q373" s="32">
        <v>46037.0</v>
      </c>
      <c r="R373" s="8" t="s">
        <v>2365</v>
      </c>
      <c r="S373" s="8" t="s">
        <v>54</v>
      </c>
      <c r="T373" s="8" t="s">
        <v>189</v>
      </c>
      <c r="U373" s="8" t="s">
        <v>53</v>
      </c>
    </row>
    <row r="374">
      <c r="A374" s="8" t="s">
        <v>477</v>
      </c>
      <c r="B374" s="8" t="s">
        <v>480</v>
      </c>
      <c r="C374" s="8" t="s">
        <v>57</v>
      </c>
      <c r="D374" s="8" t="s">
        <v>54</v>
      </c>
      <c r="E374" s="8" t="s">
        <v>45</v>
      </c>
      <c r="F374" s="8" t="s">
        <v>2194</v>
      </c>
      <c r="G374" s="8" t="s">
        <v>2195</v>
      </c>
      <c r="H374" s="8" t="s">
        <v>2196</v>
      </c>
      <c r="I374" s="8" t="s">
        <v>55</v>
      </c>
      <c r="J374" s="8" t="s">
        <v>1806</v>
      </c>
      <c r="K374" s="7">
        <v>1.77162E7</v>
      </c>
      <c r="L374" s="8" t="s">
        <v>459</v>
      </c>
      <c r="M374" s="8" t="s">
        <v>174</v>
      </c>
      <c r="N374" s="8" t="s">
        <v>45</v>
      </c>
      <c r="O374" s="32">
        <v>44116.0</v>
      </c>
      <c r="P374" s="7" t="s">
        <v>5369</v>
      </c>
      <c r="Q374" s="32">
        <v>55073.0</v>
      </c>
      <c r="R374" s="8" t="s">
        <v>226</v>
      </c>
      <c r="S374" s="8" t="s">
        <v>190</v>
      </c>
      <c r="T374" s="8" t="s">
        <v>115</v>
      </c>
      <c r="U374" s="8" t="s">
        <v>53</v>
      </c>
    </row>
    <row r="375">
      <c r="A375" s="8" t="s">
        <v>477</v>
      </c>
      <c r="B375" s="8" t="s">
        <v>480</v>
      </c>
      <c r="C375" s="8" t="s">
        <v>57</v>
      </c>
      <c r="D375" s="42">
        <v>55.0</v>
      </c>
      <c r="E375" s="8" t="s">
        <v>45</v>
      </c>
      <c r="F375" s="8" t="s">
        <v>2198</v>
      </c>
      <c r="G375" s="8" t="s">
        <v>2199</v>
      </c>
      <c r="H375" s="8" t="s">
        <v>2200</v>
      </c>
      <c r="I375" s="8" t="s">
        <v>55</v>
      </c>
      <c r="J375" s="8" t="s">
        <v>56</v>
      </c>
      <c r="K375" s="7">
        <v>1.1719E7</v>
      </c>
      <c r="L375" s="8" t="s">
        <v>483</v>
      </c>
      <c r="M375" s="8" t="s">
        <v>1771</v>
      </c>
      <c r="N375" s="8" t="s">
        <v>45</v>
      </c>
      <c r="O375" s="32">
        <v>44120.0</v>
      </c>
      <c r="P375" s="42">
        <v>55.0</v>
      </c>
      <c r="Q375" s="32">
        <v>47772.0</v>
      </c>
      <c r="R375" s="8" t="s">
        <v>226</v>
      </c>
      <c r="S375" s="8" t="s">
        <v>484</v>
      </c>
      <c r="T375" s="8" t="s">
        <v>49</v>
      </c>
      <c r="U375" s="8" t="s">
        <v>53</v>
      </c>
    </row>
    <row r="376">
      <c r="A376" s="8" t="s">
        <v>814</v>
      </c>
      <c r="B376" s="8" t="s">
        <v>817</v>
      </c>
      <c r="C376" s="8" t="s">
        <v>57</v>
      </c>
      <c r="D376" s="8" t="s">
        <v>54</v>
      </c>
      <c r="E376" s="8" t="s">
        <v>185</v>
      </c>
      <c r="F376" s="8" t="s">
        <v>3453</v>
      </c>
      <c r="G376" s="8" t="s">
        <v>174</v>
      </c>
      <c r="H376" s="8" t="s">
        <v>3454</v>
      </c>
      <c r="I376" s="8" t="s">
        <v>133</v>
      </c>
      <c r="J376" s="8" t="s">
        <v>56</v>
      </c>
      <c r="K376" s="7" t="s">
        <v>5311</v>
      </c>
      <c r="L376" s="8" t="s">
        <v>52</v>
      </c>
      <c r="M376" s="8" t="s">
        <v>174</v>
      </c>
      <c r="N376" s="8" t="s">
        <v>185</v>
      </c>
      <c r="O376" s="32">
        <v>43564.0</v>
      </c>
      <c r="P376" s="42">
        <v>1291.0</v>
      </c>
      <c r="Q376" s="32">
        <v>45756.0</v>
      </c>
      <c r="R376" s="8" t="s">
        <v>1312</v>
      </c>
      <c r="S376" s="8" t="s">
        <v>54</v>
      </c>
      <c r="T376" s="8" t="s">
        <v>49</v>
      </c>
      <c r="U376" s="8" t="s">
        <v>53</v>
      </c>
    </row>
    <row r="377">
      <c r="A377" s="8" t="s">
        <v>814</v>
      </c>
      <c r="B377" s="8" t="s">
        <v>817</v>
      </c>
      <c r="C377" s="8" t="s">
        <v>57</v>
      </c>
      <c r="D377" s="8" t="s">
        <v>54</v>
      </c>
      <c r="E377" s="8" t="s">
        <v>185</v>
      </c>
      <c r="F377" s="8" t="s">
        <v>3456</v>
      </c>
      <c r="G377" s="8" t="s">
        <v>174</v>
      </c>
      <c r="H377" s="8" t="s">
        <v>3457</v>
      </c>
      <c r="I377" s="8" t="s">
        <v>133</v>
      </c>
      <c r="J377" s="8" t="s">
        <v>56</v>
      </c>
      <c r="K377" s="7" t="s">
        <v>5311</v>
      </c>
      <c r="L377" s="8" t="s">
        <v>52</v>
      </c>
      <c r="M377" s="8" t="s">
        <v>174</v>
      </c>
      <c r="N377" s="8" t="s">
        <v>185</v>
      </c>
      <c r="O377" s="32">
        <v>43564.0</v>
      </c>
      <c r="P377" s="7" t="s">
        <v>5462</v>
      </c>
      <c r="Q377" s="32">
        <v>45025.0</v>
      </c>
      <c r="R377" s="8" t="s">
        <v>1316</v>
      </c>
      <c r="S377" s="8" t="s">
        <v>54</v>
      </c>
      <c r="T377" s="8" t="s">
        <v>49</v>
      </c>
      <c r="U377" s="8" t="s">
        <v>53</v>
      </c>
    </row>
    <row r="378">
      <c r="A378" s="8" t="s">
        <v>1626</v>
      </c>
      <c r="B378" s="8" t="s">
        <v>1629</v>
      </c>
      <c r="C378" s="8" t="s">
        <v>57</v>
      </c>
      <c r="D378" s="8" t="s">
        <v>54</v>
      </c>
      <c r="E378" s="8" t="s">
        <v>45</v>
      </c>
      <c r="F378" s="8" t="s">
        <v>2717</v>
      </c>
      <c r="G378" s="8" t="s">
        <v>174</v>
      </c>
      <c r="H378" s="8" t="s">
        <v>2718</v>
      </c>
      <c r="I378" s="8" t="s">
        <v>55</v>
      </c>
      <c r="J378" s="8" t="s">
        <v>56</v>
      </c>
      <c r="K378" s="7">
        <v>6.57498E7</v>
      </c>
      <c r="L378" s="8" t="s">
        <v>52</v>
      </c>
      <c r="M378" s="8" t="s">
        <v>174</v>
      </c>
      <c r="N378" s="8" t="s">
        <v>45</v>
      </c>
      <c r="O378" s="32">
        <v>43740.0</v>
      </c>
      <c r="P378" s="7">
        <v>0.0</v>
      </c>
      <c r="Q378" s="32">
        <v>46306.0</v>
      </c>
      <c r="R378" s="8" t="s">
        <v>69</v>
      </c>
      <c r="S378" s="8" t="s">
        <v>54</v>
      </c>
      <c r="T378" s="8" t="s">
        <v>49</v>
      </c>
      <c r="U378" s="8" t="s">
        <v>53</v>
      </c>
    </row>
    <row r="379">
      <c r="A379" s="8" t="s">
        <v>1626</v>
      </c>
      <c r="B379" s="8" t="s">
        <v>1629</v>
      </c>
      <c r="C379" s="8" t="s">
        <v>57</v>
      </c>
      <c r="D379" s="8" t="s">
        <v>54</v>
      </c>
      <c r="E379" s="8" t="s">
        <v>45</v>
      </c>
      <c r="F379" s="8" t="s">
        <v>2720</v>
      </c>
      <c r="G379" s="8" t="s">
        <v>174</v>
      </c>
      <c r="H379" s="8" t="s">
        <v>2721</v>
      </c>
      <c r="I379" s="8" t="s">
        <v>55</v>
      </c>
      <c r="J379" s="8" t="s">
        <v>56</v>
      </c>
      <c r="K379" s="7">
        <v>6.57498E7</v>
      </c>
      <c r="L379" s="8" t="s">
        <v>52</v>
      </c>
      <c r="M379" s="8" t="s">
        <v>174</v>
      </c>
      <c r="N379" s="8" t="s">
        <v>45</v>
      </c>
      <c r="O379" s="32">
        <v>43740.0</v>
      </c>
      <c r="P379" s="7">
        <v>0.0</v>
      </c>
      <c r="Q379" s="32">
        <v>46297.0</v>
      </c>
      <c r="R379" s="8" t="s">
        <v>69</v>
      </c>
      <c r="S379" s="8" t="s">
        <v>54</v>
      </c>
      <c r="T379" s="8" t="s">
        <v>49</v>
      </c>
      <c r="U379" s="8" t="s">
        <v>53</v>
      </c>
    </row>
    <row r="380">
      <c r="A380" s="8" t="s">
        <v>1199</v>
      </c>
      <c r="B380" s="8" t="s">
        <v>1202</v>
      </c>
      <c r="C380" s="8" t="s">
        <v>57</v>
      </c>
      <c r="D380" s="8" t="s">
        <v>54</v>
      </c>
      <c r="E380" s="8" t="s">
        <v>1203</v>
      </c>
      <c r="F380" s="8" t="s">
        <v>2947</v>
      </c>
      <c r="G380" s="8" t="s">
        <v>2948</v>
      </c>
      <c r="H380" s="8" t="s">
        <v>2949</v>
      </c>
      <c r="I380" s="8" t="s">
        <v>55</v>
      </c>
      <c r="J380" s="8" t="s">
        <v>56</v>
      </c>
      <c r="K380" s="7">
        <v>5.56995E7</v>
      </c>
      <c r="L380" s="8" t="s">
        <v>52</v>
      </c>
      <c r="M380" s="8" t="s">
        <v>174</v>
      </c>
      <c r="N380" s="8" t="s">
        <v>1203</v>
      </c>
      <c r="O380" s="32">
        <v>43843.0</v>
      </c>
      <c r="P380" s="7" t="s">
        <v>5318</v>
      </c>
      <c r="Q380" s="32">
        <v>45304.0</v>
      </c>
      <c r="R380" s="8" t="s">
        <v>174</v>
      </c>
      <c r="S380" s="8" t="s">
        <v>54</v>
      </c>
      <c r="T380" s="8" t="s">
        <v>2950</v>
      </c>
      <c r="U380" s="8" t="s">
        <v>53</v>
      </c>
    </row>
    <row r="381">
      <c r="A381" s="8" t="s">
        <v>1414</v>
      </c>
      <c r="B381" s="8" t="s">
        <v>1417</v>
      </c>
      <c r="C381" s="8" t="s">
        <v>57</v>
      </c>
      <c r="D381" s="8" t="s">
        <v>54</v>
      </c>
      <c r="E381" s="8" t="s">
        <v>200</v>
      </c>
      <c r="F381" s="8" t="s">
        <v>3470</v>
      </c>
      <c r="G381" s="8" t="s">
        <v>3471</v>
      </c>
      <c r="H381" s="8" t="s">
        <v>3472</v>
      </c>
      <c r="I381" s="8" t="s">
        <v>55</v>
      </c>
      <c r="J381" s="8" t="s">
        <v>56</v>
      </c>
      <c r="K381" s="7" t="s">
        <v>5463</v>
      </c>
      <c r="L381" s="8" t="s">
        <v>52</v>
      </c>
      <c r="M381" s="8" t="s">
        <v>1776</v>
      </c>
      <c r="N381" s="8" t="s">
        <v>200</v>
      </c>
      <c r="O381" s="32">
        <v>43858.0</v>
      </c>
      <c r="P381" s="42">
        <v>3625.0</v>
      </c>
      <c r="Q381" s="32">
        <v>46415.0</v>
      </c>
      <c r="R381" s="8" t="s">
        <v>174</v>
      </c>
      <c r="S381" s="8" t="s">
        <v>190</v>
      </c>
      <c r="T381" s="8" t="s">
        <v>49</v>
      </c>
      <c r="U381" s="8" t="s">
        <v>53</v>
      </c>
    </row>
    <row r="382">
      <c r="A382" s="8" t="s">
        <v>614</v>
      </c>
      <c r="B382" s="8" t="s">
        <v>617</v>
      </c>
      <c r="C382" s="8" t="s">
        <v>57</v>
      </c>
      <c r="D382" s="8" t="s">
        <v>54</v>
      </c>
      <c r="E382" s="8" t="s">
        <v>200</v>
      </c>
      <c r="F382" s="8" t="s">
        <v>2537</v>
      </c>
      <c r="G382" s="8" t="s">
        <v>2538</v>
      </c>
      <c r="H382" s="8" t="s">
        <v>2539</v>
      </c>
      <c r="I382" s="8" t="s">
        <v>117</v>
      </c>
      <c r="J382" s="8" t="s">
        <v>56</v>
      </c>
      <c r="K382" s="7" t="s">
        <v>5264</v>
      </c>
      <c r="L382" s="8" t="s">
        <v>52</v>
      </c>
      <c r="M382" s="8" t="s">
        <v>1771</v>
      </c>
      <c r="N382" s="8" t="s">
        <v>200</v>
      </c>
      <c r="O382" s="32">
        <v>43853.0</v>
      </c>
      <c r="P382" s="42">
        <v>625.0</v>
      </c>
      <c r="Q382" s="32">
        <v>47506.0</v>
      </c>
      <c r="R382" s="8" t="s">
        <v>226</v>
      </c>
      <c r="S382" s="8" t="s">
        <v>620</v>
      </c>
      <c r="T382" s="8" t="s">
        <v>49</v>
      </c>
      <c r="U382" s="8" t="s">
        <v>53</v>
      </c>
    </row>
    <row r="383">
      <c r="A383" s="8" t="s">
        <v>477</v>
      </c>
      <c r="B383" s="8" t="s">
        <v>480</v>
      </c>
      <c r="C383" s="8" t="s">
        <v>57</v>
      </c>
      <c r="D383" s="8" t="s">
        <v>54</v>
      </c>
      <c r="E383" s="8" t="s">
        <v>45</v>
      </c>
      <c r="F383" s="8" t="s">
        <v>2202</v>
      </c>
      <c r="G383" s="8" t="s">
        <v>2203</v>
      </c>
      <c r="H383" s="8" t="s">
        <v>2204</v>
      </c>
      <c r="I383" s="8" t="s">
        <v>55</v>
      </c>
      <c r="J383" s="8" t="s">
        <v>56</v>
      </c>
      <c r="K383" s="7">
        <v>3.3153E7</v>
      </c>
      <c r="L383" s="8" t="s">
        <v>483</v>
      </c>
      <c r="M383" s="8" t="s">
        <v>174</v>
      </c>
      <c r="N383" s="8" t="s">
        <v>45</v>
      </c>
      <c r="O383" s="32">
        <v>43853.0</v>
      </c>
      <c r="P383" s="42">
        <v>89.0</v>
      </c>
      <c r="Q383" s="32">
        <v>45680.0</v>
      </c>
      <c r="R383" s="8" t="s">
        <v>226</v>
      </c>
      <c r="S383" s="8" t="s">
        <v>484</v>
      </c>
      <c r="T383" s="8" t="s">
        <v>49</v>
      </c>
      <c r="U383" s="8" t="s">
        <v>53</v>
      </c>
    </row>
    <row r="384">
      <c r="A384" s="8" t="s">
        <v>477</v>
      </c>
      <c r="B384" s="8" t="s">
        <v>480</v>
      </c>
      <c r="C384" s="8" t="s">
        <v>392</v>
      </c>
      <c r="D384" s="8" t="s">
        <v>54</v>
      </c>
      <c r="E384" s="8" t="s">
        <v>45</v>
      </c>
      <c r="F384" s="8" t="s">
        <v>2206</v>
      </c>
      <c r="G384" s="8" t="s">
        <v>2207</v>
      </c>
      <c r="H384" s="8" t="s">
        <v>2208</v>
      </c>
      <c r="I384" s="8" t="s">
        <v>55</v>
      </c>
      <c r="J384" s="8" t="s">
        <v>70</v>
      </c>
      <c r="K384" s="7">
        <v>2.20178E7</v>
      </c>
      <c r="L384" s="8" t="s">
        <v>459</v>
      </c>
      <c r="M384" s="8" t="s">
        <v>1771</v>
      </c>
      <c r="N384" s="8" t="s">
        <v>45</v>
      </c>
      <c r="O384" s="32">
        <v>43858.0</v>
      </c>
      <c r="P384" s="7" t="s">
        <v>5464</v>
      </c>
      <c r="Q384" s="32">
        <v>45685.0</v>
      </c>
      <c r="R384" s="8" t="s">
        <v>226</v>
      </c>
      <c r="S384" s="8" t="s">
        <v>190</v>
      </c>
      <c r="T384" s="8" t="s">
        <v>49</v>
      </c>
      <c r="U384" s="8" t="s">
        <v>53</v>
      </c>
    </row>
    <row r="385">
      <c r="A385" s="8" t="s">
        <v>1560</v>
      </c>
      <c r="B385" s="8" t="s">
        <v>1563</v>
      </c>
      <c r="C385" s="8" t="s">
        <v>57</v>
      </c>
      <c r="D385" s="8" t="s">
        <v>54</v>
      </c>
      <c r="E385" s="8" t="s">
        <v>258</v>
      </c>
      <c r="F385" s="8" t="s">
        <v>2780</v>
      </c>
      <c r="G385" s="8" t="s">
        <v>2781</v>
      </c>
      <c r="H385" s="8" t="s">
        <v>2782</v>
      </c>
      <c r="I385" s="8" t="s">
        <v>55</v>
      </c>
      <c r="J385" s="8" t="s">
        <v>56</v>
      </c>
      <c r="K385" s="7" t="s">
        <v>5465</v>
      </c>
      <c r="L385" s="8" t="s">
        <v>52</v>
      </c>
      <c r="M385" s="8" t="s">
        <v>174</v>
      </c>
      <c r="N385" s="8" t="s">
        <v>367</v>
      </c>
      <c r="O385" s="32">
        <v>43861.0</v>
      </c>
      <c r="P385" s="7">
        <v>2.0</v>
      </c>
      <c r="Q385" s="32">
        <v>51123.0</v>
      </c>
      <c r="R385" s="8" t="s">
        <v>174</v>
      </c>
      <c r="S385" s="8" t="s">
        <v>54</v>
      </c>
      <c r="T385" s="8" t="s">
        <v>49</v>
      </c>
      <c r="U385" s="8" t="s">
        <v>53</v>
      </c>
    </row>
    <row r="386">
      <c r="A386" s="8" t="s">
        <v>1336</v>
      </c>
      <c r="B386" s="8" t="s">
        <v>1339</v>
      </c>
      <c r="C386" s="8" t="s">
        <v>57</v>
      </c>
      <c r="D386" s="8" t="s">
        <v>54</v>
      </c>
      <c r="E386" s="8" t="s">
        <v>1340</v>
      </c>
      <c r="F386" s="8" t="s">
        <v>2354</v>
      </c>
      <c r="G386" s="8" t="s">
        <v>2355</v>
      </c>
      <c r="H386" s="8" t="s">
        <v>2356</v>
      </c>
      <c r="I386" s="8" t="s">
        <v>55</v>
      </c>
      <c r="J386" s="8" t="s">
        <v>56</v>
      </c>
      <c r="K386" s="7">
        <v>3.21865E7</v>
      </c>
      <c r="L386" s="8" t="s">
        <v>52</v>
      </c>
      <c r="M386" s="8" t="s">
        <v>174</v>
      </c>
      <c r="N386" s="8" t="s">
        <v>170</v>
      </c>
      <c r="O386" s="32">
        <v>43874.0</v>
      </c>
      <c r="P386" s="42">
        <v>3014.0</v>
      </c>
      <c r="Q386" s="32">
        <v>47527.0</v>
      </c>
      <c r="R386" s="8" t="s">
        <v>226</v>
      </c>
      <c r="S386" s="8" t="s">
        <v>175</v>
      </c>
      <c r="T386" s="8" t="s">
        <v>49</v>
      </c>
      <c r="U386" s="8" t="s">
        <v>2331</v>
      </c>
    </row>
    <row r="387">
      <c r="A387" s="8" t="s">
        <v>477</v>
      </c>
      <c r="B387" s="8" t="s">
        <v>480</v>
      </c>
      <c r="C387" s="8" t="s">
        <v>57</v>
      </c>
      <c r="D387" s="8" t="s">
        <v>54</v>
      </c>
      <c r="E387" s="8" t="s">
        <v>45</v>
      </c>
      <c r="F387" s="8" t="s">
        <v>2210</v>
      </c>
      <c r="G387" s="8" t="s">
        <v>2211</v>
      </c>
      <c r="H387" s="8" t="s">
        <v>2212</v>
      </c>
      <c r="I387" s="8" t="s">
        <v>55</v>
      </c>
      <c r="J387" s="8" t="s">
        <v>56</v>
      </c>
      <c r="K387" s="7" t="s">
        <v>5330</v>
      </c>
      <c r="L387" s="8" t="s">
        <v>459</v>
      </c>
      <c r="M387" s="8" t="s">
        <v>174</v>
      </c>
      <c r="N387" s="8" t="s">
        <v>45</v>
      </c>
      <c r="O387" s="32">
        <v>43878.0</v>
      </c>
      <c r="P387" s="7" t="s">
        <v>5323</v>
      </c>
      <c r="Q387" s="32">
        <v>46435.0</v>
      </c>
      <c r="R387" s="8" t="s">
        <v>174</v>
      </c>
      <c r="S387" s="8" t="s">
        <v>190</v>
      </c>
      <c r="T387" s="8" t="s">
        <v>49</v>
      </c>
      <c r="U387" s="8" t="s">
        <v>53</v>
      </c>
    </row>
    <row r="388">
      <c r="A388" s="8" t="s">
        <v>477</v>
      </c>
      <c r="B388" s="8" t="s">
        <v>480</v>
      </c>
      <c r="C388" s="8" t="s">
        <v>57</v>
      </c>
      <c r="D388" s="8" t="s">
        <v>54</v>
      </c>
      <c r="E388" s="8" t="s">
        <v>45</v>
      </c>
      <c r="F388" s="8" t="s">
        <v>2214</v>
      </c>
      <c r="G388" s="8" t="s">
        <v>2215</v>
      </c>
      <c r="H388" s="8" t="s">
        <v>2216</v>
      </c>
      <c r="I388" s="8" t="s">
        <v>55</v>
      </c>
      <c r="J388" s="8" t="s">
        <v>56</v>
      </c>
      <c r="K388" s="7" t="s">
        <v>5466</v>
      </c>
      <c r="L388" s="8" t="s">
        <v>459</v>
      </c>
      <c r="M388" s="8" t="s">
        <v>174</v>
      </c>
      <c r="N388" s="8" t="s">
        <v>45</v>
      </c>
      <c r="O388" s="32">
        <v>43755.0</v>
      </c>
      <c r="P388" s="7" t="s">
        <v>5323</v>
      </c>
      <c r="Q388" s="32">
        <v>45947.0</v>
      </c>
      <c r="R388" s="8" t="s">
        <v>226</v>
      </c>
      <c r="S388" s="8" t="s">
        <v>190</v>
      </c>
      <c r="T388" s="8" t="s">
        <v>49</v>
      </c>
      <c r="U388" s="8" t="s">
        <v>53</v>
      </c>
    </row>
    <row r="389">
      <c r="A389" s="8" t="s">
        <v>1526</v>
      </c>
      <c r="B389" s="8" t="s">
        <v>1529</v>
      </c>
      <c r="C389" s="8" t="s">
        <v>57</v>
      </c>
      <c r="D389" s="8" t="s">
        <v>54</v>
      </c>
      <c r="E389" s="8" t="s">
        <v>185</v>
      </c>
      <c r="F389" s="8" t="s">
        <v>3030</v>
      </c>
      <c r="G389" s="8" t="s">
        <v>3031</v>
      </c>
      <c r="H389" s="8" t="s">
        <v>3032</v>
      </c>
      <c r="I389" s="8" t="s">
        <v>421</v>
      </c>
      <c r="J389" s="8" t="s">
        <v>56</v>
      </c>
      <c r="K389" s="7" t="s">
        <v>5467</v>
      </c>
      <c r="L389" s="8" t="s">
        <v>52</v>
      </c>
      <c r="M389" s="8" t="s">
        <v>1771</v>
      </c>
      <c r="N389" s="8" t="s">
        <v>185</v>
      </c>
      <c r="O389" s="32">
        <v>43762.0</v>
      </c>
      <c r="P389" s="7">
        <v>0.0</v>
      </c>
      <c r="Q389" s="32">
        <v>45223.0</v>
      </c>
      <c r="R389" s="8" t="s">
        <v>174</v>
      </c>
      <c r="S389" s="8" t="s">
        <v>620</v>
      </c>
      <c r="T389" s="8" t="s">
        <v>115</v>
      </c>
      <c r="U389" s="8" t="s">
        <v>53</v>
      </c>
    </row>
    <row r="390">
      <c r="A390" s="8" t="s">
        <v>1526</v>
      </c>
      <c r="B390" s="8" t="s">
        <v>1529</v>
      </c>
      <c r="C390" s="8" t="s">
        <v>57</v>
      </c>
      <c r="D390" s="8" t="s">
        <v>54</v>
      </c>
      <c r="E390" s="8" t="s">
        <v>185</v>
      </c>
      <c r="F390" s="8" t="s">
        <v>3034</v>
      </c>
      <c r="G390" s="8" t="s">
        <v>3035</v>
      </c>
      <c r="H390" s="8" t="s">
        <v>3036</v>
      </c>
      <c r="I390" s="8" t="s">
        <v>421</v>
      </c>
      <c r="J390" s="8" t="s">
        <v>56</v>
      </c>
      <c r="K390" s="7" t="s">
        <v>5467</v>
      </c>
      <c r="L390" s="8" t="s">
        <v>52</v>
      </c>
      <c r="M390" s="8" t="s">
        <v>1771</v>
      </c>
      <c r="N390" s="8" t="s">
        <v>185</v>
      </c>
      <c r="O390" s="32">
        <v>43762.0</v>
      </c>
      <c r="P390" s="7" t="s">
        <v>5248</v>
      </c>
      <c r="Q390" s="32">
        <v>46684.0</v>
      </c>
      <c r="R390" s="8" t="s">
        <v>174</v>
      </c>
      <c r="S390" s="8" t="s">
        <v>620</v>
      </c>
      <c r="T390" s="8" t="s">
        <v>115</v>
      </c>
      <c r="U390" s="8" t="s">
        <v>53</v>
      </c>
    </row>
    <row r="391">
      <c r="A391" s="8" t="s">
        <v>1526</v>
      </c>
      <c r="B391" s="8" t="s">
        <v>1529</v>
      </c>
      <c r="C391" s="8" t="s">
        <v>57</v>
      </c>
      <c r="D391" s="8" t="s">
        <v>54</v>
      </c>
      <c r="E391" s="8" t="s">
        <v>185</v>
      </c>
      <c r="F391" s="8" t="s">
        <v>3038</v>
      </c>
      <c r="G391" s="8" t="s">
        <v>3039</v>
      </c>
      <c r="H391" s="8" t="s">
        <v>3040</v>
      </c>
      <c r="I391" s="8" t="s">
        <v>421</v>
      </c>
      <c r="J391" s="8" t="s">
        <v>56</v>
      </c>
      <c r="K391" s="7" t="s">
        <v>5467</v>
      </c>
      <c r="L391" s="8" t="s">
        <v>52</v>
      </c>
      <c r="M391" s="8" t="s">
        <v>1771</v>
      </c>
      <c r="N391" s="8" t="s">
        <v>185</v>
      </c>
      <c r="O391" s="32">
        <v>43762.0</v>
      </c>
      <c r="P391" s="42">
        <v>875.0</v>
      </c>
      <c r="Q391" s="32">
        <v>48145.0</v>
      </c>
      <c r="R391" s="8" t="s">
        <v>174</v>
      </c>
      <c r="S391" s="8" t="s">
        <v>620</v>
      </c>
      <c r="T391" s="8" t="s">
        <v>115</v>
      </c>
      <c r="U391" s="8" t="s">
        <v>53</v>
      </c>
    </row>
    <row r="392">
      <c r="A392" s="8" t="s">
        <v>1199</v>
      </c>
      <c r="B392" s="8" t="s">
        <v>1202</v>
      </c>
      <c r="C392" s="8" t="s">
        <v>71</v>
      </c>
      <c r="D392" s="8" t="s">
        <v>54</v>
      </c>
      <c r="E392" s="8" t="s">
        <v>1203</v>
      </c>
      <c r="F392" s="8" t="s">
        <v>2952</v>
      </c>
      <c r="G392" s="8" t="s">
        <v>2953</v>
      </c>
      <c r="H392" s="8" t="s">
        <v>2954</v>
      </c>
      <c r="I392" s="8" t="s">
        <v>55</v>
      </c>
      <c r="J392" s="8" t="s">
        <v>56</v>
      </c>
      <c r="K392" s="7" t="s">
        <v>5285</v>
      </c>
      <c r="L392" s="8" t="s">
        <v>52</v>
      </c>
      <c r="M392" s="8" t="s">
        <v>174</v>
      </c>
      <c r="N392" s="8" t="s">
        <v>1203</v>
      </c>
      <c r="O392" s="32">
        <v>43768.0</v>
      </c>
      <c r="P392" s="42">
        <v>4375.0</v>
      </c>
      <c r="Q392" s="32">
        <v>45595.0</v>
      </c>
      <c r="R392" s="8" t="s">
        <v>174</v>
      </c>
      <c r="S392" s="8" t="s">
        <v>54</v>
      </c>
      <c r="T392" s="8" t="s">
        <v>1206</v>
      </c>
      <c r="U392" s="8" t="s">
        <v>53</v>
      </c>
    </row>
    <row r="393">
      <c r="A393" s="8" t="s">
        <v>1067</v>
      </c>
      <c r="B393" s="8" t="s">
        <v>1070</v>
      </c>
      <c r="C393" s="8" t="s">
        <v>174</v>
      </c>
      <c r="D393" s="8" t="s">
        <v>54</v>
      </c>
      <c r="E393" s="8" t="s">
        <v>185</v>
      </c>
      <c r="F393" s="8" t="s">
        <v>1854</v>
      </c>
      <c r="G393" s="8" t="s">
        <v>1855</v>
      </c>
      <c r="H393" s="8" t="s">
        <v>1856</v>
      </c>
      <c r="I393" s="8" t="s">
        <v>55</v>
      </c>
      <c r="J393" s="8" t="s">
        <v>676</v>
      </c>
      <c r="K393" s="7" t="s">
        <v>5468</v>
      </c>
      <c r="L393" s="8" t="s">
        <v>52</v>
      </c>
      <c r="M393" s="8" t="s">
        <v>1776</v>
      </c>
      <c r="N393" s="8" t="s">
        <v>185</v>
      </c>
      <c r="O393" s="32">
        <v>43775.0</v>
      </c>
      <c r="P393" s="7">
        <v>0.0</v>
      </c>
      <c r="Q393" s="32">
        <v>45602.0</v>
      </c>
      <c r="R393" s="8" t="s">
        <v>174</v>
      </c>
      <c r="S393" s="8" t="s">
        <v>54</v>
      </c>
      <c r="T393" s="8" t="s">
        <v>189</v>
      </c>
      <c r="U393" s="8" t="s">
        <v>53</v>
      </c>
    </row>
    <row r="394">
      <c r="A394" s="8" t="s">
        <v>529</v>
      </c>
      <c r="B394" s="8" t="s">
        <v>532</v>
      </c>
      <c r="C394" s="8" t="s">
        <v>57</v>
      </c>
      <c r="D394" s="8" t="s">
        <v>54</v>
      </c>
      <c r="E394" s="8" t="s">
        <v>258</v>
      </c>
      <c r="F394" s="8" t="s">
        <v>3423</v>
      </c>
      <c r="G394" s="8" t="s">
        <v>3424</v>
      </c>
      <c r="H394" s="8" t="s">
        <v>3425</v>
      </c>
      <c r="I394" s="8" t="s">
        <v>55</v>
      </c>
      <c r="J394" s="8" t="s">
        <v>56</v>
      </c>
      <c r="K394" s="7" t="s">
        <v>5469</v>
      </c>
      <c r="L394" s="8" t="s">
        <v>52</v>
      </c>
      <c r="M394" s="8" t="s">
        <v>174</v>
      </c>
      <c r="N394" s="8" t="s">
        <v>258</v>
      </c>
      <c r="O394" s="32">
        <v>43782.0</v>
      </c>
      <c r="P394" s="7" t="s">
        <v>5318</v>
      </c>
      <c r="Q394" s="32">
        <v>45974.0</v>
      </c>
      <c r="R394" s="8" t="s">
        <v>174</v>
      </c>
      <c r="S394" s="8" t="s">
        <v>54</v>
      </c>
      <c r="T394" s="8" t="s">
        <v>49</v>
      </c>
      <c r="U394" s="8" t="s">
        <v>53</v>
      </c>
    </row>
    <row r="395">
      <c r="A395" s="8" t="s">
        <v>1059</v>
      </c>
      <c r="B395" s="8" t="s">
        <v>1046</v>
      </c>
      <c r="C395" s="8" t="s">
        <v>71</v>
      </c>
      <c r="D395" s="42">
        <v>7125.0</v>
      </c>
      <c r="E395" s="8" t="s">
        <v>1047</v>
      </c>
      <c r="F395" s="8" t="s">
        <v>3403</v>
      </c>
      <c r="G395" s="8" t="s">
        <v>3404</v>
      </c>
      <c r="H395" s="8" t="s">
        <v>3405</v>
      </c>
      <c r="I395" s="8" t="s">
        <v>55</v>
      </c>
      <c r="J395" s="8" t="s">
        <v>56</v>
      </c>
      <c r="K395" s="43">
        <v>1.0E9</v>
      </c>
      <c r="L395" s="8" t="s">
        <v>52</v>
      </c>
      <c r="M395" s="8" t="s">
        <v>1771</v>
      </c>
      <c r="N395" s="8" t="s">
        <v>367</v>
      </c>
      <c r="O395" s="32">
        <v>43794.0</v>
      </c>
      <c r="P395" s="42">
        <v>7125.0</v>
      </c>
      <c r="Q395" s="32">
        <v>45688.0</v>
      </c>
      <c r="R395" s="8" t="s">
        <v>262</v>
      </c>
      <c r="S395" s="8" t="s">
        <v>297</v>
      </c>
      <c r="T395" s="8" t="s">
        <v>115</v>
      </c>
      <c r="U395" s="8" t="s">
        <v>263</v>
      </c>
    </row>
    <row r="396">
      <c r="A396" s="8" t="s">
        <v>1059</v>
      </c>
      <c r="B396" s="8" t="s">
        <v>1046</v>
      </c>
      <c r="C396" s="8" t="s">
        <v>71</v>
      </c>
      <c r="D396" s="42">
        <v>7125.0</v>
      </c>
      <c r="E396" s="8" t="s">
        <v>1047</v>
      </c>
      <c r="F396" s="8" t="s">
        <v>3407</v>
      </c>
      <c r="G396" s="8" t="s">
        <v>3408</v>
      </c>
      <c r="H396" s="8" t="s">
        <v>3409</v>
      </c>
      <c r="I396" s="8" t="s">
        <v>55</v>
      </c>
      <c r="J396" s="8" t="s">
        <v>56</v>
      </c>
      <c r="K396" s="43">
        <v>1.0E9</v>
      </c>
      <c r="L396" s="8" t="s">
        <v>52</v>
      </c>
      <c r="M396" s="8" t="s">
        <v>1771</v>
      </c>
      <c r="N396" s="8" t="s">
        <v>367</v>
      </c>
      <c r="O396" s="32">
        <v>43794.0</v>
      </c>
      <c r="P396" s="42">
        <v>7125.0</v>
      </c>
      <c r="Q396" s="32">
        <v>45688.0</v>
      </c>
      <c r="R396" s="8" t="s">
        <v>271</v>
      </c>
      <c r="S396" s="8" t="s">
        <v>297</v>
      </c>
      <c r="T396" s="8" t="s">
        <v>115</v>
      </c>
      <c r="U396" s="8" t="s">
        <v>263</v>
      </c>
    </row>
    <row r="397">
      <c r="A397" s="8" t="s">
        <v>1076</v>
      </c>
      <c r="B397" s="8" t="s">
        <v>1079</v>
      </c>
      <c r="C397" s="8" t="s">
        <v>71</v>
      </c>
      <c r="D397" s="8" t="s">
        <v>54</v>
      </c>
      <c r="E397" s="8" t="s">
        <v>185</v>
      </c>
      <c r="F397" s="8" t="s">
        <v>2579</v>
      </c>
      <c r="G397" s="8" t="s">
        <v>2580</v>
      </c>
      <c r="H397" s="8" t="s">
        <v>2581</v>
      </c>
      <c r="I397" s="8" t="s">
        <v>885</v>
      </c>
      <c r="J397" s="8" t="s">
        <v>56</v>
      </c>
      <c r="K397" s="7" t="s">
        <v>5470</v>
      </c>
      <c r="L397" s="8" t="s">
        <v>52</v>
      </c>
      <c r="M397" s="8" t="s">
        <v>1840</v>
      </c>
      <c r="N397" s="8" t="s">
        <v>185</v>
      </c>
      <c r="O397" s="32">
        <v>43796.0</v>
      </c>
      <c r="P397" s="42">
        <v>2375.0</v>
      </c>
      <c r="Q397" s="32">
        <v>46553.0</v>
      </c>
      <c r="R397" s="8" t="s">
        <v>174</v>
      </c>
      <c r="S397" s="8" t="s">
        <v>885</v>
      </c>
      <c r="T397" s="8" t="s">
        <v>115</v>
      </c>
      <c r="U397" s="8" t="s">
        <v>53</v>
      </c>
    </row>
    <row r="398">
      <c r="A398" s="8" t="s">
        <v>166</v>
      </c>
      <c r="B398" s="8" t="s">
        <v>169</v>
      </c>
      <c r="C398" s="8" t="s">
        <v>57</v>
      </c>
      <c r="D398" s="8" t="s">
        <v>54</v>
      </c>
      <c r="E398" s="8" t="s">
        <v>171</v>
      </c>
      <c r="F398" s="8" t="s">
        <v>2679</v>
      </c>
      <c r="G398" s="8" t="s">
        <v>2680</v>
      </c>
      <c r="H398" s="8" t="s">
        <v>2681</v>
      </c>
      <c r="I398" s="8" t="s">
        <v>55</v>
      </c>
      <c r="J398" s="8" t="s">
        <v>56</v>
      </c>
      <c r="K398" s="7" t="s">
        <v>5424</v>
      </c>
      <c r="L398" s="8" t="s">
        <v>52</v>
      </c>
      <c r="M398" s="8" t="s">
        <v>1771</v>
      </c>
      <c r="N398" s="8" t="s">
        <v>170</v>
      </c>
      <c r="O398" s="32">
        <v>43798.0</v>
      </c>
      <c r="P398" s="7" t="s">
        <v>5248</v>
      </c>
      <c r="Q398" s="32">
        <v>46355.0</v>
      </c>
      <c r="R398" s="8" t="s">
        <v>226</v>
      </c>
      <c r="S398" s="8" t="s">
        <v>175</v>
      </c>
      <c r="T398" s="8" t="s">
        <v>115</v>
      </c>
      <c r="U398" s="8" t="s">
        <v>53</v>
      </c>
    </row>
    <row r="399">
      <c r="A399" s="8" t="s">
        <v>127</v>
      </c>
      <c r="B399" s="8" t="s">
        <v>130</v>
      </c>
      <c r="C399" s="8" t="s">
        <v>57</v>
      </c>
      <c r="D399" s="8" t="s">
        <v>54</v>
      </c>
      <c r="E399" s="8" t="s">
        <v>45</v>
      </c>
      <c r="F399" s="8" t="s">
        <v>3070</v>
      </c>
      <c r="G399" s="8" t="s">
        <v>174</v>
      </c>
      <c r="H399" s="8" t="s">
        <v>3071</v>
      </c>
      <c r="I399" s="8" t="s">
        <v>133</v>
      </c>
      <c r="J399" s="8" t="s">
        <v>56</v>
      </c>
      <c r="K399" s="7">
        <v>7.79163E7</v>
      </c>
      <c r="L399" s="8" t="s">
        <v>52</v>
      </c>
      <c r="M399" s="8" t="s">
        <v>1771</v>
      </c>
      <c r="N399" s="8" t="s">
        <v>45</v>
      </c>
      <c r="O399" s="32">
        <v>43844.0</v>
      </c>
      <c r="P399" s="7">
        <v>0.0</v>
      </c>
      <c r="Q399" s="32">
        <v>45671.0</v>
      </c>
      <c r="R399" s="8" t="s">
        <v>104</v>
      </c>
      <c r="S399" s="8" t="s">
        <v>54</v>
      </c>
      <c r="T399" s="8" t="s">
        <v>49</v>
      </c>
      <c r="U399" s="8" t="s">
        <v>53</v>
      </c>
    </row>
    <row r="400">
      <c r="A400" s="8" t="s">
        <v>127</v>
      </c>
      <c r="B400" s="8" t="s">
        <v>130</v>
      </c>
      <c r="C400" s="8" t="s">
        <v>71</v>
      </c>
      <c r="D400" s="8" t="s">
        <v>54</v>
      </c>
      <c r="E400" s="8" t="s">
        <v>45</v>
      </c>
      <c r="F400" s="8" t="s">
        <v>3073</v>
      </c>
      <c r="G400" s="8" t="s">
        <v>174</v>
      </c>
      <c r="H400" s="8" t="s">
        <v>3074</v>
      </c>
      <c r="I400" s="8" t="s">
        <v>133</v>
      </c>
      <c r="J400" s="8" t="s">
        <v>70</v>
      </c>
      <c r="K400" s="7">
        <v>7.79163E7</v>
      </c>
      <c r="L400" s="8" t="s">
        <v>52</v>
      </c>
      <c r="M400" s="8" t="s">
        <v>1771</v>
      </c>
      <c r="N400" s="8" t="s">
        <v>45</v>
      </c>
      <c r="O400" s="32">
        <v>43844.0</v>
      </c>
      <c r="P400" s="7">
        <v>0.0</v>
      </c>
      <c r="Q400" s="32">
        <v>45671.0</v>
      </c>
      <c r="R400" s="8" t="s">
        <v>94</v>
      </c>
      <c r="S400" s="8" t="s">
        <v>54</v>
      </c>
      <c r="T400" s="8" t="s">
        <v>49</v>
      </c>
      <c r="U400" s="8" t="s">
        <v>53</v>
      </c>
    </row>
    <row r="401">
      <c r="A401" s="8" t="s">
        <v>477</v>
      </c>
      <c r="B401" s="8" t="s">
        <v>480</v>
      </c>
      <c r="C401" s="8" t="s">
        <v>392</v>
      </c>
      <c r="D401" s="8" t="s">
        <v>54</v>
      </c>
      <c r="E401" s="8" t="s">
        <v>45</v>
      </c>
      <c r="F401" s="8" t="s">
        <v>2218</v>
      </c>
      <c r="G401" s="8" t="s">
        <v>2219</v>
      </c>
      <c r="H401" s="8" t="s">
        <v>2220</v>
      </c>
      <c r="I401" s="8" t="s">
        <v>55</v>
      </c>
      <c r="J401" s="8" t="s">
        <v>70</v>
      </c>
      <c r="K401" s="7" t="s">
        <v>5471</v>
      </c>
      <c r="L401" s="8" t="s">
        <v>459</v>
      </c>
      <c r="M401" s="8" t="s">
        <v>174</v>
      </c>
      <c r="N401" s="8" t="s">
        <v>45</v>
      </c>
      <c r="O401" s="32">
        <v>43794.0</v>
      </c>
      <c r="P401" s="7">
        <v>0.0</v>
      </c>
      <c r="Q401" s="32">
        <v>45610.0</v>
      </c>
      <c r="R401" s="8" t="s">
        <v>226</v>
      </c>
      <c r="S401" s="8" t="s">
        <v>190</v>
      </c>
      <c r="T401" s="8" t="s">
        <v>49</v>
      </c>
      <c r="U401" s="8" t="s">
        <v>53</v>
      </c>
    </row>
    <row r="402">
      <c r="A402" s="8" t="s">
        <v>477</v>
      </c>
      <c r="B402" s="8" t="s">
        <v>480</v>
      </c>
      <c r="C402" s="8" t="s">
        <v>57</v>
      </c>
      <c r="D402" s="8" t="s">
        <v>54</v>
      </c>
      <c r="E402" s="8" t="s">
        <v>45</v>
      </c>
      <c r="F402" s="8" t="s">
        <v>2222</v>
      </c>
      <c r="G402" s="8" t="s">
        <v>2223</v>
      </c>
      <c r="H402" s="8" t="s">
        <v>2224</v>
      </c>
      <c r="I402" s="8" t="s">
        <v>55</v>
      </c>
      <c r="J402" s="8" t="s">
        <v>56</v>
      </c>
      <c r="K402" s="7">
        <v>4.975605E7</v>
      </c>
      <c r="L402" s="8" t="s">
        <v>2012</v>
      </c>
      <c r="M402" s="8" t="s">
        <v>2013</v>
      </c>
      <c r="N402" s="8" t="s">
        <v>45</v>
      </c>
      <c r="O402" s="32">
        <v>43808.0</v>
      </c>
      <c r="P402" s="42">
        <v>1157.0</v>
      </c>
      <c r="Q402" s="32">
        <v>51113.0</v>
      </c>
      <c r="R402" s="8" t="s">
        <v>174</v>
      </c>
      <c r="S402" s="8" t="s">
        <v>117</v>
      </c>
      <c r="T402" s="8" t="s">
        <v>49</v>
      </c>
      <c r="U402" s="8" t="s">
        <v>53</v>
      </c>
    </row>
    <row r="403">
      <c r="A403" s="8" t="s">
        <v>1560</v>
      </c>
      <c r="B403" s="8" t="s">
        <v>1563</v>
      </c>
      <c r="C403" s="8" t="s">
        <v>57</v>
      </c>
      <c r="D403" s="8" t="s">
        <v>54</v>
      </c>
      <c r="E403" s="8" t="s">
        <v>258</v>
      </c>
      <c r="F403" s="8" t="s">
        <v>2784</v>
      </c>
      <c r="G403" s="8" t="s">
        <v>2785</v>
      </c>
      <c r="H403" s="8" t="s">
        <v>2786</v>
      </c>
      <c r="I403" s="8" t="s">
        <v>55</v>
      </c>
      <c r="J403" s="8" t="s">
        <v>56</v>
      </c>
      <c r="K403" s="7" t="s">
        <v>5225</v>
      </c>
      <c r="L403" s="8" t="s">
        <v>52</v>
      </c>
      <c r="M403" s="8" t="s">
        <v>1776</v>
      </c>
      <c r="N403" s="8" t="s">
        <v>367</v>
      </c>
      <c r="O403" s="32">
        <v>43817.0</v>
      </c>
      <c r="P403" s="7">
        <v>1.0</v>
      </c>
      <c r="Q403" s="32">
        <v>46741.0</v>
      </c>
      <c r="R403" s="8" t="s">
        <v>174</v>
      </c>
      <c r="S403" s="8" t="s">
        <v>175</v>
      </c>
      <c r="T403" s="8" t="s">
        <v>49</v>
      </c>
      <c r="U403" s="8" t="s">
        <v>53</v>
      </c>
    </row>
    <row r="404">
      <c r="A404" s="8" t="s">
        <v>1560</v>
      </c>
      <c r="B404" s="8" t="s">
        <v>1563</v>
      </c>
      <c r="C404" s="8" t="s">
        <v>57</v>
      </c>
      <c r="D404" s="8" t="s">
        <v>54</v>
      </c>
      <c r="E404" s="8" t="s">
        <v>258</v>
      </c>
      <c r="F404" s="8" t="s">
        <v>2788</v>
      </c>
      <c r="G404" s="8" t="s">
        <v>2789</v>
      </c>
      <c r="H404" s="8" t="s">
        <v>2790</v>
      </c>
      <c r="I404" s="8" t="s">
        <v>55</v>
      </c>
      <c r="J404" s="8" t="s">
        <v>56</v>
      </c>
      <c r="K404" s="7" t="s">
        <v>5225</v>
      </c>
      <c r="L404" s="8" t="s">
        <v>52</v>
      </c>
      <c r="M404" s="8" t="s">
        <v>1771</v>
      </c>
      <c r="N404" s="8" t="s">
        <v>367</v>
      </c>
      <c r="O404" s="32">
        <v>43817.0</v>
      </c>
      <c r="P404" s="7" t="s">
        <v>5438</v>
      </c>
      <c r="Q404" s="32">
        <v>51123.0</v>
      </c>
      <c r="R404" s="8" t="s">
        <v>174</v>
      </c>
      <c r="S404" s="8" t="s">
        <v>175</v>
      </c>
      <c r="T404" s="8" t="s">
        <v>49</v>
      </c>
      <c r="U404" s="8" t="s">
        <v>53</v>
      </c>
    </row>
    <row r="405">
      <c r="A405" s="8" t="s">
        <v>477</v>
      </c>
      <c r="B405" s="8" t="s">
        <v>480</v>
      </c>
      <c r="C405" s="8" t="s">
        <v>57</v>
      </c>
      <c r="D405" s="8" t="s">
        <v>54</v>
      </c>
      <c r="E405" s="8" t="s">
        <v>45</v>
      </c>
      <c r="F405" s="8" t="s">
        <v>2226</v>
      </c>
      <c r="G405" s="8" t="s">
        <v>2227</v>
      </c>
      <c r="H405" s="8" t="s">
        <v>2228</v>
      </c>
      <c r="I405" s="8" t="s">
        <v>55</v>
      </c>
      <c r="J405" s="8" t="s">
        <v>56</v>
      </c>
      <c r="K405" s="7" t="s">
        <v>5264</v>
      </c>
      <c r="L405" s="8" t="s">
        <v>459</v>
      </c>
      <c r="M405" s="8" t="s">
        <v>1771</v>
      </c>
      <c r="N405" s="8" t="s">
        <v>45</v>
      </c>
      <c r="O405" s="32">
        <v>43704.0</v>
      </c>
      <c r="P405" s="7" t="s">
        <v>5323</v>
      </c>
      <c r="Q405" s="32">
        <v>44802.0</v>
      </c>
      <c r="R405" s="8" t="s">
        <v>226</v>
      </c>
      <c r="S405" s="8" t="s">
        <v>190</v>
      </c>
      <c r="T405" s="8" t="s">
        <v>49</v>
      </c>
      <c r="U405" s="8" t="s">
        <v>53</v>
      </c>
    </row>
    <row r="406">
      <c r="A406" s="8" t="s">
        <v>671</v>
      </c>
      <c r="B406" s="8" t="s">
        <v>674</v>
      </c>
      <c r="C406" s="8" t="s">
        <v>174</v>
      </c>
      <c r="D406" s="8" t="s">
        <v>54</v>
      </c>
      <c r="E406" s="8" t="s">
        <v>185</v>
      </c>
      <c r="F406" s="8" t="s">
        <v>2383</v>
      </c>
      <c r="G406" s="8" t="s">
        <v>2384</v>
      </c>
      <c r="H406" s="8" t="s">
        <v>2385</v>
      </c>
      <c r="I406" s="8" t="s">
        <v>421</v>
      </c>
      <c r="J406" s="8" t="s">
        <v>676</v>
      </c>
      <c r="K406" s="7" t="s">
        <v>5472</v>
      </c>
      <c r="L406" s="8" t="s">
        <v>52</v>
      </c>
      <c r="M406" s="8" t="s">
        <v>1771</v>
      </c>
      <c r="N406" s="8" t="s">
        <v>185</v>
      </c>
      <c r="O406" s="32">
        <v>43714.0</v>
      </c>
      <c r="P406" s="7">
        <v>0.0</v>
      </c>
      <c r="Q406" s="32">
        <v>45541.0</v>
      </c>
      <c r="R406" s="8" t="s">
        <v>675</v>
      </c>
      <c r="S406" s="8" t="s">
        <v>54</v>
      </c>
      <c r="T406" s="8" t="s">
        <v>189</v>
      </c>
      <c r="U406" s="8" t="s">
        <v>53</v>
      </c>
    </row>
    <row r="407">
      <c r="A407" s="8" t="s">
        <v>1360</v>
      </c>
      <c r="B407" s="8" t="s">
        <v>1363</v>
      </c>
      <c r="C407" s="8" t="s">
        <v>57</v>
      </c>
      <c r="D407" s="8" t="s">
        <v>54</v>
      </c>
      <c r="E407" s="8" t="s">
        <v>200</v>
      </c>
      <c r="F407" s="8" t="s">
        <v>3262</v>
      </c>
      <c r="G407" s="8" t="s">
        <v>3263</v>
      </c>
      <c r="H407" s="8" t="s">
        <v>3264</v>
      </c>
      <c r="I407" s="8" t="s">
        <v>117</v>
      </c>
      <c r="J407" s="8" t="s">
        <v>56</v>
      </c>
      <c r="K407" s="7" t="s">
        <v>5473</v>
      </c>
      <c r="L407" s="8" t="s">
        <v>52</v>
      </c>
      <c r="M407" s="8" t="s">
        <v>1771</v>
      </c>
      <c r="N407" s="8" t="s">
        <v>200</v>
      </c>
      <c r="O407" s="32">
        <v>43720.0</v>
      </c>
      <c r="P407" s="7">
        <v>0.0</v>
      </c>
      <c r="Q407" s="32">
        <v>45424.0</v>
      </c>
      <c r="R407" s="8" t="s">
        <v>174</v>
      </c>
      <c r="S407" s="8" t="s">
        <v>175</v>
      </c>
      <c r="T407" s="8" t="s">
        <v>115</v>
      </c>
      <c r="U407" s="8" t="s">
        <v>53</v>
      </c>
    </row>
    <row r="408">
      <c r="A408" s="8" t="s">
        <v>1360</v>
      </c>
      <c r="B408" s="8" t="s">
        <v>1363</v>
      </c>
      <c r="C408" s="8" t="s">
        <v>57</v>
      </c>
      <c r="D408" s="8" t="s">
        <v>54</v>
      </c>
      <c r="E408" s="8" t="s">
        <v>200</v>
      </c>
      <c r="F408" s="8" t="s">
        <v>3266</v>
      </c>
      <c r="G408" s="8" t="s">
        <v>3267</v>
      </c>
      <c r="H408" s="8" t="s">
        <v>3268</v>
      </c>
      <c r="I408" s="8" t="s">
        <v>117</v>
      </c>
      <c r="J408" s="8" t="s">
        <v>56</v>
      </c>
      <c r="K408" s="7" t="s">
        <v>5474</v>
      </c>
      <c r="L408" s="8" t="s">
        <v>52</v>
      </c>
      <c r="M408" s="8" t="s">
        <v>1771</v>
      </c>
      <c r="N408" s="8" t="s">
        <v>200</v>
      </c>
      <c r="O408" s="32">
        <v>43720.0</v>
      </c>
      <c r="P408" s="7">
        <v>1.0</v>
      </c>
      <c r="Q408" s="32">
        <v>49199.0</v>
      </c>
      <c r="R408" s="8" t="s">
        <v>226</v>
      </c>
      <c r="S408" s="8" t="s">
        <v>175</v>
      </c>
      <c r="T408" s="8" t="s">
        <v>115</v>
      </c>
      <c r="U408" s="8" t="s">
        <v>53</v>
      </c>
    </row>
    <row r="409">
      <c r="A409" s="8" t="s">
        <v>1209</v>
      </c>
      <c r="B409" s="8" t="s">
        <v>1212</v>
      </c>
      <c r="C409" s="8" t="s">
        <v>392</v>
      </c>
      <c r="D409" s="8" t="s">
        <v>54</v>
      </c>
      <c r="E409" s="8" t="s">
        <v>368</v>
      </c>
      <c r="F409" s="8" t="s">
        <v>2930</v>
      </c>
      <c r="G409" s="8" t="s">
        <v>2931</v>
      </c>
      <c r="H409" s="8" t="s">
        <v>2932</v>
      </c>
      <c r="I409" s="8" t="s">
        <v>55</v>
      </c>
      <c r="J409" s="8" t="s">
        <v>70</v>
      </c>
      <c r="K409" s="7" t="s">
        <v>5475</v>
      </c>
      <c r="L409" s="8" t="s">
        <v>52</v>
      </c>
      <c r="M409" s="8" t="s">
        <v>1771</v>
      </c>
      <c r="N409" s="8" t="s">
        <v>368</v>
      </c>
      <c r="O409" s="32">
        <v>43726.0</v>
      </c>
      <c r="P409" s="7" t="s">
        <v>5476</v>
      </c>
      <c r="Q409" s="32">
        <v>45187.0</v>
      </c>
      <c r="R409" s="8" t="s">
        <v>686</v>
      </c>
      <c r="S409" s="8" t="s">
        <v>54</v>
      </c>
      <c r="T409" s="8" t="s">
        <v>49</v>
      </c>
      <c r="U409" s="8" t="s">
        <v>687</v>
      </c>
    </row>
    <row r="410">
      <c r="A410" s="8" t="s">
        <v>1225</v>
      </c>
      <c r="B410" s="8" t="s">
        <v>1228</v>
      </c>
      <c r="C410" s="8" t="s">
        <v>57</v>
      </c>
      <c r="D410" s="8" t="s">
        <v>54</v>
      </c>
      <c r="E410" s="8" t="s">
        <v>595</v>
      </c>
      <c r="F410" s="8" t="s">
        <v>2819</v>
      </c>
      <c r="G410" s="8" t="s">
        <v>2820</v>
      </c>
      <c r="H410" s="8" t="s">
        <v>2821</v>
      </c>
      <c r="I410" s="8" t="s">
        <v>55</v>
      </c>
      <c r="J410" s="8" t="s">
        <v>56</v>
      </c>
      <c r="K410" s="7" t="s">
        <v>5477</v>
      </c>
      <c r="L410" s="8" t="s">
        <v>52</v>
      </c>
      <c r="M410" s="8" t="s">
        <v>174</v>
      </c>
      <c r="N410" s="8" t="s">
        <v>595</v>
      </c>
      <c r="O410" s="32">
        <v>43728.0</v>
      </c>
      <c r="P410" s="42">
        <v>625.0</v>
      </c>
      <c r="Q410" s="32">
        <v>47381.0</v>
      </c>
      <c r="R410" s="8" t="s">
        <v>174</v>
      </c>
      <c r="S410" s="8" t="s">
        <v>175</v>
      </c>
      <c r="T410" s="8" t="s">
        <v>115</v>
      </c>
      <c r="U410" s="8" t="s">
        <v>53</v>
      </c>
    </row>
    <row r="411">
      <c r="A411" s="8" t="s">
        <v>1133</v>
      </c>
      <c r="B411" s="8" t="s">
        <v>1136</v>
      </c>
      <c r="C411" s="8" t="s">
        <v>57</v>
      </c>
      <c r="D411" s="8" t="s">
        <v>54</v>
      </c>
      <c r="E411" s="8" t="s">
        <v>45</v>
      </c>
      <c r="F411" s="8" t="s">
        <v>2611</v>
      </c>
      <c r="G411" s="8" t="s">
        <v>2612</v>
      </c>
      <c r="H411" s="8" t="s">
        <v>2613</v>
      </c>
      <c r="I411" s="8" t="s">
        <v>421</v>
      </c>
      <c r="J411" s="8" t="s">
        <v>56</v>
      </c>
      <c r="K411" s="7" t="s">
        <v>5478</v>
      </c>
      <c r="L411" s="8" t="s">
        <v>52</v>
      </c>
      <c r="M411" s="8" t="s">
        <v>1771</v>
      </c>
      <c r="N411" s="8" t="s">
        <v>45</v>
      </c>
      <c r="O411" s="32">
        <v>43738.0</v>
      </c>
      <c r="P411" s="7">
        <v>1.0</v>
      </c>
      <c r="Q411" s="32">
        <v>44834.0</v>
      </c>
      <c r="R411" s="8" t="s">
        <v>174</v>
      </c>
      <c r="S411" s="8" t="s">
        <v>117</v>
      </c>
      <c r="T411" s="8" t="s">
        <v>115</v>
      </c>
      <c r="U411" s="8" t="s">
        <v>1548</v>
      </c>
    </row>
    <row r="412">
      <c r="A412" s="8" t="s">
        <v>1133</v>
      </c>
      <c r="B412" s="8" t="s">
        <v>1136</v>
      </c>
      <c r="C412" s="8" t="s">
        <v>57</v>
      </c>
      <c r="D412" s="8" t="s">
        <v>54</v>
      </c>
      <c r="E412" s="8" t="s">
        <v>45</v>
      </c>
      <c r="F412" s="8" t="s">
        <v>2615</v>
      </c>
      <c r="G412" s="8" t="s">
        <v>2616</v>
      </c>
      <c r="H412" s="8" t="s">
        <v>2617</v>
      </c>
      <c r="I412" s="8" t="s">
        <v>421</v>
      </c>
      <c r="J412" s="8" t="s">
        <v>56</v>
      </c>
      <c r="K412" s="7" t="s">
        <v>5479</v>
      </c>
      <c r="L412" s="8" t="s">
        <v>52</v>
      </c>
      <c r="M412" s="8" t="s">
        <v>1771</v>
      </c>
      <c r="N412" s="8" t="s">
        <v>45</v>
      </c>
      <c r="O412" s="32">
        <v>43738.0</v>
      </c>
      <c r="P412" s="7" t="s">
        <v>5217</v>
      </c>
      <c r="Q412" s="32">
        <v>46295.0</v>
      </c>
      <c r="R412" s="8" t="s">
        <v>174</v>
      </c>
      <c r="S412" s="8" t="s">
        <v>117</v>
      </c>
      <c r="T412" s="8" t="s">
        <v>115</v>
      </c>
      <c r="U412" s="8" t="s">
        <v>1548</v>
      </c>
    </row>
    <row r="413">
      <c r="A413" s="8" t="s">
        <v>947</v>
      </c>
      <c r="B413" s="8" t="s">
        <v>950</v>
      </c>
      <c r="C413" s="8" t="s">
        <v>57</v>
      </c>
      <c r="D413" s="8" t="s">
        <v>54</v>
      </c>
      <c r="E413" s="8" t="s">
        <v>367</v>
      </c>
      <c r="F413" s="8" t="s">
        <v>2965</v>
      </c>
      <c r="G413" s="8" t="s">
        <v>2966</v>
      </c>
      <c r="H413" s="8" t="s">
        <v>2967</v>
      </c>
      <c r="I413" s="8" t="s">
        <v>55</v>
      </c>
      <c r="J413" s="8" t="s">
        <v>56</v>
      </c>
      <c r="K413" s="7" t="s">
        <v>5480</v>
      </c>
      <c r="L413" s="8" t="s">
        <v>52</v>
      </c>
      <c r="M413" s="8" t="s">
        <v>1771</v>
      </c>
      <c r="N413" s="8" t="s">
        <v>367</v>
      </c>
      <c r="O413" s="32">
        <v>43741.0</v>
      </c>
      <c r="P413" s="42">
        <v>375.0</v>
      </c>
      <c r="Q413" s="32">
        <v>48124.0</v>
      </c>
      <c r="R413" s="8" t="s">
        <v>226</v>
      </c>
      <c r="S413" s="8" t="s">
        <v>190</v>
      </c>
      <c r="T413" s="8" t="s">
        <v>115</v>
      </c>
      <c r="U413" s="8" t="s">
        <v>53</v>
      </c>
    </row>
    <row r="414">
      <c r="A414" s="8" t="s">
        <v>477</v>
      </c>
      <c r="B414" s="8" t="s">
        <v>480</v>
      </c>
      <c r="C414" s="8" t="s">
        <v>392</v>
      </c>
      <c r="D414" s="8" t="s">
        <v>54</v>
      </c>
      <c r="E414" s="8" t="s">
        <v>45</v>
      </c>
      <c r="F414" s="8" t="s">
        <v>2230</v>
      </c>
      <c r="G414" s="8" t="s">
        <v>2231</v>
      </c>
      <c r="H414" s="8" t="s">
        <v>2232</v>
      </c>
      <c r="I414" s="8" t="s">
        <v>55</v>
      </c>
      <c r="J414" s="8" t="s">
        <v>70</v>
      </c>
      <c r="K414" s="7" t="s">
        <v>5481</v>
      </c>
      <c r="L414" s="8" t="s">
        <v>459</v>
      </c>
      <c r="M414" s="8" t="s">
        <v>174</v>
      </c>
      <c r="N414" s="8" t="s">
        <v>45</v>
      </c>
      <c r="O414" s="32">
        <v>43738.0</v>
      </c>
      <c r="P414" s="7">
        <v>0.0</v>
      </c>
      <c r="Q414" s="32">
        <v>45230.0</v>
      </c>
      <c r="R414" s="8" t="s">
        <v>226</v>
      </c>
      <c r="S414" s="8" t="s">
        <v>190</v>
      </c>
      <c r="T414" s="8" t="s">
        <v>49</v>
      </c>
      <c r="U414" s="8" t="s">
        <v>53</v>
      </c>
    </row>
    <row r="415">
      <c r="A415" s="8" t="s">
        <v>614</v>
      </c>
      <c r="B415" s="8" t="s">
        <v>617</v>
      </c>
      <c r="C415" s="8" t="s">
        <v>57</v>
      </c>
      <c r="D415" s="8" t="s">
        <v>54</v>
      </c>
      <c r="E415" s="8" t="s">
        <v>200</v>
      </c>
      <c r="F415" s="8" t="s">
        <v>2541</v>
      </c>
      <c r="G415" s="8" t="s">
        <v>2542</v>
      </c>
      <c r="H415" s="8" t="s">
        <v>2543</v>
      </c>
      <c r="I415" s="8" t="s">
        <v>117</v>
      </c>
      <c r="J415" s="8" t="s">
        <v>56</v>
      </c>
      <c r="K415" s="7" t="s">
        <v>5482</v>
      </c>
      <c r="L415" s="8" t="s">
        <v>52</v>
      </c>
      <c r="M415" s="8" t="s">
        <v>1771</v>
      </c>
      <c r="N415" s="8" t="s">
        <v>200</v>
      </c>
      <c r="O415" s="32">
        <v>43749.0</v>
      </c>
      <c r="P415" s="7">
        <v>1.0</v>
      </c>
      <c r="Q415" s="32">
        <v>49228.0</v>
      </c>
      <c r="R415" s="8" t="s">
        <v>226</v>
      </c>
      <c r="S415" s="8" t="s">
        <v>620</v>
      </c>
      <c r="T415" s="8" t="s">
        <v>49</v>
      </c>
      <c r="U415" s="8" t="s">
        <v>53</v>
      </c>
    </row>
    <row r="416">
      <c r="A416" s="8" t="s">
        <v>1067</v>
      </c>
      <c r="B416" s="8" t="s">
        <v>1070</v>
      </c>
      <c r="C416" s="8" t="s">
        <v>57</v>
      </c>
      <c r="D416" s="8" t="s">
        <v>54</v>
      </c>
      <c r="E416" s="8" t="s">
        <v>185</v>
      </c>
      <c r="F416" s="8" t="s">
        <v>1858</v>
      </c>
      <c r="G416" s="8" t="s">
        <v>1859</v>
      </c>
      <c r="H416" s="8" t="s">
        <v>1860</v>
      </c>
      <c r="I416" s="8" t="s">
        <v>55</v>
      </c>
      <c r="J416" s="8" t="s">
        <v>56</v>
      </c>
      <c r="K416" s="7">
        <v>5.64815E7</v>
      </c>
      <c r="L416" s="8" t="s">
        <v>52</v>
      </c>
      <c r="M416" s="8" t="s">
        <v>174</v>
      </c>
      <c r="N416" s="8" t="s">
        <v>185</v>
      </c>
      <c r="O416" s="32">
        <v>43572.0</v>
      </c>
      <c r="P416" s="42">
        <v>1125.0</v>
      </c>
      <c r="Q416" s="32">
        <v>46129.0</v>
      </c>
      <c r="R416" s="8" t="s">
        <v>174</v>
      </c>
      <c r="S416" s="8" t="s">
        <v>54</v>
      </c>
      <c r="T416" s="8" t="s">
        <v>49</v>
      </c>
      <c r="U416" s="8" t="s">
        <v>53</v>
      </c>
    </row>
    <row r="417">
      <c r="A417" s="8" t="s">
        <v>614</v>
      </c>
      <c r="B417" s="8" t="s">
        <v>617</v>
      </c>
      <c r="C417" s="8" t="s">
        <v>71</v>
      </c>
      <c r="D417" s="42">
        <v>4282.0</v>
      </c>
      <c r="E417" s="8" t="s">
        <v>200</v>
      </c>
      <c r="F417" s="8" t="s">
        <v>2545</v>
      </c>
      <c r="G417" s="8" t="s">
        <v>2546</v>
      </c>
      <c r="H417" s="8" t="s">
        <v>2547</v>
      </c>
      <c r="I417" s="8" t="s">
        <v>117</v>
      </c>
      <c r="J417" s="8" t="s">
        <v>56</v>
      </c>
      <c r="K417" s="43">
        <v>1.0E9</v>
      </c>
      <c r="L417" s="8" t="s">
        <v>52</v>
      </c>
      <c r="M417" s="8" t="s">
        <v>1776</v>
      </c>
      <c r="N417" s="8" t="s">
        <v>200</v>
      </c>
      <c r="O417" s="32">
        <v>43594.0</v>
      </c>
      <c r="P417" s="7" t="s">
        <v>5253</v>
      </c>
      <c r="Q417" s="32">
        <v>47247.0</v>
      </c>
      <c r="R417" s="8" t="s">
        <v>262</v>
      </c>
      <c r="S417" s="8" t="s">
        <v>620</v>
      </c>
      <c r="T417" s="8" t="s">
        <v>115</v>
      </c>
      <c r="U417" s="8" t="s">
        <v>263</v>
      </c>
    </row>
    <row r="418">
      <c r="A418" s="8" t="s">
        <v>614</v>
      </c>
      <c r="B418" s="8" t="s">
        <v>617</v>
      </c>
      <c r="C418" s="8" t="s">
        <v>71</v>
      </c>
      <c r="D418" s="42">
        <v>4282.0</v>
      </c>
      <c r="E418" s="8" t="s">
        <v>200</v>
      </c>
      <c r="F418" s="8" t="s">
        <v>2549</v>
      </c>
      <c r="G418" s="8" t="s">
        <v>2550</v>
      </c>
      <c r="H418" s="8" t="s">
        <v>2551</v>
      </c>
      <c r="I418" s="8" t="s">
        <v>117</v>
      </c>
      <c r="J418" s="8" t="s">
        <v>56</v>
      </c>
      <c r="K418" s="43">
        <v>1.0E9</v>
      </c>
      <c r="L418" s="8" t="s">
        <v>52</v>
      </c>
      <c r="M418" s="8" t="s">
        <v>1776</v>
      </c>
      <c r="N418" s="8" t="s">
        <v>200</v>
      </c>
      <c r="O418" s="32">
        <v>43594.0</v>
      </c>
      <c r="P418" s="7" t="s">
        <v>5253</v>
      </c>
      <c r="Q418" s="32">
        <v>47247.0</v>
      </c>
      <c r="R418" s="8" t="s">
        <v>271</v>
      </c>
      <c r="S418" s="8" t="s">
        <v>620</v>
      </c>
      <c r="T418" s="8" t="s">
        <v>115</v>
      </c>
      <c r="U418" s="8" t="s">
        <v>263</v>
      </c>
    </row>
    <row r="419">
      <c r="A419" s="8" t="s">
        <v>1487</v>
      </c>
      <c r="B419" s="8" t="s">
        <v>1490</v>
      </c>
      <c r="C419" s="8" t="s">
        <v>57</v>
      </c>
      <c r="D419" s="8" t="s">
        <v>54</v>
      </c>
      <c r="E419" s="8" t="s">
        <v>185</v>
      </c>
      <c r="F419" s="8" t="s">
        <v>2284</v>
      </c>
      <c r="G419" s="8" t="s">
        <v>2285</v>
      </c>
      <c r="H419" s="8" t="s">
        <v>2286</v>
      </c>
      <c r="I419" s="8" t="s">
        <v>117</v>
      </c>
      <c r="J419" s="8" t="s">
        <v>56</v>
      </c>
      <c r="K419" s="7" t="s">
        <v>5483</v>
      </c>
      <c r="L419" s="8" t="s">
        <v>52</v>
      </c>
      <c r="M419" s="8" t="s">
        <v>1771</v>
      </c>
      <c r="N419" s="8" t="s">
        <v>185</v>
      </c>
      <c r="O419" s="32">
        <v>43600.0</v>
      </c>
      <c r="P419" s="7">
        <v>1.0</v>
      </c>
      <c r="Q419" s="32">
        <v>46524.0</v>
      </c>
      <c r="R419" s="8" t="s">
        <v>226</v>
      </c>
      <c r="S419" s="8" t="s">
        <v>190</v>
      </c>
      <c r="T419" s="8" t="s">
        <v>115</v>
      </c>
      <c r="U419" s="8" t="s">
        <v>53</v>
      </c>
    </row>
    <row r="420">
      <c r="A420" s="8" t="s">
        <v>614</v>
      </c>
      <c r="B420" s="8" t="s">
        <v>617</v>
      </c>
      <c r="C420" s="8" t="s">
        <v>71</v>
      </c>
      <c r="D420" s="42">
        <v>4282.0</v>
      </c>
      <c r="E420" s="8" t="s">
        <v>200</v>
      </c>
      <c r="F420" s="8" t="s">
        <v>2553</v>
      </c>
      <c r="G420" s="8" t="s">
        <v>2554</v>
      </c>
      <c r="H420" s="8" t="s">
        <v>2555</v>
      </c>
      <c r="I420" s="8" t="s">
        <v>117</v>
      </c>
      <c r="J420" s="8" t="s">
        <v>56</v>
      </c>
      <c r="K420" s="43">
        <v>1.0E9</v>
      </c>
      <c r="L420" s="8" t="s">
        <v>52</v>
      </c>
      <c r="M420" s="8" t="s">
        <v>1776</v>
      </c>
      <c r="N420" s="8" t="s">
        <v>200</v>
      </c>
      <c r="O420" s="32">
        <v>43594.0</v>
      </c>
      <c r="P420" s="7" t="s">
        <v>5253</v>
      </c>
      <c r="Q420" s="32">
        <v>47247.0</v>
      </c>
      <c r="R420" s="8" t="s">
        <v>1334</v>
      </c>
      <c r="S420" s="8" t="s">
        <v>620</v>
      </c>
      <c r="T420" s="8" t="s">
        <v>115</v>
      </c>
      <c r="U420" s="8" t="s">
        <v>263</v>
      </c>
    </row>
    <row r="421">
      <c r="A421" s="8" t="s">
        <v>1432</v>
      </c>
      <c r="B421" s="8" t="s">
        <v>1435</v>
      </c>
      <c r="C421" s="8" t="s">
        <v>392</v>
      </c>
      <c r="D421" s="8" t="s">
        <v>54</v>
      </c>
      <c r="E421" s="8" t="s">
        <v>368</v>
      </c>
      <c r="F421" s="8" t="s">
        <v>1878</v>
      </c>
      <c r="G421" s="8" t="s">
        <v>1879</v>
      </c>
      <c r="H421" s="8" t="s">
        <v>1880</v>
      </c>
      <c r="I421" s="8" t="s">
        <v>55</v>
      </c>
      <c r="J421" s="8" t="s">
        <v>70</v>
      </c>
      <c r="K421" s="7">
        <v>5.17825E7</v>
      </c>
      <c r="L421" s="8" t="s">
        <v>52</v>
      </c>
      <c r="M421" s="8" t="s">
        <v>174</v>
      </c>
      <c r="N421" s="8" t="s">
        <v>368</v>
      </c>
      <c r="O421" s="32">
        <v>43606.0</v>
      </c>
      <c r="P421" s="42">
        <v>906.0</v>
      </c>
      <c r="Q421" s="32">
        <v>44886.0</v>
      </c>
      <c r="R421" s="8" t="s">
        <v>686</v>
      </c>
      <c r="S421" s="8" t="s">
        <v>54</v>
      </c>
      <c r="T421" s="8" t="s">
        <v>49</v>
      </c>
      <c r="U421" s="8" t="s">
        <v>687</v>
      </c>
    </row>
    <row r="422">
      <c r="A422" s="8" t="s">
        <v>1011</v>
      </c>
      <c r="B422" s="8" t="s">
        <v>1014</v>
      </c>
      <c r="C422" s="8" t="s">
        <v>71</v>
      </c>
      <c r="D422" s="8" t="s">
        <v>54</v>
      </c>
      <c r="E422" s="8" t="s">
        <v>185</v>
      </c>
      <c r="F422" s="8" t="s">
        <v>3205</v>
      </c>
      <c r="G422" s="8" t="s">
        <v>3206</v>
      </c>
      <c r="H422" s="8" t="s">
        <v>3207</v>
      </c>
      <c r="I422" s="8" t="s">
        <v>55</v>
      </c>
      <c r="J422" s="8" t="s">
        <v>56</v>
      </c>
      <c r="K422" s="7">
        <v>6.6942E7</v>
      </c>
      <c r="L422" s="8" t="s">
        <v>52</v>
      </c>
      <c r="M422" s="8" t="s">
        <v>174</v>
      </c>
      <c r="N422" s="8" t="s">
        <v>185</v>
      </c>
      <c r="O422" s="32">
        <v>43607.0</v>
      </c>
      <c r="P422" s="7" t="s">
        <v>5484</v>
      </c>
      <c r="Q422" s="32">
        <v>46164.0</v>
      </c>
      <c r="R422" s="8" t="s">
        <v>174</v>
      </c>
      <c r="S422" s="8" t="s">
        <v>54</v>
      </c>
      <c r="T422" s="8" t="s">
        <v>49</v>
      </c>
      <c r="U422" s="8" t="s">
        <v>53</v>
      </c>
    </row>
    <row r="423">
      <c r="A423" s="8" t="s">
        <v>755</v>
      </c>
      <c r="B423" s="8" t="s">
        <v>758</v>
      </c>
      <c r="C423" s="8" t="s">
        <v>71</v>
      </c>
      <c r="D423" s="7" t="s">
        <v>5485</v>
      </c>
      <c r="E423" s="8" t="s">
        <v>259</v>
      </c>
      <c r="F423" s="8" t="s">
        <v>3319</v>
      </c>
      <c r="G423" s="8" t="s">
        <v>3320</v>
      </c>
      <c r="H423" s="8" t="s">
        <v>3321</v>
      </c>
      <c r="I423" s="8" t="s">
        <v>55</v>
      </c>
      <c r="J423" s="8" t="s">
        <v>56</v>
      </c>
      <c r="K423" s="43">
        <v>1.0E9</v>
      </c>
      <c r="L423" s="8" t="s">
        <v>52</v>
      </c>
      <c r="M423" s="8" t="s">
        <v>1776</v>
      </c>
      <c r="N423" s="8" t="s">
        <v>258</v>
      </c>
      <c r="O423" s="32">
        <v>43614.0</v>
      </c>
      <c r="P423" s="7">
        <v>5.0</v>
      </c>
      <c r="Q423" s="32">
        <v>47498.0</v>
      </c>
      <c r="R423" s="8" t="s">
        <v>262</v>
      </c>
      <c r="S423" s="8" t="s">
        <v>497</v>
      </c>
      <c r="T423" s="8" t="s">
        <v>115</v>
      </c>
      <c r="U423" s="8" t="s">
        <v>263</v>
      </c>
    </row>
    <row r="424">
      <c r="A424" s="8" t="s">
        <v>755</v>
      </c>
      <c r="B424" s="8" t="s">
        <v>758</v>
      </c>
      <c r="C424" s="8" t="s">
        <v>71</v>
      </c>
      <c r="D424" s="7" t="s">
        <v>5485</v>
      </c>
      <c r="E424" s="8" t="s">
        <v>259</v>
      </c>
      <c r="F424" s="8" t="s">
        <v>3323</v>
      </c>
      <c r="G424" s="8" t="s">
        <v>3324</v>
      </c>
      <c r="H424" s="8" t="s">
        <v>3325</v>
      </c>
      <c r="I424" s="8" t="s">
        <v>55</v>
      </c>
      <c r="J424" s="8" t="s">
        <v>56</v>
      </c>
      <c r="K424" s="43">
        <v>1.0E9</v>
      </c>
      <c r="L424" s="8" t="s">
        <v>52</v>
      </c>
      <c r="M424" s="8" t="s">
        <v>1776</v>
      </c>
      <c r="N424" s="8" t="s">
        <v>258</v>
      </c>
      <c r="O424" s="32">
        <v>43614.0</v>
      </c>
      <c r="P424" s="7">
        <v>5.0</v>
      </c>
      <c r="Q424" s="32">
        <v>47498.0</v>
      </c>
      <c r="R424" s="8" t="s">
        <v>271</v>
      </c>
      <c r="S424" s="8" t="s">
        <v>497</v>
      </c>
      <c r="T424" s="8" t="s">
        <v>115</v>
      </c>
      <c r="U424" s="8" t="s">
        <v>263</v>
      </c>
    </row>
    <row r="425">
      <c r="A425" s="8" t="s">
        <v>477</v>
      </c>
      <c r="B425" s="8" t="s">
        <v>480</v>
      </c>
      <c r="C425" s="8" t="s">
        <v>57</v>
      </c>
      <c r="D425" s="8" t="s">
        <v>54</v>
      </c>
      <c r="E425" s="8" t="s">
        <v>45</v>
      </c>
      <c r="F425" s="8" t="s">
        <v>2234</v>
      </c>
      <c r="G425" s="8" t="s">
        <v>2235</v>
      </c>
      <c r="H425" s="8" t="s">
        <v>2236</v>
      </c>
      <c r="I425" s="8" t="s">
        <v>55</v>
      </c>
      <c r="J425" s="8" t="s">
        <v>56</v>
      </c>
      <c r="K425" s="7" t="s">
        <v>5486</v>
      </c>
      <c r="L425" s="8" t="s">
        <v>459</v>
      </c>
      <c r="M425" s="8" t="s">
        <v>174</v>
      </c>
      <c r="N425" s="8" t="s">
        <v>45</v>
      </c>
      <c r="O425" s="32">
        <v>43614.0</v>
      </c>
      <c r="P425" s="42">
        <v>375.0</v>
      </c>
      <c r="Q425" s="32">
        <v>47267.0</v>
      </c>
      <c r="R425" s="8" t="s">
        <v>174</v>
      </c>
      <c r="S425" s="8" t="s">
        <v>190</v>
      </c>
      <c r="T425" s="8" t="s">
        <v>49</v>
      </c>
      <c r="U425" s="8" t="s">
        <v>53</v>
      </c>
    </row>
    <row r="426">
      <c r="A426" s="8" t="s">
        <v>1360</v>
      </c>
      <c r="B426" s="8" t="s">
        <v>1363</v>
      </c>
      <c r="C426" s="8" t="s">
        <v>57</v>
      </c>
      <c r="D426" s="8" t="s">
        <v>54</v>
      </c>
      <c r="E426" s="8" t="s">
        <v>200</v>
      </c>
      <c r="F426" s="8" t="s">
        <v>3270</v>
      </c>
      <c r="G426" s="8" t="s">
        <v>3271</v>
      </c>
      <c r="H426" s="8" t="s">
        <v>3272</v>
      </c>
      <c r="I426" s="8" t="s">
        <v>117</v>
      </c>
      <c r="J426" s="8" t="s">
        <v>56</v>
      </c>
      <c r="K426" s="7" t="s">
        <v>5487</v>
      </c>
      <c r="L426" s="8" t="s">
        <v>52</v>
      </c>
      <c r="M426" s="8" t="s">
        <v>1771</v>
      </c>
      <c r="N426" s="8" t="s">
        <v>200</v>
      </c>
      <c r="O426" s="32">
        <v>43623.0</v>
      </c>
      <c r="P426" s="42">
        <v>1625.0</v>
      </c>
      <c r="Q426" s="32">
        <v>47490.0</v>
      </c>
      <c r="R426" s="8" t="s">
        <v>226</v>
      </c>
      <c r="S426" s="8" t="s">
        <v>175</v>
      </c>
      <c r="T426" s="8" t="s">
        <v>115</v>
      </c>
      <c r="U426" s="8" t="s">
        <v>53</v>
      </c>
    </row>
    <row r="427">
      <c r="A427" s="8" t="s">
        <v>1336</v>
      </c>
      <c r="B427" s="8" t="s">
        <v>1339</v>
      </c>
      <c r="C427" s="8" t="s">
        <v>57</v>
      </c>
      <c r="D427" s="8" t="s">
        <v>54</v>
      </c>
      <c r="E427" s="8" t="s">
        <v>1340</v>
      </c>
      <c r="F427" s="8" t="s">
        <v>2358</v>
      </c>
      <c r="G427" s="8" t="s">
        <v>2359</v>
      </c>
      <c r="H427" s="8" t="s">
        <v>2360</v>
      </c>
      <c r="I427" s="8" t="s">
        <v>55</v>
      </c>
      <c r="J427" s="8" t="s">
        <v>56</v>
      </c>
      <c r="K427" s="7">
        <v>3.609665E7</v>
      </c>
      <c r="L427" s="8" t="s">
        <v>52</v>
      </c>
      <c r="M427" s="8" t="s">
        <v>174</v>
      </c>
      <c r="N427" s="8" t="s">
        <v>170</v>
      </c>
      <c r="O427" s="32">
        <v>43622.0</v>
      </c>
      <c r="P427" s="7" t="s">
        <v>5488</v>
      </c>
      <c r="Q427" s="32">
        <v>46179.0</v>
      </c>
      <c r="R427" s="8" t="s">
        <v>226</v>
      </c>
      <c r="S427" s="8" t="s">
        <v>175</v>
      </c>
      <c r="T427" s="8" t="s">
        <v>49</v>
      </c>
      <c r="U427" s="8" t="s">
        <v>2331</v>
      </c>
    </row>
  </sheetData>
  <autoFilter ref="$A$1:$U$427">
    <sortState ref="A1:U427">
      <sortCondition ref="F1:F427"/>
      <sortCondition ref="A1:A427"/>
      <sortCondition descending="1" ref="O1:O427"/>
    </sortState>
  </autoFilter>
  <conditionalFormatting sqref="D2:D427">
    <cfRule type="containsText" dxfId="1" priority="1" operator="containsText" text="#N/A N/A">
      <formula>NOT(ISERROR(SEARCH(("#N/A N/A"),(D2))))</formula>
    </cfRule>
  </conditionalFormatting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2022-05-01T13:02:46Z</dcterms:created>
  <dc:creator>Amanda Meritxell Ramirez Lopez</dc:creator>
</cp:coreProperties>
</file>