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Specialisterne\Modulo\Analytics\Python\"/>
    </mc:Choice>
  </mc:AlternateContent>
  <xr:revisionPtr revIDLastSave="0" documentId="13_ncr:1_{52366FBB-D420-47C3-9EB5-8E1D06276DF0}" xr6:coauthVersionLast="47" xr6:coauthVersionMax="47" xr10:uidLastSave="{00000000-0000-0000-0000-000000000000}"/>
  <bookViews>
    <workbookView xWindow="-120" yWindow="-120" windowWidth="20730" windowHeight="11040" firstSheet="3" activeTab="6" xr2:uid="{666F72CE-FA0C-44AC-B17D-E36975F3035C}"/>
  </bookViews>
  <sheets>
    <sheet name="Inicial" sheetId="2" r:id="rId1"/>
    <sheet name="Acompanhamento Ana" sheetId="3" r:id="rId2"/>
    <sheet name="Acompanhamento Ana (2)" sheetId="11" r:id="rId3"/>
    <sheet name="Graficos Ana" sheetId="4" r:id="rId4"/>
    <sheet name="Acompanhamento Joao" sheetId="9" r:id="rId5"/>
    <sheet name="Graficos Joao" sheetId="10" r:id="rId6"/>
    <sheet name="Acompanhamento Jose" sheetId="6" r:id="rId7"/>
    <sheet name="Planilha2" sheetId="12" r:id="rId8"/>
    <sheet name="Graficos Jos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1" l="1"/>
  <c r="E40" i="11"/>
  <c r="O39" i="11"/>
  <c r="N39" i="11"/>
  <c r="D39" i="11"/>
  <c r="F38" i="11"/>
  <c r="B38" i="11"/>
  <c r="F37" i="11"/>
  <c r="B37" i="11"/>
  <c r="F36" i="11"/>
  <c r="B36" i="11"/>
  <c r="F35" i="11"/>
  <c r="B35" i="11"/>
  <c r="F34" i="11"/>
  <c r="B34" i="11"/>
  <c r="F33" i="11"/>
  <c r="B33" i="11"/>
  <c r="F32" i="11"/>
  <c r="B32" i="11"/>
  <c r="F31" i="11"/>
  <c r="B31" i="11"/>
  <c r="P30" i="11"/>
  <c r="K30" i="11"/>
  <c r="B30" i="11"/>
  <c r="P29" i="11"/>
  <c r="K29" i="11"/>
  <c r="B29" i="11"/>
  <c r="P28" i="11"/>
  <c r="K28" i="11"/>
  <c r="B28" i="11"/>
  <c r="P27" i="11"/>
  <c r="K27" i="11"/>
  <c r="B27" i="11"/>
  <c r="P26" i="11"/>
  <c r="K26" i="11"/>
  <c r="B26" i="11"/>
  <c r="P25" i="11"/>
  <c r="K25" i="11"/>
  <c r="B25" i="11"/>
  <c r="P24" i="11"/>
  <c r="K24" i="11"/>
  <c r="B24" i="11"/>
  <c r="P23" i="11"/>
  <c r="K23" i="11"/>
  <c r="B23" i="11"/>
  <c r="P22" i="11"/>
  <c r="K22" i="11"/>
  <c r="B22" i="11"/>
  <c r="P21" i="11"/>
  <c r="K21" i="11"/>
  <c r="B21" i="11"/>
  <c r="P20" i="11"/>
  <c r="K20" i="11"/>
  <c r="B20" i="11"/>
  <c r="P19" i="11"/>
  <c r="K19" i="11"/>
  <c r="B19" i="11"/>
  <c r="P18" i="11"/>
  <c r="K18" i="11"/>
  <c r="B18" i="11"/>
  <c r="P17" i="11"/>
  <c r="K17" i="11"/>
  <c r="B17" i="11"/>
  <c r="P16" i="11"/>
  <c r="K16" i="11"/>
  <c r="B16" i="11"/>
  <c r="P15" i="11"/>
  <c r="K15" i="11"/>
  <c r="B15" i="11"/>
  <c r="P14" i="11"/>
  <c r="K14" i="11"/>
  <c r="B14" i="11"/>
  <c r="P13" i="11"/>
  <c r="K13" i="11"/>
  <c r="B13" i="11"/>
  <c r="P12" i="11"/>
  <c r="K12" i="11"/>
  <c r="B12" i="11"/>
  <c r="P11" i="11"/>
  <c r="K11" i="11"/>
  <c r="B11" i="11"/>
  <c r="P10" i="11"/>
  <c r="K10" i="11"/>
  <c r="B10" i="11"/>
  <c r="P9" i="11"/>
  <c r="K9" i="11"/>
  <c r="B9" i="11"/>
  <c r="P8" i="11"/>
  <c r="L8" i="1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H8" i="1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B8" i="11"/>
  <c r="B20" i="10"/>
  <c r="B8" i="9"/>
  <c r="H8" i="9"/>
  <c r="L8" i="9"/>
  <c r="P8" i="9"/>
  <c r="B9" i="9"/>
  <c r="H9" i="9"/>
  <c r="K9" i="9"/>
  <c r="L9" i="9"/>
  <c r="P9" i="9"/>
  <c r="B10" i="9"/>
  <c r="H10" i="9"/>
  <c r="K10" i="9"/>
  <c r="L10" i="9"/>
  <c r="P10" i="9"/>
  <c r="B11" i="9"/>
  <c r="H11" i="9"/>
  <c r="K11" i="9"/>
  <c r="L11" i="9"/>
  <c r="P11" i="9"/>
  <c r="B12" i="9"/>
  <c r="H12" i="9"/>
  <c r="K12" i="9"/>
  <c r="L12" i="9"/>
  <c r="P12" i="9"/>
  <c r="B13" i="9"/>
  <c r="H13" i="9"/>
  <c r="K13" i="9"/>
  <c r="L13" i="9"/>
  <c r="P13" i="9"/>
  <c r="B14" i="9"/>
  <c r="H14" i="9"/>
  <c r="K14" i="9"/>
  <c r="L14" i="9"/>
  <c r="P14" i="9"/>
  <c r="B15" i="9"/>
  <c r="H15" i="9"/>
  <c r="K15" i="9"/>
  <c r="L15" i="9"/>
  <c r="P15" i="9"/>
  <c r="B16" i="9"/>
  <c r="H16" i="9"/>
  <c r="K16" i="9"/>
  <c r="L16" i="9"/>
  <c r="P16" i="9"/>
  <c r="B17" i="9"/>
  <c r="H17" i="9"/>
  <c r="K17" i="9"/>
  <c r="L17" i="9"/>
  <c r="P17" i="9"/>
  <c r="B18" i="9"/>
  <c r="H18" i="9"/>
  <c r="K18" i="9"/>
  <c r="L18" i="9"/>
  <c r="P18" i="9"/>
  <c r="B19" i="9"/>
  <c r="H19" i="9"/>
  <c r="K19" i="9"/>
  <c r="L19" i="9"/>
  <c r="P19" i="9"/>
  <c r="B20" i="9"/>
  <c r="H20" i="9"/>
  <c r="K20" i="9"/>
  <c r="L20" i="9"/>
  <c r="P20" i="9"/>
  <c r="B21" i="9"/>
  <c r="H21" i="9"/>
  <c r="K21" i="9"/>
  <c r="L21" i="9"/>
  <c r="P21" i="9"/>
  <c r="B22" i="9"/>
  <c r="H22" i="9"/>
  <c r="K22" i="9"/>
  <c r="L22" i="9"/>
  <c r="P22" i="9"/>
  <c r="B23" i="9"/>
  <c r="H23" i="9"/>
  <c r="K23" i="9"/>
  <c r="L23" i="9"/>
  <c r="P23" i="9"/>
  <c r="B24" i="9"/>
  <c r="H24" i="9"/>
  <c r="K24" i="9"/>
  <c r="L24" i="9"/>
  <c r="P24" i="9"/>
  <c r="B25" i="9"/>
  <c r="H25" i="9"/>
  <c r="K25" i="9"/>
  <c r="L25" i="9"/>
  <c r="P25" i="9"/>
  <c r="B26" i="9"/>
  <c r="H26" i="9"/>
  <c r="K26" i="9"/>
  <c r="L26" i="9"/>
  <c r="P26" i="9"/>
  <c r="B27" i="9"/>
  <c r="H27" i="9"/>
  <c r="K27" i="9"/>
  <c r="L27" i="9"/>
  <c r="P27" i="9"/>
  <c r="B28" i="9"/>
  <c r="H28" i="9"/>
  <c r="K28" i="9"/>
  <c r="L28" i="9"/>
  <c r="P28" i="9"/>
  <c r="B29" i="9"/>
  <c r="H29" i="9"/>
  <c r="K29" i="9"/>
  <c r="L29" i="9"/>
  <c r="P29" i="9"/>
  <c r="B30" i="9"/>
  <c r="H30" i="9"/>
  <c r="K30" i="9"/>
  <c r="L30" i="9"/>
  <c r="P30" i="9"/>
  <c r="B31" i="9"/>
  <c r="F31" i="9"/>
  <c r="B32" i="9"/>
  <c r="F32" i="9"/>
  <c r="B33" i="9"/>
  <c r="F33" i="9"/>
  <c r="B34" i="9"/>
  <c r="F34" i="9"/>
  <c r="B35" i="9"/>
  <c r="F35" i="9"/>
  <c r="B36" i="9"/>
  <c r="F36" i="9"/>
  <c r="B37" i="9"/>
  <c r="F37" i="9"/>
  <c r="B38" i="9"/>
  <c r="E37" i="9" s="1"/>
  <c r="E38" i="9"/>
  <c r="F38" i="9"/>
  <c r="D39" i="9"/>
  <c r="B18" i="10" s="1"/>
  <c r="N39" i="9"/>
  <c r="O39" i="9"/>
  <c r="E40" i="9"/>
  <c r="E41" i="9"/>
  <c r="E38" i="11" l="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B20" i="7"/>
  <c r="B8" i="6"/>
  <c r="H8" i="6"/>
  <c r="L8" i="6"/>
  <c r="P8" i="6"/>
  <c r="B9" i="6"/>
  <c r="H9" i="6"/>
  <c r="K9" i="6"/>
  <c r="L9" i="6"/>
  <c r="P9" i="6"/>
  <c r="B10" i="6"/>
  <c r="H10" i="6"/>
  <c r="K10" i="6"/>
  <c r="L10" i="6"/>
  <c r="P10" i="6"/>
  <c r="B11" i="6"/>
  <c r="H11" i="6"/>
  <c r="K11" i="6"/>
  <c r="L11" i="6"/>
  <c r="P11" i="6"/>
  <c r="B12" i="6"/>
  <c r="H12" i="6"/>
  <c r="K12" i="6"/>
  <c r="L12" i="6"/>
  <c r="P12" i="6"/>
  <c r="B13" i="6"/>
  <c r="H13" i="6"/>
  <c r="K13" i="6"/>
  <c r="L13" i="6"/>
  <c r="P13" i="6"/>
  <c r="B14" i="6"/>
  <c r="H14" i="6"/>
  <c r="K14" i="6"/>
  <c r="L14" i="6"/>
  <c r="P14" i="6"/>
  <c r="B15" i="6"/>
  <c r="H15" i="6"/>
  <c r="K15" i="6"/>
  <c r="L15" i="6"/>
  <c r="P15" i="6"/>
  <c r="B16" i="6"/>
  <c r="H16" i="6"/>
  <c r="K16" i="6"/>
  <c r="L16" i="6"/>
  <c r="P16" i="6"/>
  <c r="B17" i="6"/>
  <c r="H17" i="6"/>
  <c r="K17" i="6"/>
  <c r="L17" i="6"/>
  <c r="P17" i="6"/>
  <c r="B18" i="6"/>
  <c r="H18" i="6"/>
  <c r="K18" i="6"/>
  <c r="L18" i="6"/>
  <c r="P18" i="6"/>
  <c r="B19" i="6"/>
  <c r="H19" i="6"/>
  <c r="K19" i="6"/>
  <c r="L19" i="6"/>
  <c r="P19" i="6"/>
  <c r="B20" i="6"/>
  <c r="H20" i="6"/>
  <c r="K20" i="6"/>
  <c r="L20" i="6"/>
  <c r="P20" i="6"/>
  <c r="B21" i="6"/>
  <c r="H21" i="6"/>
  <c r="K21" i="6"/>
  <c r="L21" i="6"/>
  <c r="P21" i="6"/>
  <c r="B22" i="6"/>
  <c r="H22" i="6"/>
  <c r="K22" i="6"/>
  <c r="L22" i="6"/>
  <c r="P22" i="6"/>
  <c r="B23" i="6"/>
  <c r="H23" i="6"/>
  <c r="K23" i="6"/>
  <c r="L23" i="6"/>
  <c r="P23" i="6"/>
  <c r="B24" i="6"/>
  <c r="H24" i="6"/>
  <c r="K24" i="6"/>
  <c r="L24" i="6"/>
  <c r="P24" i="6"/>
  <c r="B25" i="6"/>
  <c r="H25" i="6"/>
  <c r="K25" i="6"/>
  <c r="L25" i="6"/>
  <c r="P25" i="6"/>
  <c r="B26" i="6"/>
  <c r="H26" i="6"/>
  <c r="K26" i="6"/>
  <c r="L26" i="6"/>
  <c r="P26" i="6"/>
  <c r="B27" i="6"/>
  <c r="H27" i="6"/>
  <c r="K27" i="6"/>
  <c r="L27" i="6"/>
  <c r="P27" i="6"/>
  <c r="B28" i="6"/>
  <c r="H28" i="6"/>
  <c r="K28" i="6"/>
  <c r="L28" i="6"/>
  <c r="P28" i="6"/>
  <c r="B29" i="6"/>
  <c r="H29" i="6"/>
  <c r="K29" i="6"/>
  <c r="L29" i="6"/>
  <c r="P29" i="6"/>
  <c r="B30" i="6"/>
  <c r="H30" i="6"/>
  <c r="K30" i="6"/>
  <c r="L30" i="6"/>
  <c r="P30" i="6"/>
  <c r="B31" i="6"/>
  <c r="F31" i="6"/>
  <c r="B32" i="6"/>
  <c r="F32" i="6"/>
  <c r="B33" i="6"/>
  <c r="F33" i="6"/>
  <c r="B34" i="6"/>
  <c r="F34" i="6"/>
  <c r="B35" i="6"/>
  <c r="F35" i="6"/>
  <c r="B36" i="6"/>
  <c r="F36" i="6"/>
  <c r="B37" i="6"/>
  <c r="F37" i="6"/>
  <c r="B38" i="6"/>
  <c r="E37" i="6" s="1"/>
  <c r="E38" i="6"/>
  <c r="F38" i="6"/>
  <c r="D39" i="6"/>
  <c r="B18" i="7" s="1"/>
  <c r="N39" i="6"/>
  <c r="O39" i="6"/>
  <c r="E40" i="6"/>
  <c r="E41" i="6"/>
  <c r="E39" i="11" l="1"/>
  <c r="I8" i="11"/>
  <c r="F8" i="11"/>
  <c r="I9" i="11"/>
  <c r="F9" i="11"/>
  <c r="I10" i="11"/>
  <c r="F10" i="11"/>
  <c r="I11" i="11"/>
  <c r="F11" i="11"/>
  <c r="I12" i="11"/>
  <c r="F12" i="11"/>
  <c r="I13" i="11"/>
  <c r="F13" i="11"/>
  <c r="I14" i="11"/>
  <c r="F14" i="11"/>
  <c r="I15" i="11"/>
  <c r="F15" i="11"/>
  <c r="I16" i="11"/>
  <c r="F16" i="11"/>
  <c r="I17" i="11"/>
  <c r="F17" i="11"/>
  <c r="I18" i="11"/>
  <c r="F18" i="11"/>
  <c r="I19" i="11"/>
  <c r="F19" i="11"/>
  <c r="I20" i="11"/>
  <c r="F20" i="11"/>
  <c r="I21" i="11"/>
  <c r="F21" i="11"/>
  <c r="I22" i="11"/>
  <c r="F22" i="11"/>
  <c r="I23" i="11"/>
  <c r="F23" i="11"/>
  <c r="I24" i="11"/>
  <c r="F24" i="11"/>
  <c r="I25" i="11"/>
  <c r="F25" i="11"/>
  <c r="I26" i="11"/>
  <c r="F26" i="11"/>
  <c r="I27" i="11"/>
  <c r="F27" i="11"/>
  <c r="I28" i="11"/>
  <c r="F28" i="11"/>
  <c r="I29" i="11"/>
  <c r="F29" i="11"/>
  <c r="I30" i="11"/>
  <c r="F30" i="11"/>
  <c r="F8" i="9"/>
  <c r="I8" i="9"/>
  <c r="E39" i="9"/>
  <c r="B19" i="10" s="1"/>
  <c r="F9" i="9"/>
  <c r="I9" i="9"/>
  <c r="F10" i="9"/>
  <c r="I10" i="9"/>
  <c r="F11" i="9"/>
  <c r="I11" i="9"/>
  <c r="F12" i="9"/>
  <c r="I12" i="9"/>
  <c r="F13" i="9"/>
  <c r="I13" i="9"/>
  <c r="F14" i="9"/>
  <c r="I14" i="9"/>
  <c r="F15" i="9"/>
  <c r="I15" i="9"/>
  <c r="F16" i="9"/>
  <c r="I16" i="9"/>
  <c r="F17" i="9"/>
  <c r="I17" i="9"/>
  <c r="F18" i="9"/>
  <c r="I18" i="9"/>
  <c r="F19" i="9"/>
  <c r="I19" i="9"/>
  <c r="F20" i="9"/>
  <c r="I20" i="9"/>
  <c r="F21" i="9"/>
  <c r="I21" i="9"/>
  <c r="F22" i="9"/>
  <c r="I22" i="9"/>
  <c r="F23" i="9"/>
  <c r="I23" i="9"/>
  <c r="F24" i="9"/>
  <c r="I24" i="9"/>
  <c r="F25" i="9"/>
  <c r="I25" i="9"/>
  <c r="F26" i="9"/>
  <c r="I26" i="9"/>
  <c r="F27" i="9"/>
  <c r="I27" i="9"/>
  <c r="F28" i="9"/>
  <c r="I28" i="9"/>
  <c r="F29" i="9"/>
  <c r="I29" i="9"/>
  <c r="F30" i="9"/>
  <c r="I30" i="9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B20" i="4"/>
  <c r="B8" i="3"/>
  <c r="H8" i="3"/>
  <c r="L8" i="3"/>
  <c r="P8" i="3"/>
  <c r="B9" i="3"/>
  <c r="H9" i="3"/>
  <c r="K9" i="3"/>
  <c r="L9" i="3"/>
  <c r="P9" i="3"/>
  <c r="B10" i="3"/>
  <c r="H10" i="3"/>
  <c r="K10" i="3"/>
  <c r="L10" i="3"/>
  <c r="P10" i="3"/>
  <c r="B11" i="3"/>
  <c r="H11" i="3"/>
  <c r="K11" i="3"/>
  <c r="L11" i="3"/>
  <c r="P11" i="3"/>
  <c r="B12" i="3"/>
  <c r="H12" i="3"/>
  <c r="K12" i="3"/>
  <c r="L12" i="3"/>
  <c r="P12" i="3"/>
  <c r="B13" i="3"/>
  <c r="H13" i="3"/>
  <c r="K13" i="3"/>
  <c r="L13" i="3"/>
  <c r="P13" i="3"/>
  <c r="B14" i="3"/>
  <c r="H14" i="3"/>
  <c r="K14" i="3"/>
  <c r="L14" i="3"/>
  <c r="P14" i="3"/>
  <c r="B15" i="3"/>
  <c r="H15" i="3"/>
  <c r="K15" i="3"/>
  <c r="L15" i="3"/>
  <c r="P15" i="3"/>
  <c r="B16" i="3"/>
  <c r="H16" i="3"/>
  <c r="K16" i="3"/>
  <c r="L16" i="3"/>
  <c r="P16" i="3"/>
  <c r="B17" i="3"/>
  <c r="H17" i="3"/>
  <c r="K17" i="3"/>
  <c r="L17" i="3"/>
  <c r="P17" i="3"/>
  <c r="B18" i="3"/>
  <c r="H18" i="3"/>
  <c r="K18" i="3"/>
  <c r="L18" i="3"/>
  <c r="P18" i="3"/>
  <c r="B19" i="3"/>
  <c r="H19" i="3"/>
  <c r="K19" i="3"/>
  <c r="L19" i="3"/>
  <c r="P19" i="3"/>
  <c r="B20" i="3"/>
  <c r="H20" i="3"/>
  <c r="K20" i="3"/>
  <c r="L20" i="3"/>
  <c r="P20" i="3"/>
  <c r="B21" i="3"/>
  <c r="H21" i="3"/>
  <c r="K21" i="3"/>
  <c r="L21" i="3"/>
  <c r="P21" i="3"/>
  <c r="B22" i="3"/>
  <c r="H22" i="3"/>
  <c r="K22" i="3"/>
  <c r="L22" i="3"/>
  <c r="P22" i="3"/>
  <c r="B23" i="3"/>
  <c r="H23" i="3"/>
  <c r="K23" i="3"/>
  <c r="L23" i="3"/>
  <c r="P23" i="3"/>
  <c r="B24" i="3"/>
  <c r="H24" i="3"/>
  <c r="K24" i="3"/>
  <c r="L24" i="3"/>
  <c r="P24" i="3"/>
  <c r="B25" i="3"/>
  <c r="H25" i="3"/>
  <c r="K25" i="3"/>
  <c r="L25" i="3"/>
  <c r="P25" i="3"/>
  <c r="B26" i="3"/>
  <c r="H26" i="3"/>
  <c r="K26" i="3"/>
  <c r="L26" i="3"/>
  <c r="P26" i="3"/>
  <c r="B27" i="3"/>
  <c r="H27" i="3"/>
  <c r="K27" i="3"/>
  <c r="L27" i="3"/>
  <c r="P27" i="3"/>
  <c r="B28" i="3"/>
  <c r="H28" i="3"/>
  <c r="K28" i="3"/>
  <c r="L28" i="3"/>
  <c r="P28" i="3"/>
  <c r="B29" i="3"/>
  <c r="H29" i="3"/>
  <c r="K29" i="3"/>
  <c r="L29" i="3"/>
  <c r="P29" i="3"/>
  <c r="B30" i="3"/>
  <c r="H30" i="3"/>
  <c r="K30" i="3"/>
  <c r="L30" i="3"/>
  <c r="P30" i="3"/>
  <c r="B31" i="3"/>
  <c r="F31" i="3"/>
  <c r="B32" i="3"/>
  <c r="F32" i="3"/>
  <c r="B33" i="3"/>
  <c r="F33" i="3"/>
  <c r="B34" i="3"/>
  <c r="F34" i="3"/>
  <c r="B35" i="3"/>
  <c r="F35" i="3"/>
  <c r="B36" i="3"/>
  <c r="F36" i="3"/>
  <c r="B37" i="3"/>
  <c r="F37" i="3"/>
  <c r="B38" i="3"/>
  <c r="E37" i="3" s="1"/>
  <c r="E38" i="3"/>
  <c r="F38" i="3"/>
  <c r="D39" i="3"/>
  <c r="B18" i="4" s="1"/>
  <c r="N39" i="3"/>
  <c r="O39" i="3"/>
  <c r="E40" i="3"/>
  <c r="E41" i="3"/>
  <c r="F8" i="6" l="1"/>
  <c r="I8" i="6"/>
  <c r="E39" i="6"/>
  <c r="B19" i="7" s="1"/>
  <c r="F9" i="6"/>
  <c r="I9" i="6"/>
  <c r="F10" i="6"/>
  <c r="I10" i="6"/>
  <c r="F11" i="6"/>
  <c r="I11" i="6"/>
  <c r="F12" i="6"/>
  <c r="I12" i="6"/>
  <c r="F13" i="6"/>
  <c r="I13" i="6"/>
  <c r="F14" i="6"/>
  <c r="I14" i="6"/>
  <c r="F15" i="6"/>
  <c r="I15" i="6"/>
  <c r="F16" i="6"/>
  <c r="I16" i="6"/>
  <c r="F17" i="6"/>
  <c r="I17" i="6"/>
  <c r="F18" i="6"/>
  <c r="I18" i="6"/>
  <c r="F19" i="6"/>
  <c r="I19" i="6"/>
  <c r="F20" i="6"/>
  <c r="I20" i="6"/>
  <c r="F21" i="6"/>
  <c r="I21" i="6"/>
  <c r="F22" i="6"/>
  <c r="I22" i="6"/>
  <c r="F23" i="6"/>
  <c r="I23" i="6"/>
  <c r="F24" i="6"/>
  <c r="I24" i="6"/>
  <c r="F25" i="6"/>
  <c r="I25" i="6"/>
  <c r="F26" i="6"/>
  <c r="I26" i="6"/>
  <c r="F27" i="6"/>
  <c r="I27" i="6"/>
  <c r="F28" i="6"/>
  <c r="I28" i="6"/>
  <c r="F29" i="6"/>
  <c r="I29" i="6"/>
  <c r="F30" i="6"/>
  <c r="I30" i="6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F8" i="3" l="1"/>
  <c r="I8" i="3"/>
  <c r="E39" i="3"/>
  <c r="B19" i="4" s="1"/>
  <c r="F9" i="3"/>
  <c r="I9" i="3"/>
  <c r="F10" i="3"/>
  <c r="I10" i="3"/>
  <c r="F11" i="3"/>
  <c r="I11" i="3"/>
  <c r="F12" i="3"/>
  <c r="I12" i="3"/>
  <c r="F13" i="3"/>
  <c r="I13" i="3"/>
  <c r="F14" i="3"/>
  <c r="I14" i="3"/>
  <c r="F15" i="3"/>
  <c r="I15" i="3"/>
  <c r="F16" i="3"/>
  <c r="I16" i="3"/>
  <c r="F17" i="3"/>
  <c r="I17" i="3"/>
  <c r="F18" i="3"/>
  <c r="I18" i="3"/>
  <c r="F19" i="3"/>
  <c r="I19" i="3"/>
  <c r="F20" i="3"/>
  <c r="I20" i="3"/>
  <c r="F21" i="3"/>
  <c r="I21" i="3"/>
  <c r="F22" i="3"/>
  <c r="I22" i="3"/>
  <c r="F23" i="3"/>
  <c r="I23" i="3"/>
  <c r="F24" i="3"/>
  <c r="I24" i="3"/>
  <c r="F25" i="3"/>
  <c r="I25" i="3"/>
  <c r="F26" i="3"/>
  <c r="I26" i="3"/>
  <c r="F27" i="3"/>
  <c r="I27" i="3"/>
  <c r="F28" i="3"/>
  <c r="I28" i="3"/>
  <c r="F29" i="3"/>
  <c r="I29" i="3"/>
  <c r="F30" i="3"/>
  <c r="I30" i="3"/>
</calcChain>
</file>

<file path=xl/sharedStrings.xml><?xml version="1.0" encoding="utf-8"?>
<sst xmlns="http://schemas.openxmlformats.org/spreadsheetml/2006/main" count="114" uniqueCount="43">
  <si>
    <t>Um dos aspectos mais importantes no varejo é a taxa de conversão, ou seja, o aproveitamento dos clientes que entram na loja ou recebem uma ligação. Por exemplo: se em uma loja, entrarem dez clientes e apenas dois comprarem, a taxa de conversão é 20%. Conhecendo esta taxa, o lojista pode melhorar seu desempenho.
Você deve preencher os Clientes Abordados e as Vendas Fechadas. A Taxa de conversão será calculada automaticamente.</t>
  </si>
  <si>
    <t>Taxa de Conversão</t>
  </si>
  <si>
    <t>O Planejamento Futuro calcula automaticamente quanto você deverá vender para atingir a meta estabelecida a partir da último valor lançado na venda. A Tendência informa como será sua venda no final do mês de acordo com as vendas realizadas e as metas estalecidas para os dias seguintes.</t>
  </si>
  <si>
    <t>Planejamento Futuro e Tendências</t>
  </si>
  <si>
    <t>Acumulado Real e Projetado são calculados automaticamente. O real é a soma dos lançamentos Reais e o Projetado é a soma dos valores projetados de acordo com com a Meta estabelecida.</t>
  </si>
  <si>
    <t>Acumulado</t>
  </si>
  <si>
    <t>Você tem que lançar as vendas reais do dia a dia. A venda projetada e a diferença são calculadas automaticamente.</t>
  </si>
  <si>
    <t>Venda</t>
  </si>
  <si>
    <t>Você tem que cadastrar o o mês/ano e a Meta Mensal.</t>
  </si>
  <si>
    <t>Cabeçalho</t>
  </si>
  <si>
    <t>Fizemos uma planilha para controle mensal de vendas. Com ela você pode cadastrar a meta mensal do seu vendedor e acompanhar como esta o andamento das vendas dia a dia. Existe um comparativo da venda real e da projetada diariamente além do acumulado financeiro rela e projetado.</t>
  </si>
  <si>
    <t>Planilha de Acompanhamento de Vendas</t>
  </si>
  <si>
    <t>Versão: 1.0</t>
  </si>
  <si>
    <t>Abaixo segue uma explicação sobre o funcionamento da planilha de propescção e como nossa planilha pode ajudar o seu negócio.</t>
  </si>
  <si>
    <t>Seja bem vindo a Planilha de Acompanhamento de Vendas da Net Planilhas.</t>
  </si>
  <si>
    <t xml:space="preserve">valor da variância </t>
  </si>
  <si>
    <t xml:space="preserve">Média dos valores reais </t>
  </si>
  <si>
    <t>Total</t>
  </si>
  <si>
    <t>Projetado</t>
  </si>
  <si>
    <t>Real</t>
  </si>
  <si>
    <t>Diferença</t>
  </si>
  <si>
    <t>Projetada</t>
  </si>
  <si>
    <t>Vendas Fechadas</t>
  </si>
  <si>
    <t>Clientes Abordados</t>
  </si>
  <si>
    <t>Tendência</t>
  </si>
  <si>
    <t>Planejamento Futuro</t>
  </si>
  <si>
    <t>Data</t>
  </si>
  <si>
    <t>Meta Mensal</t>
  </si>
  <si>
    <t>Ana Silva</t>
  </si>
  <si>
    <t>Vendedor</t>
  </si>
  <si>
    <t>Mês / Ano</t>
  </si>
  <si>
    <t>ACOMPANHAMENTO DIÁRIO DE VENDAS</t>
  </si>
  <si>
    <t>$$</t>
  </si>
  <si>
    <t>Venda Projetada</t>
  </si>
  <si>
    <t>Venda Real</t>
  </si>
  <si>
    <t xml:space="preserve">variancia </t>
  </si>
  <si>
    <t xml:space="preserve">média dos valores reais </t>
  </si>
  <si>
    <t>José Silva</t>
  </si>
  <si>
    <t>João da Silva</t>
  </si>
  <si>
    <t>ANA</t>
  </si>
  <si>
    <t>João</t>
  </si>
  <si>
    <t>José</t>
  </si>
  <si>
    <t>João2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</si>
</sst>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dd\ \-\ [$-416]ddd"/>
    <numFmt numFmtId="167" formatCode="_-* #,##0.00_-;\-* #,##0.00_-;_-* &quot;-&quot;??_-;_-@"/>
    <numFmt numFmtId="168" formatCode="#,##0.00_ ;[Red]\-#,##0.00\ "/>
    <numFmt numFmtId="169" formatCode="mmmm/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sz val="13"/>
      <color rgb="FF000000"/>
      <name val="Calibri"/>
    </font>
    <font>
      <sz val="11"/>
      <color rgb="FF000000"/>
      <name val="Calibri"/>
    </font>
    <font>
      <sz val="11"/>
      <color rgb="FF000000"/>
      <name val="Inconsolata"/>
    </font>
    <font>
      <sz val="11"/>
      <name val="Arial"/>
    </font>
    <font>
      <b/>
      <sz val="11"/>
      <color theme="0"/>
      <name val="Calibri"/>
    </font>
    <font>
      <b/>
      <sz val="12"/>
      <color theme="0"/>
      <name val="Calibri"/>
    </font>
    <font>
      <b/>
      <sz val="13"/>
      <color theme="0"/>
      <name val="Calibri"/>
    </font>
    <font>
      <sz val="11"/>
      <color theme="0"/>
      <name val="Calibri"/>
    </font>
    <font>
      <b/>
      <sz val="14"/>
      <color theme="0"/>
      <name val="Calibri"/>
    </font>
    <font>
      <b/>
      <sz val="14"/>
      <color rgb="FFFFFFFF"/>
      <name val="Calibri"/>
    </font>
    <font>
      <sz val="11"/>
      <color rgb="FF7030A0"/>
      <name val="Calibri"/>
      <family val="2"/>
      <scheme val="minor"/>
    </font>
    <font>
      <sz val="11"/>
      <color rgb="FF008000"/>
      <name val="Courier New"/>
      <family val="3"/>
    </font>
    <font>
      <b/>
      <sz val="11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E36C09"/>
        <bgColor rgb="FFE36C09"/>
      </patternFill>
    </fill>
    <fill>
      <patternFill patternType="solid">
        <fgColor theme="8"/>
        <bgColor theme="8"/>
      </patternFill>
    </fill>
    <fill>
      <patternFill patternType="solid">
        <fgColor rgb="FF92D050"/>
        <bgColor rgb="FF92D050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E36C09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FBFBF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rgb="FF00000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rgb="FF00000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0070C0"/>
      </left>
      <right/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rgb="FF0070C0"/>
      </right>
      <top style="medium">
        <color rgb="FF000000"/>
      </top>
      <bottom style="medium">
        <color rgb="FF000000"/>
      </bottom>
      <diagonal/>
    </border>
    <border>
      <left style="thin">
        <color theme="8"/>
      </left>
      <right style="thin">
        <color theme="8"/>
      </right>
      <top style="medium">
        <color rgb="FF000000"/>
      </top>
      <bottom style="medium">
        <color rgb="FF000000"/>
      </bottom>
      <diagonal/>
    </border>
    <border>
      <left/>
      <right style="thin">
        <color theme="8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1" fillId="0" borderId="0" xfId="1"/>
    <xf numFmtId="0" fontId="2" fillId="0" borderId="1" xfId="1" applyFont="1" applyBorder="1"/>
    <xf numFmtId="0" fontId="2" fillId="0" borderId="1" xfId="1" applyFont="1" applyBorder="1" applyAlignment="1">
      <alignment wrapText="1"/>
    </xf>
    <xf numFmtId="0" fontId="3" fillId="0" borderId="1" xfId="1" applyFont="1" applyBorder="1"/>
    <xf numFmtId="0" fontId="4" fillId="0" borderId="1" xfId="1" applyFont="1" applyBorder="1"/>
    <xf numFmtId="0" fontId="5" fillId="0" borderId="1" xfId="1" quotePrefix="1" applyFont="1" applyBorder="1" applyAlignment="1">
      <alignment horizontal="left" wrapText="1"/>
    </xf>
    <xf numFmtId="0" fontId="2" fillId="0" borderId="2" xfId="1" applyFont="1" applyBorder="1"/>
    <xf numFmtId="0" fontId="2" fillId="0" borderId="3" xfId="1" applyFont="1" applyBorder="1" applyAlignment="1">
      <alignment horizontal="right" wrapText="1"/>
    </xf>
    <xf numFmtId="0" fontId="6" fillId="0" borderId="4" xfId="1" applyFont="1" applyBorder="1" applyAlignment="1">
      <alignment horizontal="left" wrapText="1"/>
    </xf>
    <xf numFmtId="0" fontId="2" fillId="0" borderId="5" xfId="1" quotePrefix="1" applyFont="1" applyBorder="1" applyAlignment="1">
      <alignment horizontal="left" wrapText="1"/>
    </xf>
    <xf numFmtId="0" fontId="2" fillId="0" borderId="6" xfId="1" applyFont="1" applyBorder="1" applyAlignment="1">
      <alignment wrapText="1"/>
    </xf>
    <xf numFmtId="0" fontId="2" fillId="0" borderId="7" xfId="1" applyFont="1" applyBorder="1"/>
    <xf numFmtId="0" fontId="2" fillId="0" borderId="8" xfId="1" applyFont="1" applyBorder="1" applyAlignment="1">
      <alignment wrapText="1"/>
    </xf>
    <xf numFmtId="164" fontId="2" fillId="0" borderId="0" xfId="1" applyNumberFormat="1" applyFont="1"/>
    <xf numFmtId="165" fontId="2" fillId="0" borderId="0" xfId="1" applyNumberFormat="1" applyFont="1"/>
    <xf numFmtId="0" fontId="2" fillId="0" borderId="0" xfId="1" applyFont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2" fontId="7" fillId="0" borderId="0" xfId="1" applyNumberFormat="1" applyFont="1"/>
    <xf numFmtId="2" fontId="2" fillId="0" borderId="1" xfId="1" applyNumberFormat="1" applyFont="1" applyBorder="1"/>
    <xf numFmtId="0" fontId="2" fillId="0" borderId="12" xfId="1" applyFont="1" applyBorder="1"/>
    <xf numFmtId="2" fontId="2" fillId="0" borderId="12" xfId="1" applyNumberFormat="1" applyFont="1" applyBorder="1"/>
    <xf numFmtId="4" fontId="7" fillId="0" borderId="0" xfId="1" applyNumberFormat="1" applyFont="1"/>
    <xf numFmtId="0" fontId="2" fillId="0" borderId="13" xfId="1" applyFont="1" applyBorder="1"/>
    <xf numFmtId="166" fontId="2" fillId="0" borderId="12" xfId="1" applyNumberFormat="1" applyFont="1" applyBorder="1" applyAlignment="1">
      <alignment horizontal="left"/>
    </xf>
    <xf numFmtId="0" fontId="2" fillId="0" borderId="14" xfId="1" applyFont="1" applyBorder="1"/>
    <xf numFmtId="0" fontId="2" fillId="0" borderId="15" xfId="1" applyFont="1" applyBorder="1"/>
    <xf numFmtId="0" fontId="4" fillId="2" borderId="16" xfId="1" applyFont="1" applyFill="1" applyBorder="1"/>
    <xf numFmtId="0" fontId="4" fillId="2" borderId="17" xfId="1" applyFont="1" applyFill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2" fontId="2" fillId="3" borderId="16" xfId="1" applyNumberFormat="1" applyFont="1" applyFill="1" applyBorder="1"/>
    <xf numFmtId="4" fontId="4" fillId="2" borderId="22" xfId="1" applyNumberFormat="1" applyFont="1" applyFill="1" applyBorder="1"/>
    <xf numFmtId="4" fontId="4" fillId="2" borderId="17" xfId="1" applyNumberFormat="1" applyFont="1" applyFill="1" applyBorder="1"/>
    <xf numFmtId="0" fontId="2" fillId="0" borderId="23" xfId="1" applyFont="1" applyBorder="1"/>
    <xf numFmtId="166" fontId="4" fillId="2" borderId="24" xfId="1" applyNumberFormat="1" applyFont="1" applyFill="1" applyBorder="1" applyAlignment="1">
      <alignment horizontal="left"/>
    </xf>
    <xf numFmtId="10" fontId="2" fillId="0" borderId="25" xfId="1" applyNumberFormat="1" applyFont="1" applyBorder="1"/>
    <xf numFmtId="0" fontId="2" fillId="0" borderId="26" xfId="1" applyFont="1" applyBorder="1"/>
    <xf numFmtId="0" fontId="2" fillId="0" borderId="27" xfId="1" applyFont="1" applyBorder="1"/>
    <xf numFmtId="4" fontId="2" fillId="0" borderId="28" xfId="1" applyNumberFormat="1" applyFont="1" applyBorder="1"/>
    <xf numFmtId="4" fontId="2" fillId="0" borderId="29" xfId="1" applyNumberFormat="1" applyFont="1" applyBorder="1"/>
    <xf numFmtId="167" fontId="2" fillId="0" borderId="28" xfId="1" applyNumberFormat="1" applyFont="1" applyBorder="1"/>
    <xf numFmtId="167" fontId="2" fillId="0" borderId="29" xfId="1" applyNumberFormat="1" applyFont="1" applyBorder="1"/>
    <xf numFmtId="168" fontId="2" fillId="0" borderId="28" xfId="1" applyNumberFormat="1" applyFont="1" applyBorder="1"/>
    <xf numFmtId="4" fontId="2" fillId="0" borderId="30" xfId="1" applyNumberFormat="1" applyFont="1" applyBorder="1"/>
    <xf numFmtId="4" fontId="2" fillId="0" borderId="31" xfId="1" applyNumberFormat="1" applyFont="1" applyBorder="1"/>
    <xf numFmtId="166" fontId="2" fillId="4" borderId="32" xfId="1" applyNumberFormat="1" applyFont="1" applyFill="1" applyBorder="1" applyAlignment="1">
      <alignment horizontal="left"/>
    </xf>
    <xf numFmtId="0" fontId="2" fillId="0" borderId="30" xfId="1" applyFont="1" applyBorder="1"/>
    <xf numFmtId="0" fontId="2" fillId="0" borderId="31" xfId="1" applyFont="1" applyBorder="1"/>
    <xf numFmtId="4" fontId="2" fillId="0" borderId="25" xfId="1" applyNumberFormat="1" applyFont="1" applyBorder="1"/>
    <xf numFmtId="167" fontId="2" fillId="0" borderId="25" xfId="1" applyNumberFormat="1" applyFont="1" applyBorder="1"/>
    <xf numFmtId="167" fontId="2" fillId="0" borderId="31" xfId="1" applyNumberFormat="1" applyFont="1" applyBorder="1"/>
    <xf numFmtId="168" fontId="2" fillId="0" borderId="25" xfId="1" applyNumberFormat="1" applyFont="1" applyBorder="1"/>
    <xf numFmtId="166" fontId="2" fillId="4" borderId="33" xfId="1" applyNumberFormat="1" applyFont="1" applyFill="1" applyBorder="1" applyAlignment="1">
      <alignment horizontal="left"/>
    </xf>
    <xf numFmtId="0" fontId="9" fillId="5" borderId="25" xfId="1" applyFont="1" applyFill="1" applyBorder="1" applyAlignment="1">
      <alignment horizontal="center"/>
    </xf>
    <xf numFmtId="0" fontId="9" fillId="5" borderId="31" xfId="1" applyFont="1" applyFill="1" applyBorder="1" applyAlignment="1">
      <alignment horizontal="center"/>
    </xf>
    <xf numFmtId="2" fontId="9" fillId="6" borderId="25" xfId="1" applyNumberFormat="1" applyFont="1" applyFill="1" applyBorder="1" applyAlignment="1">
      <alignment horizontal="center"/>
    </xf>
    <xf numFmtId="2" fontId="9" fillId="6" borderId="30" xfId="1" applyNumberFormat="1" applyFont="1" applyFill="1" applyBorder="1" applyAlignment="1">
      <alignment horizontal="center"/>
    </xf>
    <xf numFmtId="2" fontId="9" fillId="6" borderId="31" xfId="1" applyNumberFormat="1" applyFont="1" applyFill="1" applyBorder="1" applyAlignment="1">
      <alignment horizontal="center"/>
    </xf>
    <xf numFmtId="0" fontId="2" fillId="0" borderId="45" xfId="1" applyFont="1" applyBorder="1"/>
    <xf numFmtId="0" fontId="2" fillId="0" borderId="46" xfId="1" applyFont="1" applyBorder="1"/>
    <xf numFmtId="0" fontId="2" fillId="0" borderId="47" xfId="1" applyFont="1" applyBorder="1"/>
    <xf numFmtId="0" fontId="2" fillId="0" borderId="48" xfId="1" applyFont="1" applyBorder="1"/>
    <xf numFmtId="0" fontId="2" fillId="0" borderId="49" xfId="1" applyFont="1" applyBorder="1"/>
    <xf numFmtId="0" fontId="2" fillId="0" borderId="53" xfId="1" applyFont="1" applyBorder="1"/>
    <xf numFmtId="0" fontId="2" fillId="0" borderId="54" xfId="1" applyFont="1" applyBorder="1"/>
    <xf numFmtId="0" fontId="2" fillId="0" borderId="55" xfId="1" applyFont="1" applyBorder="1"/>
    <xf numFmtId="0" fontId="2" fillId="0" borderId="56" xfId="1" applyFont="1" applyBorder="1"/>
    <xf numFmtId="0" fontId="2" fillId="0" borderId="57" xfId="1" applyFont="1" applyBorder="1"/>
    <xf numFmtId="0" fontId="11" fillId="6" borderId="59" xfId="1" applyFont="1" applyFill="1" applyBorder="1" applyAlignment="1">
      <alignment horizontal="center" vertical="center"/>
    </xf>
    <xf numFmtId="0" fontId="12" fillId="6" borderId="60" xfId="1" applyFont="1" applyFill="1" applyBorder="1"/>
    <xf numFmtId="0" fontId="2" fillId="0" borderId="62" xfId="1" applyFont="1" applyBorder="1"/>
    <xf numFmtId="2" fontId="2" fillId="0" borderId="0" xfId="1" applyNumberFormat="1" applyFont="1"/>
    <xf numFmtId="4" fontId="2" fillId="0" borderId="12" xfId="1" applyNumberFormat="1" applyFont="1" applyBorder="1"/>
    <xf numFmtId="0" fontId="1" fillId="0" borderId="0" xfId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2" fontId="9" fillId="6" borderId="31" xfId="1" applyNumberFormat="1" applyFont="1" applyFill="1" applyBorder="1" applyAlignment="1">
      <alignment horizontal="center" vertical="center"/>
    </xf>
    <xf numFmtId="2" fontId="9" fillId="6" borderId="30" xfId="1" applyNumberFormat="1" applyFont="1" applyFill="1" applyBorder="1" applyAlignment="1">
      <alignment horizontal="center" vertical="center"/>
    </xf>
    <xf numFmtId="2" fontId="9" fillId="6" borderId="25" xfId="1" applyNumberFormat="1" applyFont="1" applyFill="1" applyBorder="1" applyAlignment="1">
      <alignment horizontal="center" vertical="center"/>
    </xf>
    <xf numFmtId="0" fontId="9" fillId="5" borderId="31" xfId="1" applyFont="1" applyFill="1" applyBorder="1" applyAlignment="1">
      <alignment horizontal="center" vertical="center"/>
    </xf>
    <xf numFmtId="0" fontId="9" fillId="5" borderId="25" xfId="1" applyFont="1" applyFill="1" applyBorder="1" applyAlignment="1">
      <alignment horizontal="center" vertical="center"/>
    </xf>
    <xf numFmtId="166" fontId="2" fillId="4" borderId="33" xfId="1" applyNumberFormat="1" applyFont="1" applyFill="1" applyBorder="1" applyAlignment="1">
      <alignment horizontal="center" vertical="center"/>
    </xf>
    <xf numFmtId="4" fontId="2" fillId="0" borderId="31" xfId="1" applyNumberFormat="1" applyFont="1" applyBorder="1" applyAlignment="1">
      <alignment horizontal="center" vertical="center"/>
    </xf>
    <xf numFmtId="4" fontId="2" fillId="0" borderId="30" xfId="1" applyNumberFormat="1" applyFont="1" applyBorder="1" applyAlignment="1">
      <alignment horizontal="center" vertical="center"/>
    </xf>
    <xf numFmtId="168" fontId="2" fillId="0" borderId="25" xfId="1" applyNumberFormat="1" applyFont="1" applyBorder="1" applyAlignment="1">
      <alignment horizontal="center" vertical="center"/>
    </xf>
    <xf numFmtId="167" fontId="2" fillId="0" borderId="31" xfId="1" applyNumberFormat="1" applyFont="1" applyBorder="1" applyAlignment="1">
      <alignment horizontal="center" vertical="center"/>
    </xf>
    <xf numFmtId="167" fontId="2" fillId="0" borderId="25" xfId="1" applyNumberFormat="1" applyFont="1" applyBorder="1" applyAlignment="1">
      <alignment horizontal="center" vertical="center"/>
    </xf>
    <xf numFmtId="4" fontId="2" fillId="0" borderId="25" xfId="1" applyNumberFormat="1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10" fontId="2" fillId="0" borderId="25" xfId="1" applyNumberFormat="1" applyFont="1" applyBorder="1" applyAlignment="1">
      <alignment horizontal="center" vertical="center"/>
    </xf>
    <xf numFmtId="166" fontId="2" fillId="4" borderId="32" xfId="1" applyNumberFormat="1" applyFont="1" applyFill="1" applyBorder="1" applyAlignment="1">
      <alignment horizontal="center" vertical="center"/>
    </xf>
    <xf numFmtId="168" fontId="2" fillId="0" borderId="28" xfId="1" applyNumberFormat="1" applyFont="1" applyBorder="1" applyAlignment="1">
      <alignment horizontal="center" vertical="center"/>
    </xf>
    <xf numFmtId="167" fontId="2" fillId="0" borderId="29" xfId="1" applyNumberFormat="1" applyFont="1" applyBorder="1" applyAlignment="1">
      <alignment horizontal="center" vertical="center"/>
    </xf>
    <xf numFmtId="167" fontId="2" fillId="0" borderId="28" xfId="1" applyNumberFormat="1" applyFont="1" applyBorder="1" applyAlignment="1">
      <alignment horizontal="center" vertical="center"/>
    </xf>
    <xf numFmtId="4" fontId="2" fillId="0" borderId="29" xfId="1" applyNumberFormat="1" applyFont="1" applyBorder="1" applyAlignment="1">
      <alignment horizontal="center" vertical="center"/>
    </xf>
    <xf numFmtId="4" fontId="2" fillId="0" borderId="28" xfId="1" applyNumberFormat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166" fontId="4" fillId="2" borderId="24" xfId="1" applyNumberFormat="1" applyFont="1" applyFill="1" applyBorder="1" applyAlignment="1">
      <alignment horizontal="center" vertical="center"/>
    </xf>
    <xf numFmtId="4" fontId="4" fillId="2" borderId="17" xfId="1" applyNumberFormat="1" applyFont="1" applyFill="1" applyBorder="1" applyAlignment="1">
      <alignment horizontal="center" vertical="center"/>
    </xf>
    <xf numFmtId="4" fontId="4" fillId="2" borderId="22" xfId="1" applyNumberFormat="1" applyFont="1" applyFill="1" applyBorder="1" applyAlignment="1">
      <alignment horizontal="center" vertical="center"/>
    </xf>
    <xf numFmtId="2" fontId="2" fillId="3" borderId="16" xfId="1" applyNumberFormat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4" fontId="7" fillId="0" borderId="0" xfId="1" applyNumberFormat="1" applyFont="1" applyAlignment="1">
      <alignment horizontal="center" vertical="center"/>
    </xf>
    <xf numFmtId="2" fontId="2" fillId="0" borderId="12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1" fillId="9" borderId="0" xfId="1" applyFill="1" applyAlignment="1">
      <alignment horizontal="center" vertical="center"/>
    </xf>
    <xf numFmtId="0" fontId="2" fillId="9" borderId="7" xfId="1" applyFont="1" applyFill="1" applyBorder="1" applyAlignment="1">
      <alignment horizontal="center" vertical="center"/>
    </xf>
    <xf numFmtId="0" fontId="12" fillId="10" borderId="60" xfId="1" applyFont="1" applyFill="1" applyBorder="1" applyAlignment="1">
      <alignment horizontal="center" vertical="center"/>
    </xf>
    <xf numFmtId="0" fontId="11" fillId="10" borderId="59" xfId="1" applyFont="1" applyFill="1" applyBorder="1" applyAlignment="1">
      <alignment horizontal="center" vertical="center"/>
    </xf>
    <xf numFmtId="0" fontId="2" fillId="9" borderId="57" xfId="1" applyFont="1" applyFill="1" applyBorder="1" applyAlignment="1">
      <alignment horizontal="center" vertical="center"/>
    </xf>
    <xf numFmtId="0" fontId="2" fillId="9" borderId="12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2" fillId="9" borderId="11" xfId="1" applyFont="1" applyFill="1" applyBorder="1" applyAlignment="1">
      <alignment horizontal="center" vertical="center"/>
    </xf>
    <xf numFmtId="0" fontId="2" fillId="9" borderId="46" xfId="1" applyFont="1" applyFill="1" applyBorder="1" applyAlignment="1">
      <alignment horizontal="center" vertical="center"/>
    </xf>
    <xf numFmtId="0" fontId="2" fillId="9" borderId="56" xfId="1" applyFont="1" applyFill="1" applyBorder="1" applyAlignment="1">
      <alignment horizontal="center" vertical="center"/>
    </xf>
    <xf numFmtId="0" fontId="2" fillId="9" borderId="55" xfId="1" applyFont="1" applyFill="1" applyBorder="1" applyAlignment="1">
      <alignment horizontal="center" vertical="center"/>
    </xf>
    <xf numFmtId="0" fontId="2" fillId="9" borderId="2" xfId="1" applyFont="1" applyFill="1" applyBorder="1" applyAlignment="1">
      <alignment horizontal="center" vertical="center"/>
    </xf>
    <xf numFmtId="0" fontId="2" fillId="9" borderId="54" xfId="1" applyFont="1" applyFill="1" applyBorder="1" applyAlignment="1">
      <alignment horizontal="center" vertical="center"/>
    </xf>
    <xf numFmtId="0" fontId="2" fillId="9" borderId="53" xfId="1" applyFont="1" applyFill="1" applyBorder="1" applyAlignment="1">
      <alignment horizontal="center" vertical="center"/>
    </xf>
    <xf numFmtId="0" fontId="2" fillId="9" borderId="47" xfId="1" applyFont="1" applyFill="1" applyBorder="1" applyAlignment="1">
      <alignment horizontal="center" vertical="center"/>
    </xf>
    <xf numFmtId="0" fontId="2" fillId="9" borderId="49" xfId="1" applyFont="1" applyFill="1" applyBorder="1" applyAlignment="1">
      <alignment horizontal="center" vertical="center"/>
    </xf>
    <xf numFmtId="0" fontId="2" fillId="9" borderId="48" xfId="1" applyFont="1" applyFill="1" applyBorder="1" applyAlignment="1">
      <alignment horizontal="center" vertical="center"/>
    </xf>
    <xf numFmtId="0" fontId="2" fillId="9" borderId="10" xfId="1" applyFont="1" applyFill="1" applyBorder="1" applyAlignment="1">
      <alignment horizontal="center" vertical="center"/>
    </xf>
    <xf numFmtId="0" fontId="2" fillId="9" borderId="45" xfId="1" applyFont="1" applyFill="1" applyBorder="1" applyAlignment="1">
      <alignment horizontal="center" vertical="center"/>
    </xf>
    <xf numFmtId="0" fontId="2" fillId="9" borderId="23" xfId="1" applyFont="1" applyFill="1" applyBorder="1" applyAlignment="1">
      <alignment horizontal="center"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9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5" fillId="0" borderId="0" xfId="0" applyFont="1"/>
    <xf numFmtId="0" fontId="16" fillId="0" borderId="0" xfId="0" applyFont="1" applyAlignment="1">
      <alignment vertical="center"/>
    </xf>
    <xf numFmtId="0" fontId="9" fillId="7" borderId="38" xfId="1" applyFont="1" applyFill="1" applyBorder="1" applyAlignment="1">
      <alignment horizontal="center" vertical="center" wrapText="1"/>
    </xf>
    <xf numFmtId="0" fontId="8" fillId="0" borderId="34" xfId="1" applyFont="1" applyBorder="1"/>
    <xf numFmtId="0" fontId="13" fillId="6" borderId="52" xfId="1" applyFont="1" applyFill="1" applyBorder="1" applyAlignment="1">
      <alignment horizontal="center" vertical="center"/>
    </xf>
    <xf numFmtId="0" fontId="8" fillId="0" borderId="51" xfId="1" applyFont="1" applyBorder="1"/>
    <xf numFmtId="0" fontId="8" fillId="0" borderId="61" xfId="1" applyFont="1" applyBorder="1"/>
    <xf numFmtId="169" fontId="3" fillId="3" borderId="58" xfId="1" applyNumberFormat="1" applyFont="1" applyFill="1" applyBorder="1" applyAlignment="1">
      <alignment horizontal="center" vertical="center"/>
    </xf>
    <xf numFmtId="0" fontId="8" fillId="0" borderId="50" xfId="1" applyFont="1" applyBorder="1"/>
    <xf numFmtId="0" fontId="10" fillId="6" borderId="52" xfId="1" applyFont="1" applyFill="1" applyBorder="1" applyAlignment="1">
      <alignment horizontal="left" vertical="center"/>
    </xf>
    <xf numFmtId="0" fontId="2" fillId="0" borderId="51" xfId="1" applyFont="1" applyBorder="1" applyAlignment="1">
      <alignment horizontal="left" vertical="center"/>
    </xf>
    <xf numFmtId="0" fontId="10" fillId="6" borderId="52" xfId="1" applyFont="1" applyFill="1" applyBorder="1" applyAlignment="1">
      <alignment horizontal="center" vertical="center"/>
    </xf>
    <xf numFmtId="167" fontId="3" fillId="0" borderId="51" xfId="1" applyNumberFormat="1" applyFont="1" applyBorder="1" applyAlignment="1">
      <alignment horizontal="center"/>
    </xf>
    <xf numFmtId="0" fontId="9" fillId="6" borderId="44" xfId="1" applyFont="1" applyFill="1" applyBorder="1" applyAlignment="1">
      <alignment horizontal="center" vertical="center"/>
    </xf>
    <xf numFmtId="0" fontId="8" fillId="0" borderId="37" xfId="1" applyFont="1" applyBorder="1"/>
    <xf numFmtId="0" fontId="9" fillId="6" borderId="42" xfId="1" applyFont="1" applyFill="1" applyBorder="1" applyAlignment="1">
      <alignment horizontal="center"/>
    </xf>
    <xf numFmtId="0" fontId="8" fillId="0" borderId="43" xfId="1" applyFont="1" applyBorder="1"/>
    <xf numFmtId="0" fontId="8" fillId="0" borderId="41" xfId="1" applyFont="1" applyBorder="1"/>
    <xf numFmtId="0" fontId="9" fillId="5" borderId="42" xfId="1" applyFont="1" applyFill="1" applyBorder="1" applyAlignment="1">
      <alignment horizontal="center"/>
    </xf>
    <xf numFmtId="0" fontId="9" fillId="8" borderId="40" xfId="1" applyFont="1" applyFill="1" applyBorder="1" applyAlignment="1">
      <alignment horizontal="center" wrapText="1"/>
    </xf>
    <xf numFmtId="0" fontId="8" fillId="0" borderId="36" xfId="1" applyFont="1" applyBorder="1"/>
    <xf numFmtId="0" fontId="9" fillId="8" borderId="38" xfId="1" applyFont="1" applyFill="1" applyBorder="1" applyAlignment="1">
      <alignment horizontal="center" vertical="center"/>
    </xf>
    <xf numFmtId="0" fontId="9" fillId="7" borderId="40" xfId="1" applyFont="1" applyFill="1" applyBorder="1" applyAlignment="1">
      <alignment horizontal="center" vertical="center" wrapText="1"/>
    </xf>
    <xf numFmtId="0" fontId="9" fillId="7" borderId="39" xfId="1" applyFont="1" applyFill="1" applyBorder="1" applyAlignment="1">
      <alignment horizontal="center" wrapText="1"/>
    </xf>
    <xf numFmtId="0" fontId="8" fillId="0" borderId="35" xfId="1" applyFont="1" applyBorder="1"/>
    <xf numFmtId="0" fontId="9" fillId="7" borderId="39" xfId="1" applyFont="1" applyFill="1" applyBorder="1" applyAlignment="1">
      <alignment horizontal="center" vertical="center" wrapText="1"/>
    </xf>
    <xf numFmtId="0" fontId="8" fillId="0" borderId="35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9" fillId="10" borderId="42" xfId="1" applyFont="1" applyFill="1" applyBorder="1" applyAlignment="1">
      <alignment horizontal="center" vertical="center"/>
    </xf>
    <xf numFmtId="0" fontId="8" fillId="9" borderId="43" xfId="1" applyFont="1" applyFill="1" applyBorder="1" applyAlignment="1">
      <alignment horizontal="center" vertical="center"/>
    </xf>
    <xf numFmtId="0" fontId="8" fillId="9" borderId="41" xfId="1" applyFont="1" applyFill="1" applyBorder="1" applyAlignment="1">
      <alignment horizontal="center" vertical="center"/>
    </xf>
    <xf numFmtId="0" fontId="9" fillId="12" borderId="42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 wrapText="1"/>
    </xf>
    <xf numFmtId="0" fontId="8" fillId="0" borderId="36" xfId="1" applyFont="1" applyBorder="1" applyAlignment="1">
      <alignment horizontal="center" vertical="center"/>
    </xf>
    <xf numFmtId="0" fontId="13" fillId="10" borderId="52" xfId="1" applyFont="1" applyFill="1" applyBorder="1" applyAlignment="1">
      <alignment horizontal="center" vertical="center"/>
    </xf>
    <xf numFmtId="0" fontId="8" fillId="9" borderId="51" xfId="1" applyFont="1" applyFill="1" applyBorder="1" applyAlignment="1">
      <alignment horizontal="center" vertical="center"/>
    </xf>
    <xf numFmtId="0" fontId="8" fillId="9" borderId="61" xfId="1" applyFont="1" applyFill="1" applyBorder="1" applyAlignment="1">
      <alignment horizontal="center" vertical="center"/>
    </xf>
    <xf numFmtId="169" fontId="3" fillId="11" borderId="58" xfId="1" applyNumberFormat="1" applyFont="1" applyFill="1" applyBorder="1" applyAlignment="1">
      <alignment horizontal="center" vertical="center"/>
    </xf>
    <xf numFmtId="0" fontId="8" fillId="9" borderId="50" xfId="1" applyFont="1" applyFill="1" applyBorder="1" applyAlignment="1">
      <alignment horizontal="center" vertical="center"/>
    </xf>
    <xf numFmtId="0" fontId="10" fillId="10" borderId="52" xfId="1" applyFont="1" applyFill="1" applyBorder="1" applyAlignment="1">
      <alignment horizontal="center" vertical="center"/>
    </xf>
    <xf numFmtId="0" fontId="2" fillId="9" borderId="51" xfId="1" applyFont="1" applyFill="1" applyBorder="1" applyAlignment="1">
      <alignment horizontal="center" vertical="center"/>
    </xf>
    <xf numFmtId="167" fontId="3" fillId="9" borderId="51" xfId="1" applyNumberFormat="1" applyFont="1" applyFill="1" applyBorder="1" applyAlignment="1">
      <alignment horizontal="center" vertical="center"/>
    </xf>
    <xf numFmtId="0" fontId="14" fillId="6" borderId="52" xfId="1" applyFont="1" applyFill="1" applyBorder="1" applyAlignment="1">
      <alignment horizontal="center" vertical="center"/>
    </xf>
    <xf numFmtId="0" fontId="17" fillId="7" borderId="40" xfId="1" applyFont="1" applyFill="1" applyBorder="1" applyAlignment="1">
      <alignment horizontal="center" vertical="center" wrapText="1"/>
    </xf>
    <xf numFmtId="0" fontId="17" fillId="7" borderId="39" xfId="1" applyFont="1" applyFill="1" applyBorder="1" applyAlignment="1">
      <alignment horizontal="center" wrapText="1"/>
    </xf>
    <xf numFmtId="0" fontId="0" fillId="21" borderId="0" xfId="0" applyFill="1"/>
  </cellXfs>
  <cellStyles count="2">
    <cellStyle name="Normal" xfId="0" builtinId="0"/>
    <cellStyle name="Normal 2" xfId="1" xr:uid="{BF61DD6F-45B4-49DE-9F0E-B964143B07B9}"/>
  </cellStyles>
  <dxfs count="0"/>
  <tableStyles count="0" defaultTableStyle="TableStyleMedium2" defaultPivotStyle="PivotStyleLight16"/>
  <colors>
    <mruColors>
      <color rgb="FFFFFF00"/>
      <color rgb="FFBFBFBF"/>
      <color rgb="FFD9D9D9"/>
      <color rgb="FF00B0F0"/>
      <color rgb="FFFF0000"/>
      <color rgb="FF00B050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Ana'!$D$8:$D$38</c:f>
              <c:numCache>
                <c:formatCode>#,##0.00</c:formatCode>
                <c:ptCount val="31"/>
                <c:pt idx="0">
                  <c:v>30</c:v>
                </c:pt>
                <c:pt idx="1">
                  <c:v>20</c:v>
                </c:pt>
                <c:pt idx="2">
                  <c:v>400</c:v>
                </c:pt>
                <c:pt idx="3">
                  <c:v>7</c:v>
                </c:pt>
                <c:pt idx="4">
                  <c:v>80</c:v>
                </c:pt>
                <c:pt idx="5">
                  <c:v>45</c:v>
                </c:pt>
                <c:pt idx="6">
                  <c:v>290</c:v>
                </c:pt>
                <c:pt idx="7">
                  <c:v>10</c:v>
                </c:pt>
                <c:pt idx="8">
                  <c:v>15</c:v>
                </c:pt>
                <c:pt idx="9">
                  <c:v>70</c:v>
                </c:pt>
                <c:pt idx="10">
                  <c:v>40</c:v>
                </c:pt>
                <c:pt idx="11">
                  <c:v>35</c:v>
                </c:pt>
                <c:pt idx="12">
                  <c:v>20</c:v>
                </c:pt>
                <c:pt idx="13">
                  <c:v>15</c:v>
                </c:pt>
                <c:pt idx="14">
                  <c:v>18</c:v>
                </c:pt>
                <c:pt idx="15">
                  <c:v>90</c:v>
                </c:pt>
                <c:pt idx="16">
                  <c:v>50</c:v>
                </c:pt>
                <c:pt idx="17">
                  <c:v>40</c:v>
                </c:pt>
                <c:pt idx="18">
                  <c:v>20</c:v>
                </c:pt>
                <c:pt idx="19">
                  <c:v>200</c:v>
                </c:pt>
                <c:pt idx="20">
                  <c:v>700</c:v>
                </c:pt>
                <c:pt idx="21">
                  <c:v>50</c:v>
                </c:pt>
                <c:pt idx="2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2-47AA-9A4E-7FC07D77E412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Ana'!$E$8:$E$38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2-47AA-9A4E-7FC07D77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40714"/>
        <c:axId val="281550307"/>
      </c:lineChart>
      <c:catAx>
        <c:axId val="300140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1550307"/>
        <c:crosses val="autoZero"/>
        <c:auto val="1"/>
        <c:lblAlgn val="ctr"/>
        <c:lblOffset val="100"/>
        <c:noMultiLvlLbl val="1"/>
      </c:catAx>
      <c:valAx>
        <c:axId val="2815503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01407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Ana'!$A$18:$A$20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Ana'!$B$18:$B$20</c:f>
              <c:numCache>
                <c:formatCode>0.00</c:formatCode>
                <c:ptCount val="3"/>
                <c:pt idx="0">
                  <c:v>2445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FA8-4949-9537-2ADBEE36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487182"/>
        <c:axId val="1726114339"/>
      </c:barChart>
      <c:catAx>
        <c:axId val="1024487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26114339"/>
        <c:crosses val="autoZero"/>
        <c:auto val="1"/>
        <c:lblAlgn val="ctr"/>
        <c:lblOffset val="100"/>
        <c:noMultiLvlLbl val="1"/>
      </c:catAx>
      <c:valAx>
        <c:axId val="1726114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02448718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Joao'!$D$8:$D$38</c:f>
              <c:numCache>
                <c:formatCode>#,##0.00</c:formatCode>
                <c:ptCount val="31"/>
                <c:pt idx="0">
                  <c:v>90</c:v>
                </c:pt>
                <c:pt idx="1">
                  <c:v>50</c:v>
                </c:pt>
                <c:pt idx="2">
                  <c:v>120</c:v>
                </c:pt>
                <c:pt idx="3">
                  <c:v>90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120</c:v>
                </c:pt>
                <c:pt idx="8">
                  <c:v>90</c:v>
                </c:pt>
                <c:pt idx="9">
                  <c:v>67</c:v>
                </c:pt>
                <c:pt idx="10">
                  <c:v>64.52</c:v>
                </c:pt>
                <c:pt idx="11">
                  <c:v>80</c:v>
                </c:pt>
                <c:pt idx="12">
                  <c:v>70</c:v>
                </c:pt>
                <c:pt idx="13">
                  <c:v>50</c:v>
                </c:pt>
                <c:pt idx="14">
                  <c:v>90</c:v>
                </c:pt>
                <c:pt idx="15">
                  <c:v>80</c:v>
                </c:pt>
                <c:pt idx="16">
                  <c:v>30</c:v>
                </c:pt>
                <c:pt idx="17">
                  <c:v>200</c:v>
                </c:pt>
                <c:pt idx="18">
                  <c:v>40</c:v>
                </c:pt>
                <c:pt idx="19">
                  <c:v>30</c:v>
                </c:pt>
                <c:pt idx="20">
                  <c:v>20</c:v>
                </c:pt>
                <c:pt idx="21">
                  <c:v>150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C-4698-9FDE-6B58433D6887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Joao'!$E$8:$E$38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C-4698-9FDE-6B58433D6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05832"/>
        <c:axId val="850359237"/>
      </c:lineChart>
      <c:catAx>
        <c:axId val="13150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850359237"/>
        <c:crosses val="autoZero"/>
        <c:auto val="1"/>
        <c:lblAlgn val="ctr"/>
        <c:lblOffset val="100"/>
        <c:noMultiLvlLbl val="1"/>
      </c:catAx>
      <c:valAx>
        <c:axId val="850359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15058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Joao'!$A$18:$A$20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Joao'!$B$18:$B$20</c:f>
              <c:numCache>
                <c:formatCode>0.00</c:formatCode>
                <c:ptCount val="3"/>
                <c:pt idx="0">
                  <c:v>1801.52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62-4593-A0DC-C6669AD8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631708"/>
        <c:axId val="1482379321"/>
      </c:barChart>
      <c:catAx>
        <c:axId val="2054631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2379321"/>
        <c:crosses val="autoZero"/>
        <c:auto val="1"/>
        <c:lblAlgn val="ctr"/>
        <c:lblOffset val="100"/>
        <c:noMultiLvlLbl val="1"/>
      </c:catAx>
      <c:valAx>
        <c:axId val="1482379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5463170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Acompanhamento Diário</a:t>
            </a:r>
          </a:p>
        </c:rich>
      </c:tx>
      <c:layout>
        <c:manualLayout>
          <c:xMode val="edge"/>
          <c:yMode val="edge"/>
          <c:x val="0.38986111111111132"/>
          <c:y val="9.2592592592592778E-3"/>
        </c:manualLayout>
      </c:layout>
      <c:overlay val="0"/>
    </c:title>
    <c:autoTitleDeleted val="0"/>
    <c:plotArea>
      <c:layout>
        <c:manualLayout>
          <c:xMode val="edge"/>
          <c:yMode val="edge"/>
          <c:x val="6.0584426946631798E-2"/>
          <c:y val="0.10839129483814523"/>
          <c:w val="0.81930446194225637"/>
          <c:h val="0.7756288276465457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'Acompanhamento Jose'!$D$8:$D$38</c:f>
              <c:numCache>
                <c:formatCode>#,##0.00</c:formatCode>
                <c:ptCount val="31"/>
                <c:pt idx="0">
                  <c:v>80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120</c:v>
                </c:pt>
                <c:pt idx="6">
                  <c:v>190</c:v>
                </c:pt>
                <c:pt idx="7">
                  <c:v>10</c:v>
                </c:pt>
                <c:pt idx="8">
                  <c:v>15</c:v>
                </c:pt>
                <c:pt idx="9">
                  <c:v>60</c:v>
                </c:pt>
                <c:pt idx="10">
                  <c:v>40</c:v>
                </c:pt>
                <c:pt idx="11">
                  <c:v>35</c:v>
                </c:pt>
                <c:pt idx="12">
                  <c:v>80</c:v>
                </c:pt>
                <c:pt idx="13">
                  <c:v>50</c:v>
                </c:pt>
                <c:pt idx="14">
                  <c:v>150</c:v>
                </c:pt>
                <c:pt idx="15">
                  <c:v>20</c:v>
                </c:pt>
                <c:pt idx="16">
                  <c:v>30</c:v>
                </c:pt>
                <c:pt idx="17">
                  <c:v>80</c:v>
                </c:pt>
                <c:pt idx="18">
                  <c:v>90</c:v>
                </c:pt>
                <c:pt idx="19">
                  <c:v>20</c:v>
                </c:pt>
                <c:pt idx="20">
                  <c:v>200</c:v>
                </c:pt>
                <c:pt idx="21">
                  <c:v>50</c:v>
                </c:pt>
                <c:pt idx="2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7-4927-A881-8B5D5EBA722C}"/>
            </c:ext>
          </c:extLst>
        </c:ser>
        <c:ser>
          <c:idx val="1"/>
          <c:order val="1"/>
          <c:tx>
            <c:v>Projetada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'Acompanhamento Jose'!$E$8:$E$38</c:f>
              <c:numCache>
                <c:formatCode>#,##0.00</c:formatCode>
                <c:ptCount val="31"/>
                <c:pt idx="0">
                  <c:v>64.516129032258064</c:v>
                </c:pt>
                <c:pt idx="1">
                  <c:v>64.516129032258064</c:v>
                </c:pt>
                <c:pt idx="2">
                  <c:v>64.516129032258064</c:v>
                </c:pt>
                <c:pt idx="3">
                  <c:v>64.516129032258064</c:v>
                </c:pt>
                <c:pt idx="4">
                  <c:v>64.516129032258064</c:v>
                </c:pt>
                <c:pt idx="5">
                  <c:v>64.516129032258064</c:v>
                </c:pt>
                <c:pt idx="6">
                  <c:v>64.516129032258064</c:v>
                </c:pt>
                <c:pt idx="7">
                  <c:v>64.516129032258064</c:v>
                </c:pt>
                <c:pt idx="8">
                  <c:v>64.516129032258064</c:v>
                </c:pt>
                <c:pt idx="9">
                  <c:v>64.516129032258064</c:v>
                </c:pt>
                <c:pt idx="10">
                  <c:v>64.516129032258064</c:v>
                </c:pt>
                <c:pt idx="11">
                  <c:v>64.516129032258064</c:v>
                </c:pt>
                <c:pt idx="12">
                  <c:v>64.516129032258064</c:v>
                </c:pt>
                <c:pt idx="13">
                  <c:v>64.516129032258064</c:v>
                </c:pt>
                <c:pt idx="14">
                  <c:v>64.516129032258064</c:v>
                </c:pt>
                <c:pt idx="15">
                  <c:v>64.516129032258064</c:v>
                </c:pt>
                <c:pt idx="16">
                  <c:v>64.516129032258064</c:v>
                </c:pt>
                <c:pt idx="17">
                  <c:v>64.516129032258064</c:v>
                </c:pt>
                <c:pt idx="18">
                  <c:v>64.516129032258064</c:v>
                </c:pt>
                <c:pt idx="19">
                  <c:v>64.516129032258064</c:v>
                </c:pt>
                <c:pt idx="20">
                  <c:v>64.516129032258064</c:v>
                </c:pt>
                <c:pt idx="21">
                  <c:v>64.516129032258064</c:v>
                </c:pt>
                <c:pt idx="22">
                  <c:v>64.516129032258064</c:v>
                </c:pt>
                <c:pt idx="23">
                  <c:v>64.516129032258064</c:v>
                </c:pt>
                <c:pt idx="24">
                  <c:v>64.516129032258064</c:v>
                </c:pt>
                <c:pt idx="25">
                  <c:v>64.516129032258064</c:v>
                </c:pt>
                <c:pt idx="26">
                  <c:v>64.516129032258064</c:v>
                </c:pt>
                <c:pt idx="27">
                  <c:v>64.516129032258064</c:v>
                </c:pt>
                <c:pt idx="28">
                  <c:v>64.516129032258064</c:v>
                </c:pt>
                <c:pt idx="29">
                  <c:v>64.516129032258064</c:v>
                </c:pt>
                <c:pt idx="30">
                  <c:v>64.516129032258064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7-4927-A881-8B5D5EBA7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856573"/>
        <c:axId val="431195495"/>
      </c:lineChart>
      <c:catAx>
        <c:axId val="1438856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31195495"/>
        <c:crosses val="autoZero"/>
        <c:auto val="1"/>
        <c:lblAlgn val="ctr"/>
        <c:lblOffset val="100"/>
        <c:noMultiLvlLbl val="1"/>
      </c:catAx>
      <c:valAx>
        <c:axId val="43119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388565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500" b="0" i="0">
                <a:solidFill>
                  <a:srgbClr val="757575"/>
                </a:solidFill>
                <a:latin typeface="+mn-lt"/>
              </a:defRPr>
            </a:pPr>
            <a:r>
              <a:rPr lang="pt-BR" sz="1500" b="0" i="0">
                <a:solidFill>
                  <a:srgbClr val="757575"/>
                </a:solidFill>
                <a:latin typeface="+mn-lt"/>
              </a:rPr>
              <a:t>Venda - Meta - Tendência</a:t>
            </a:r>
          </a:p>
        </c:rich>
      </c:tx>
      <c:layout>
        <c:manualLayout>
          <c:xMode val="edge"/>
          <c:yMode val="edge"/>
          <c:x val="0.27270144356955378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.13525240594925633"/>
          <c:y val="0.10839129483814523"/>
          <c:w val="0.83696981627296585"/>
          <c:h val="0.7987769757946923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'Graficos Jose'!$A$18:$A$20</c:f>
              <c:strCache>
                <c:ptCount val="3"/>
                <c:pt idx="0">
                  <c:v>Venda Real</c:v>
                </c:pt>
                <c:pt idx="1">
                  <c:v>Venda Projetada</c:v>
                </c:pt>
                <c:pt idx="2">
                  <c:v>Tendência</c:v>
                </c:pt>
              </c:strCache>
            </c:strRef>
          </c:cat>
          <c:val>
            <c:numRef>
              <c:f>'Graficos Jose'!$B$18:$B$20</c:f>
              <c:numCache>
                <c:formatCode>0.00</c:formatCode>
                <c:ptCount val="3"/>
                <c:pt idx="0">
                  <c:v>1630</c:v>
                </c:pt>
                <c:pt idx="1">
                  <c:v>1999.9999999999998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E0-4FC2-A49F-1E36D203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066205"/>
        <c:axId val="1557093455"/>
      </c:barChart>
      <c:catAx>
        <c:axId val="1470066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57093455"/>
        <c:crosses val="autoZero"/>
        <c:auto val="1"/>
        <c:lblAlgn val="ctr"/>
        <c:lblOffset val="100"/>
        <c:noMultiLvlLbl val="1"/>
      </c:catAx>
      <c:valAx>
        <c:axId val="1557093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00662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847725</xdr:colOff>
      <xdr:row>10</xdr:row>
      <xdr:rowOff>9525</xdr:rowOff>
    </xdr:from>
    <xdr:ext cx="5534025" cy="3257550"/>
    <xdr:pic>
      <xdr:nvPicPr>
        <xdr:cNvPr id="2" name="image4.png" descr="img1_grande_modelo.png">
          <a:extLst>
            <a:ext uri="{FF2B5EF4-FFF2-40B4-BE49-F238E27FC236}">
              <a16:creationId xmlns:a16="http://schemas.microsoft.com/office/drawing/2014/main" id="{8AB65726-EC4F-4051-8A9D-3CE05E46E6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1819275"/>
          <a:ext cx="5534025" cy="3257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30</xdr:row>
      <xdr:rowOff>66675</xdr:rowOff>
    </xdr:from>
    <xdr:ext cx="5553075" cy="476250"/>
    <xdr:pic>
      <xdr:nvPicPr>
        <xdr:cNvPr id="3" name="image2.png" descr="img1_topo.png">
          <a:extLst>
            <a:ext uri="{FF2B5EF4-FFF2-40B4-BE49-F238E27FC236}">
              <a16:creationId xmlns:a16="http://schemas.microsoft.com/office/drawing/2014/main" id="{5A82BA79-3B3C-4583-BE2D-458A127B30F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09750" y="5495925"/>
          <a:ext cx="5553075" cy="4762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847725</xdr:colOff>
      <xdr:row>36</xdr:row>
      <xdr:rowOff>152400</xdr:rowOff>
    </xdr:from>
    <xdr:ext cx="2286000" cy="1733550"/>
    <xdr:pic>
      <xdr:nvPicPr>
        <xdr:cNvPr id="4" name="image1.png" descr="img2_venda.png">
          <a:extLst>
            <a:ext uri="{FF2B5EF4-FFF2-40B4-BE49-F238E27FC236}">
              <a16:creationId xmlns:a16="http://schemas.microsoft.com/office/drawing/2014/main" id="{95F4D41E-9FD3-42E6-8E7E-F7B172B4CFB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09750" y="6667500"/>
          <a:ext cx="2286000" cy="17335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809625</xdr:colOff>
      <xdr:row>49</xdr:row>
      <xdr:rowOff>114300</xdr:rowOff>
    </xdr:from>
    <xdr:ext cx="1609725" cy="1819275"/>
    <xdr:pic>
      <xdr:nvPicPr>
        <xdr:cNvPr id="5" name="image5.png" descr="img3_acumulado.png">
          <a:extLst>
            <a:ext uri="{FF2B5EF4-FFF2-40B4-BE49-F238E27FC236}">
              <a16:creationId xmlns:a16="http://schemas.microsoft.com/office/drawing/2014/main" id="{59C55EA9-E240-4BDC-AE70-61B62A45529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771650" y="8982075"/>
          <a:ext cx="1609725" cy="181927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62</xdr:row>
      <xdr:rowOff>152400</xdr:rowOff>
    </xdr:from>
    <xdr:ext cx="1647825" cy="1876425"/>
    <xdr:pic>
      <xdr:nvPicPr>
        <xdr:cNvPr id="6" name="image6.png" descr="img4_planejamento_tendencia.png">
          <a:extLst>
            <a:ext uri="{FF2B5EF4-FFF2-40B4-BE49-F238E27FC236}">
              <a16:creationId xmlns:a16="http://schemas.microsoft.com/office/drawing/2014/main" id="{0B453FF0-AE4A-4B27-92B1-AD76A914CB88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733550" y="11372850"/>
          <a:ext cx="1647825" cy="18764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771525</xdr:colOff>
      <xdr:row>76</xdr:row>
      <xdr:rowOff>0</xdr:rowOff>
    </xdr:from>
    <xdr:ext cx="2333625" cy="2105025"/>
    <xdr:pic>
      <xdr:nvPicPr>
        <xdr:cNvPr id="7" name="image3.png" descr="img5_conversao.png">
          <a:extLst>
            <a:ext uri="{FF2B5EF4-FFF2-40B4-BE49-F238E27FC236}">
              <a16:creationId xmlns:a16="http://schemas.microsoft.com/office/drawing/2014/main" id="{8F8A4BB7-6AFC-4F7C-ABD5-84A4AC6BAA47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733550" y="13754100"/>
          <a:ext cx="2333625" cy="2105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99B83-A5B9-467D-9949-7C3545F8E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0</xdr:colOff>
      <xdr:row>16</xdr:row>
      <xdr:rowOff>66675</xdr:rowOff>
    </xdr:from>
    <xdr:ext cx="4057650" cy="23145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B281A137-3303-41A8-9984-4E31D3607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3B703-2183-424D-AC93-03DC5502A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E0211-96C6-41A5-8339-139DF6484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996315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42F68-4491-4390-9626-F9FB0AA15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14</xdr:row>
      <xdr:rowOff>47625</xdr:rowOff>
    </xdr:from>
    <xdr:ext cx="4057650" cy="2314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F6A3F-9041-43D0-8955-E6C3ABBF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8B96-162D-46BE-8A14-AF4010EF5B58}">
  <dimension ref="A1:F1000"/>
  <sheetViews>
    <sheetView topLeftCell="A78" workbookViewId="0">
      <selection activeCell="B97" sqref="B97"/>
    </sheetView>
  </sheetViews>
  <sheetFormatPr defaultColWidth="14.42578125" defaultRowHeight="15" customHeight="1" x14ac:dyDescent="0.2"/>
  <cols>
    <col min="1" max="1" width="3.42578125" style="1" customWidth="1"/>
    <col min="2" max="2" width="125" style="1" customWidth="1"/>
    <col min="3" max="3" width="4.28515625" style="1" customWidth="1"/>
    <col min="4" max="6" width="9.140625" style="1" hidden="1" customWidth="1"/>
    <col min="7" max="26" width="8.7109375" style="1" customWidth="1"/>
    <col min="27" max="16384" width="14.42578125" style="1"/>
  </cols>
  <sheetData>
    <row r="1" spans="1:3" x14ac:dyDescent="0.25">
      <c r="A1" s="12"/>
      <c r="B1" s="13"/>
      <c r="C1" s="12"/>
    </row>
    <row r="2" spans="1:3" x14ac:dyDescent="0.25">
      <c r="A2" s="7"/>
      <c r="B2" s="11" t="s">
        <v>14</v>
      </c>
      <c r="C2" s="7"/>
    </row>
    <row r="3" spans="1:3" x14ac:dyDescent="0.25">
      <c r="A3" s="7"/>
      <c r="B3" s="10" t="s">
        <v>13</v>
      </c>
      <c r="C3" s="7"/>
    </row>
    <row r="4" spans="1:3" x14ac:dyDescent="0.25">
      <c r="A4" s="7"/>
      <c r="B4" s="9"/>
      <c r="C4" s="7"/>
    </row>
    <row r="5" spans="1:3" x14ac:dyDescent="0.25">
      <c r="A5" s="7"/>
      <c r="B5" s="8" t="s">
        <v>12</v>
      </c>
      <c r="C5" s="7"/>
    </row>
    <row r="6" spans="1:3" x14ac:dyDescent="0.25">
      <c r="A6" s="2"/>
      <c r="B6" s="3"/>
      <c r="C6" s="2"/>
    </row>
    <row r="7" spans="1:3" ht="17.25" x14ac:dyDescent="0.3">
      <c r="A7" s="2"/>
      <c r="B7" s="6" t="s">
        <v>11</v>
      </c>
      <c r="C7" s="2"/>
    </row>
    <row r="8" spans="1:3" x14ac:dyDescent="0.25">
      <c r="A8" s="2"/>
      <c r="B8" s="2"/>
      <c r="C8" s="2"/>
    </row>
    <row r="9" spans="1:3" ht="45" x14ac:dyDescent="0.25">
      <c r="A9" s="2"/>
      <c r="B9" s="3" t="s">
        <v>10</v>
      </c>
      <c r="C9" s="2"/>
    </row>
    <row r="10" spans="1:3" x14ac:dyDescent="0.25">
      <c r="A10" s="2"/>
      <c r="B10" s="2"/>
      <c r="C10" s="2"/>
    </row>
    <row r="11" spans="1:3" x14ac:dyDescent="0.25">
      <c r="A11" s="2"/>
      <c r="B11" s="5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ht="15.75" customHeight="1" x14ac:dyDescent="0.25">
      <c r="A21" s="2"/>
      <c r="B21" s="2"/>
      <c r="C21" s="2"/>
    </row>
    <row r="22" spans="1:3" ht="15.75" customHeight="1" x14ac:dyDescent="0.25">
      <c r="A22" s="2"/>
      <c r="B22" s="2"/>
      <c r="C22" s="2"/>
    </row>
    <row r="23" spans="1:3" ht="15.75" customHeight="1" x14ac:dyDescent="0.25">
      <c r="A23" s="2"/>
      <c r="B23" s="2"/>
      <c r="C23" s="2"/>
    </row>
    <row r="24" spans="1:3" ht="15.75" customHeight="1" x14ac:dyDescent="0.25">
      <c r="A24" s="2"/>
      <c r="B24" s="2"/>
      <c r="C24" s="2"/>
    </row>
    <row r="25" spans="1:3" ht="15.75" customHeight="1" x14ac:dyDescent="0.25">
      <c r="A25" s="2"/>
      <c r="B25" s="2"/>
      <c r="C25" s="2"/>
    </row>
    <row r="26" spans="1:3" ht="15.75" customHeight="1" x14ac:dyDescent="0.25">
      <c r="A26" s="2"/>
      <c r="B26" s="2"/>
      <c r="C26" s="2"/>
    </row>
    <row r="27" spans="1:3" ht="15.75" customHeight="1" x14ac:dyDescent="0.25">
      <c r="A27" s="2"/>
      <c r="B27" s="2"/>
      <c r="C27" s="2"/>
    </row>
    <row r="28" spans="1:3" ht="15.75" customHeight="1" x14ac:dyDescent="0.25">
      <c r="A28" s="2"/>
      <c r="B28" s="4" t="s">
        <v>9</v>
      </c>
      <c r="C28" s="2"/>
    </row>
    <row r="29" spans="1:3" ht="15.75" customHeight="1" x14ac:dyDescent="0.25">
      <c r="A29" s="2"/>
      <c r="B29" s="2" t="s">
        <v>8</v>
      </c>
      <c r="C29" s="2"/>
    </row>
    <row r="30" spans="1:3" ht="15.75" customHeight="1" x14ac:dyDescent="0.25">
      <c r="A30" s="2"/>
      <c r="B30" s="2"/>
      <c r="C30" s="2"/>
    </row>
    <row r="31" spans="1:3" ht="15.75" customHeight="1" x14ac:dyDescent="0.25">
      <c r="A31" s="2"/>
      <c r="B31" s="2"/>
      <c r="C31" s="2"/>
    </row>
    <row r="32" spans="1:3" ht="15.75" customHeight="1" x14ac:dyDescent="0.25">
      <c r="A32" s="2"/>
      <c r="B32" s="2"/>
      <c r="C32" s="2"/>
    </row>
    <row r="33" spans="1:3" ht="15.75" customHeight="1" x14ac:dyDescent="0.25">
      <c r="A33" s="2"/>
      <c r="B33" s="2"/>
      <c r="C33" s="2"/>
    </row>
    <row r="34" spans="1:3" ht="15.75" customHeight="1" x14ac:dyDescent="0.25">
      <c r="A34" s="2"/>
      <c r="B34" s="2"/>
      <c r="C34" s="2"/>
    </row>
    <row r="35" spans="1:3" ht="15.75" customHeight="1" x14ac:dyDescent="0.25">
      <c r="A35" s="2"/>
      <c r="B35" s="4" t="s">
        <v>7</v>
      </c>
      <c r="C35" s="2"/>
    </row>
    <row r="36" spans="1:3" ht="15.75" customHeight="1" x14ac:dyDescent="0.25">
      <c r="A36" s="2"/>
      <c r="B36" s="2" t="s">
        <v>6</v>
      </c>
      <c r="C36" s="2"/>
    </row>
    <row r="37" spans="1:3" ht="15.75" customHeight="1" x14ac:dyDescent="0.25">
      <c r="A37" s="2"/>
      <c r="B37" s="2"/>
      <c r="C37" s="2"/>
    </row>
    <row r="38" spans="1:3" ht="15.75" customHeight="1" x14ac:dyDescent="0.25">
      <c r="A38" s="2"/>
      <c r="B38" s="2"/>
      <c r="C38" s="2"/>
    </row>
    <row r="39" spans="1:3" ht="15.75" customHeight="1" x14ac:dyDescent="0.25">
      <c r="A39" s="2"/>
      <c r="B39" s="2"/>
      <c r="C39" s="2"/>
    </row>
    <row r="40" spans="1:3" ht="15.75" customHeight="1" x14ac:dyDescent="0.25">
      <c r="A40" s="2"/>
      <c r="B40" s="2"/>
      <c r="C40" s="2"/>
    </row>
    <row r="41" spans="1:3" ht="15.75" customHeight="1" x14ac:dyDescent="0.25">
      <c r="A41" s="2"/>
      <c r="B41" s="2"/>
      <c r="C41" s="2"/>
    </row>
    <row r="42" spans="1:3" ht="15.75" customHeight="1" x14ac:dyDescent="0.25">
      <c r="A42" s="2"/>
      <c r="B42" s="2"/>
      <c r="C42" s="2"/>
    </row>
    <row r="43" spans="1:3" ht="15.75" customHeight="1" x14ac:dyDescent="0.25">
      <c r="A43" s="2"/>
      <c r="B43" s="2"/>
      <c r="C43" s="2"/>
    </row>
    <row r="44" spans="1:3" ht="15.75" customHeight="1" x14ac:dyDescent="0.25">
      <c r="A44" s="2"/>
      <c r="B44" s="2"/>
      <c r="C44" s="2"/>
    </row>
    <row r="45" spans="1:3" ht="15.75" customHeight="1" x14ac:dyDescent="0.25">
      <c r="A45" s="2"/>
      <c r="B45" s="2"/>
      <c r="C45" s="2"/>
    </row>
    <row r="46" spans="1:3" ht="15.75" customHeight="1" x14ac:dyDescent="0.25">
      <c r="A46" s="2"/>
      <c r="B46" s="2"/>
      <c r="C46" s="2"/>
    </row>
    <row r="47" spans="1:3" ht="15.75" customHeight="1" x14ac:dyDescent="0.25">
      <c r="A47" s="2"/>
      <c r="B47" s="2"/>
      <c r="C47" s="2"/>
    </row>
    <row r="48" spans="1:3" ht="15.75" customHeight="1" x14ac:dyDescent="0.25">
      <c r="A48" s="2"/>
      <c r="B48" s="4" t="s">
        <v>5</v>
      </c>
      <c r="C48" s="2"/>
    </row>
    <row r="49" spans="1:3" ht="15.75" customHeight="1" x14ac:dyDescent="0.25">
      <c r="A49" s="2"/>
      <c r="B49" s="3" t="s">
        <v>4</v>
      </c>
      <c r="C49" s="2"/>
    </row>
    <row r="50" spans="1:3" ht="15.75" customHeight="1" x14ac:dyDescent="0.25">
      <c r="A50" s="2"/>
      <c r="B50" s="2"/>
      <c r="C50" s="2"/>
    </row>
    <row r="51" spans="1:3" ht="15.75" customHeight="1" x14ac:dyDescent="0.25">
      <c r="A51" s="2"/>
      <c r="B51" s="2"/>
      <c r="C51" s="2"/>
    </row>
    <row r="52" spans="1:3" ht="15.75" customHeight="1" x14ac:dyDescent="0.25">
      <c r="A52" s="2"/>
      <c r="B52" s="2"/>
      <c r="C52" s="2"/>
    </row>
    <row r="53" spans="1:3" ht="15.75" customHeight="1" x14ac:dyDescent="0.25">
      <c r="A53" s="2"/>
      <c r="B53" s="2"/>
      <c r="C53" s="2"/>
    </row>
    <row r="54" spans="1:3" ht="15.75" customHeight="1" x14ac:dyDescent="0.25">
      <c r="A54" s="2"/>
      <c r="B54" s="2"/>
      <c r="C54" s="2"/>
    </row>
    <row r="55" spans="1:3" ht="15.75" customHeight="1" x14ac:dyDescent="0.25">
      <c r="A55" s="2"/>
      <c r="B55" s="2"/>
      <c r="C55" s="2"/>
    </row>
    <row r="56" spans="1:3" ht="15.75" customHeight="1" x14ac:dyDescent="0.25">
      <c r="A56" s="2"/>
      <c r="B56" s="2"/>
      <c r="C56" s="2"/>
    </row>
    <row r="57" spans="1:3" ht="15.75" customHeight="1" x14ac:dyDescent="0.25">
      <c r="A57" s="2"/>
      <c r="B57" s="2"/>
      <c r="C57" s="2"/>
    </row>
    <row r="58" spans="1:3" ht="15.75" customHeight="1" x14ac:dyDescent="0.25">
      <c r="A58" s="2"/>
      <c r="B58" s="2"/>
      <c r="C58" s="2"/>
    </row>
    <row r="59" spans="1:3" ht="15.75" customHeight="1" x14ac:dyDescent="0.25">
      <c r="A59" s="2"/>
      <c r="B59" s="2"/>
      <c r="C59" s="2"/>
    </row>
    <row r="60" spans="1:3" ht="15.75" customHeight="1" x14ac:dyDescent="0.25">
      <c r="A60" s="2"/>
      <c r="B60" s="2"/>
      <c r="C60" s="2"/>
    </row>
    <row r="61" spans="1:3" ht="15.75" customHeight="1" x14ac:dyDescent="0.25">
      <c r="A61" s="2"/>
      <c r="B61" s="4" t="s">
        <v>3</v>
      </c>
      <c r="C61" s="2"/>
    </row>
    <row r="62" spans="1:3" ht="15.75" customHeight="1" x14ac:dyDescent="0.25">
      <c r="A62" s="2"/>
      <c r="B62" s="3" t="s">
        <v>2</v>
      </c>
      <c r="C62" s="2"/>
    </row>
    <row r="63" spans="1:3" ht="15.75" customHeight="1" x14ac:dyDescent="0.25">
      <c r="A63" s="2"/>
      <c r="B63" s="2"/>
      <c r="C63" s="2"/>
    </row>
    <row r="64" spans="1:3" ht="15.75" customHeight="1" x14ac:dyDescent="0.25">
      <c r="A64" s="2"/>
      <c r="B64" s="2"/>
      <c r="C64" s="2"/>
    </row>
    <row r="65" spans="1:3" ht="15.75" customHeight="1" x14ac:dyDescent="0.25">
      <c r="A65" s="2"/>
      <c r="B65" s="2"/>
      <c r="C65" s="2"/>
    </row>
    <row r="66" spans="1:3" ht="15.75" customHeight="1" x14ac:dyDescent="0.25">
      <c r="A66" s="2"/>
      <c r="B66" s="2"/>
      <c r="C66" s="2"/>
    </row>
    <row r="67" spans="1:3" ht="15.75" customHeight="1" x14ac:dyDescent="0.25">
      <c r="A67" s="2"/>
      <c r="B67" s="2"/>
      <c r="C67" s="2"/>
    </row>
    <row r="68" spans="1:3" ht="15.75" customHeight="1" x14ac:dyDescent="0.25">
      <c r="A68" s="2"/>
      <c r="B68" s="2"/>
      <c r="C68" s="2"/>
    </row>
    <row r="69" spans="1:3" ht="15.75" customHeight="1" x14ac:dyDescent="0.25">
      <c r="A69" s="2"/>
      <c r="B69" s="2"/>
      <c r="C69" s="2"/>
    </row>
    <row r="70" spans="1:3" ht="15.75" customHeight="1" x14ac:dyDescent="0.25">
      <c r="A70" s="2"/>
      <c r="B70" s="2"/>
      <c r="C70" s="2"/>
    </row>
    <row r="71" spans="1:3" ht="15.75" customHeight="1" x14ac:dyDescent="0.25">
      <c r="A71" s="2"/>
      <c r="B71" s="2"/>
      <c r="C71" s="2"/>
    </row>
    <row r="72" spans="1:3" ht="15.75" customHeight="1" x14ac:dyDescent="0.25">
      <c r="A72" s="2"/>
      <c r="B72" s="2"/>
      <c r="C72" s="2"/>
    </row>
    <row r="73" spans="1:3" ht="15.75" customHeight="1" x14ac:dyDescent="0.25">
      <c r="A73" s="2"/>
      <c r="B73" s="2"/>
      <c r="C73" s="2"/>
    </row>
    <row r="74" spans="1:3" ht="15.75" customHeight="1" x14ac:dyDescent="0.25">
      <c r="A74" s="2"/>
      <c r="B74" s="4" t="s">
        <v>1</v>
      </c>
      <c r="C74" s="2"/>
    </row>
    <row r="75" spans="1:3" ht="15.75" customHeight="1" x14ac:dyDescent="0.25">
      <c r="A75" s="2"/>
      <c r="B75" s="3" t="s">
        <v>0</v>
      </c>
      <c r="C75" s="2"/>
    </row>
    <row r="76" spans="1:3" ht="15.75" customHeight="1" x14ac:dyDescent="0.25">
      <c r="A76" s="2"/>
      <c r="B76" s="2"/>
      <c r="C76" s="2"/>
    </row>
    <row r="77" spans="1:3" ht="15.75" customHeight="1" x14ac:dyDescent="0.25">
      <c r="A77" s="2"/>
      <c r="B77" s="2"/>
      <c r="C77" s="2"/>
    </row>
    <row r="78" spans="1:3" ht="15.75" customHeight="1" x14ac:dyDescent="0.25">
      <c r="A78" s="2"/>
      <c r="B78" s="2"/>
      <c r="C78" s="2"/>
    </row>
    <row r="79" spans="1:3" ht="15.75" customHeight="1" x14ac:dyDescent="0.25">
      <c r="A79" s="2"/>
      <c r="B79" s="2"/>
      <c r="C79" s="2"/>
    </row>
    <row r="80" spans="1:3" ht="15.75" customHeight="1" x14ac:dyDescent="0.25">
      <c r="A80" s="2"/>
      <c r="B80" s="2"/>
      <c r="C80" s="2"/>
    </row>
    <row r="81" spans="1:3" ht="15.75" customHeight="1" x14ac:dyDescent="0.25">
      <c r="A81" s="2"/>
      <c r="B81" s="2"/>
      <c r="C81" s="2"/>
    </row>
    <row r="82" spans="1:3" ht="15.75" customHeight="1" x14ac:dyDescent="0.25">
      <c r="A82" s="2"/>
      <c r="B82" s="2"/>
      <c r="C82" s="2"/>
    </row>
    <row r="83" spans="1:3" ht="15.75" customHeight="1" x14ac:dyDescent="0.25">
      <c r="A83" s="2"/>
      <c r="B83" s="2"/>
      <c r="C83" s="2"/>
    </row>
    <row r="84" spans="1:3" ht="15.75" customHeight="1" x14ac:dyDescent="0.25">
      <c r="A84" s="2"/>
      <c r="B84" s="2"/>
      <c r="C84" s="2"/>
    </row>
    <row r="85" spans="1:3" ht="15.75" customHeight="1" x14ac:dyDescent="0.25">
      <c r="A85" s="2"/>
      <c r="B85" s="2"/>
      <c r="C85" s="2"/>
    </row>
    <row r="86" spans="1:3" ht="15.75" customHeight="1" x14ac:dyDescent="0.25">
      <c r="A86" s="2"/>
      <c r="B86" s="2"/>
      <c r="C86" s="2"/>
    </row>
    <row r="87" spans="1:3" ht="15.75" customHeight="1" x14ac:dyDescent="0.25">
      <c r="A87" s="2"/>
      <c r="B87" s="2"/>
      <c r="C87" s="2"/>
    </row>
    <row r="88" spans="1:3" ht="15.75" customHeight="1" x14ac:dyDescent="0.25">
      <c r="A88" s="2"/>
      <c r="B88" s="2"/>
      <c r="C88" s="2"/>
    </row>
    <row r="89" spans="1:3" ht="15.75" customHeight="1" x14ac:dyDescent="0.25">
      <c r="A89" s="2"/>
      <c r="B89" s="2"/>
      <c r="C89" s="2"/>
    </row>
    <row r="90" spans="1:3" ht="15.75" customHeight="1" x14ac:dyDescent="0.25">
      <c r="A90" s="2"/>
      <c r="B90" s="2"/>
      <c r="C90" s="2"/>
    </row>
    <row r="91" spans="1:3" ht="15.75" customHeight="1" x14ac:dyDescent="0.25">
      <c r="A91" s="2"/>
      <c r="B91" s="2"/>
      <c r="C91" s="2"/>
    </row>
    <row r="92" spans="1:3" ht="15.75" customHeight="1" x14ac:dyDescent="0.25">
      <c r="A92" s="2"/>
      <c r="B92" s="2"/>
      <c r="C92" s="2"/>
    </row>
    <row r="93" spans="1:3" ht="15.75" customHeight="1" x14ac:dyDescent="0.25">
      <c r="A93" s="2"/>
      <c r="B93" s="2"/>
      <c r="C93" s="2"/>
    </row>
    <row r="94" spans="1:3" ht="15.75" customHeight="1" x14ac:dyDescent="0.25">
      <c r="A94" s="2"/>
      <c r="B94" s="2"/>
      <c r="C94" s="2"/>
    </row>
    <row r="95" spans="1:3" ht="15.75" customHeight="1" x14ac:dyDescent="0.25">
      <c r="A95" s="2"/>
      <c r="B95" s="2"/>
      <c r="C95" s="2"/>
    </row>
    <row r="96" spans="1:3" ht="15.75" customHeight="1" x14ac:dyDescent="0.25">
      <c r="A96" s="2"/>
      <c r="B96" s="2"/>
      <c r="C96" s="2"/>
    </row>
    <row r="97" spans="1:3" ht="15.75" customHeight="1" x14ac:dyDescent="0.25">
      <c r="A97" s="2"/>
      <c r="B97" s="2"/>
      <c r="C97" s="2"/>
    </row>
    <row r="98" spans="1:3" ht="15.75" customHeight="1" x14ac:dyDescent="0.25">
      <c r="A98" s="2"/>
      <c r="B98" s="2"/>
      <c r="C98" s="2"/>
    </row>
    <row r="99" spans="1:3" ht="15.75" customHeight="1" x14ac:dyDescent="0.25">
      <c r="A99" s="2"/>
      <c r="B99" s="2"/>
      <c r="C99" s="2"/>
    </row>
    <row r="100" spans="1:3" ht="15.75" customHeight="1" x14ac:dyDescent="0.25">
      <c r="A100" s="2"/>
      <c r="B100" s="2"/>
      <c r="C100" s="2"/>
    </row>
    <row r="101" spans="1:3" ht="15.75" customHeight="1" x14ac:dyDescent="0.25">
      <c r="A101" s="2"/>
      <c r="B101" s="2"/>
      <c r="C101" s="2"/>
    </row>
    <row r="102" spans="1:3" ht="15.75" customHeight="1" x14ac:dyDescent="0.25">
      <c r="A102" s="2"/>
      <c r="B102" s="2"/>
      <c r="C102" s="2"/>
    </row>
    <row r="103" spans="1:3" ht="15.75" customHeight="1" x14ac:dyDescent="0.25">
      <c r="A103" s="2"/>
      <c r="B103" s="2"/>
      <c r="C103" s="2"/>
    </row>
    <row r="104" spans="1:3" ht="15.75" customHeight="1" x14ac:dyDescent="0.25">
      <c r="A104" s="2"/>
      <c r="B104" s="2"/>
      <c r="C104" s="2"/>
    </row>
    <row r="105" spans="1:3" ht="15.75" customHeight="1" x14ac:dyDescent="0.2"/>
    <row r="106" spans="1:3" ht="15.75" customHeight="1" x14ac:dyDescent="0.2"/>
    <row r="107" spans="1:3" ht="15.75" customHeight="1" x14ac:dyDescent="0.2"/>
    <row r="108" spans="1:3" ht="15.75" customHeight="1" x14ac:dyDescent="0.2"/>
    <row r="109" spans="1:3" ht="15.75" customHeight="1" x14ac:dyDescent="0.2"/>
    <row r="110" spans="1:3" ht="15.75" customHeight="1" x14ac:dyDescent="0.2"/>
    <row r="111" spans="1:3" ht="15.75" customHeight="1" x14ac:dyDescent="0.2"/>
    <row r="112" spans="1:3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D79A-5855-4BD2-9765-86E246AA1A37}">
  <dimension ref="A1:T1000"/>
  <sheetViews>
    <sheetView topLeftCell="A28" workbookViewId="0">
      <selection activeCell="O9" sqref="O9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163" t="s">
        <v>31</v>
      </c>
      <c r="C2" s="164"/>
      <c r="D2" s="164"/>
      <c r="E2" s="164"/>
      <c r="F2" s="164"/>
      <c r="G2" s="164"/>
      <c r="H2" s="164"/>
      <c r="I2" s="165"/>
      <c r="J2" s="74"/>
      <c r="K2" s="73" t="s">
        <v>30</v>
      </c>
      <c r="L2" s="166">
        <v>45292</v>
      </c>
      <c r="M2" s="167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168" t="s">
        <v>29</v>
      </c>
      <c r="C4" s="164"/>
      <c r="D4" s="169" t="s">
        <v>28</v>
      </c>
      <c r="E4" s="164"/>
      <c r="F4" s="167"/>
      <c r="G4" s="69"/>
      <c r="H4" s="68"/>
      <c r="I4" s="170" t="s">
        <v>27</v>
      </c>
      <c r="J4" s="164"/>
      <c r="K4" s="164"/>
      <c r="L4" s="171">
        <v>2000</v>
      </c>
      <c r="M4" s="167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172" t="s">
        <v>26</v>
      </c>
      <c r="C6" s="38"/>
      <c r="D6" s="174" t="s">
        <v>7</v>
      </c>
      <c r="E6" s="175"/>
      <c r="F6" s="176"/>
      <c r="G6" s="7"/>
      <c r="H6" s="177" t="s">
        <v>5</v>
      </c>
      <c r="I6" s="176"/>
      <c r="J6" s="7"/>
      <c r="K6" s="178" t="s">
        <v>25</v>
      </c>
      <c r="L6" s="180" t="s">
        <v>24</v>
      </c>
      <c r="M6" s="38"/>
      <c r="N6" s="181" t="s">
        <v>23</v>
      </c>
      <c r="O6" s="182" t="s">
        <v>22</v>
      </c>
      <c r="P6" s="161" t="s">
        <v>1</v>
      </c>
      <c r="Q6" s="7"/>
      <c r="R6" s="2"/>
      <c r="S6" s="2"/>
      <c r="T6" s="7"/>
    </row>
    <row r="7" spans="1:20" ht="15.75" thickBot="1" x14ac:dyDescent="0.3">
      <c r="A7" s="7"/>
      <c r="B7" s="173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179"/>
      <c r="L7" s="162"/>
      <c r="M7" s="38"/>
      <c r="N7" s="179"/>
      <c r="O7" s="183"/>
      <c r="P7" s="162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30</v>
      </c>
      <c r="E8" s="48">
        <f t="shared" ref="E8:E35" si="0">L$4/(COUNT(B$8:B$38))</f>
        <v>64.516129032258064</v>
      </c>
      <c r="F8" s="56">
        <f t="shared" ref="F8:F38" si="1">IF(D8,D8-E8,"")</f>
        <v>-34.516129032258064</v>
      </c>
      <c r="G8" s="7"/>
      <c r="H8" s="55">
        <f>D8</f>
        <v>30</v>
      </c>
      <c r="I8" s="54">
        <f>E8</f>
        <v>64.516129032258064</v>
      </c>
      <c r="J8" s="7"/>
      <c r="K8" s="49"/>
      <c r="L8" s="53">
        <f>D8</f>
        <v>30</v>
      </c>
      <c r="M8" s="38"/>
      <c r="N8" s="52">
        <v>1</v>
      </c>
      <c r="O8" s="51">
        <v>2</v>
      </c>
      <c r="P8" s="40">
        <f t="shared" ref="P8:P30" si="2">(O8/N8)</f>
        <v>2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20</v>
      </c>
      <c r="E9" s="48">
        <f t="shared" si="0"/>
        <v>64.516129032258064</v>
      </c>
      <c r="F9" s="56">
        <f t="shared" si="1"/>
        <v>-44.516129032258064</v>
      </c>
      <c r="G9" s="7"/>
      <c r="H9" s="55">
        <f t="shared" ref="H9:H30" si="3">D9+H8</f>
        <v>50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50</v>
      </c>
      <c r="M9" s="38"/>
      <c r="N9" s="52">
        <v>3</v>
      </c>
      <c r="O9" s="51">
        <v>2</v>
      </c>
      <c r="P9" s="40">
        <f t="shared" si="2"/>
        <v>0.66666666666666663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400</v>
      </c>
      <c r="E10" s="48">
        <f t="shared" si="0"/>
        <v>64.516129032258064</v>
      </c>
      <c r="F10" s="56">
        <f t="shared" si="1"/>
        <v>335.48387096774195</v>
      </c>
      <c r="G10" s="7"/>
      <c r="H10" s="55">
        <f t="shared" si="3"/>
        <v>450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450</v>
      </c>
      <c r="M10" s="38"/>
      <c r="N10" s="52">
        <v>4</v>
      </c>
      <c r="O10" s="51">
        <v>20</v>
      </c>
      <c r="P10" s="40">
        <f t="shared" si="2"/>
        <v>5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7</v>
      </c>
      <c r="E11" s="48">
        <f t="shared" si="0"/>
        <v>64.516129032258064</v>
      </c>
      <c r="F11" s="56">
        <f t="shared" si="1"/>
        <v>-57.516129032258064</v>
      </c>
      <c r="G11" s="7"/>
      <c r="H11" s="55">
        <f t="shared" si="3"/>
        <v>457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457</v>
      </c>
      <c r="M11" s="38"/>
      <c r="N11" s="52">
        <v>5</v>
      </c>
      <c r="O11" s="51">
        <v>3</v>
      </c>
      <c r="P11" s="40">
        <f t="shared" si="2"/>
        <v>0.6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80</v>
      </c>
      <c r="E12" s="48">
        <f t="shared" si="0"/>
        <v>64.516129032258064</v>
      </c>
      <c r="F12" s="56">
        <f t="shared" si="1"/>
        <v>15.483870967741936</v>
      </c>
      <c r="G12" s="7"/>
      <c r="H12" s="55">
        <f t="shared" si="3"/>
        <v>537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537</v>
      </c>
      <c r="M12" s="38"/>
      <c r="N12" s="52">
        <v>6</v>
      </c>
      <c r="O12" s="51">
        <v>3</v>
      </c>
      <c r="P12" s="40">
        <f t="shared" si="2"/>
        <v>0.5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45</v>
      </c>
      <c r="E13" s="48">
        <f t="shared" si="0"/>
        <v>64.516129032258064</v>
      </c>
      <c r="F13" s="56">
        <f t="shared" si="1"/>
        <v>-19.516129032258064</v>
      </c>
      <c r="G13" s="7"/>
      <c r="H13" s="55">
        <f t="shared" si="3"/>
        <v>582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582</v>
      </c>
      <c r="M13" s="38"/>
      <c r="N13" s="52">
        <v>8</v>
      </c>
      <c r="O13" s="51">
        <v>4</v>
      </c>
      <c r="P13" s="40">
        <f t="shared" si="2"/>
        <v>0.5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290</v>
      </c>
      <c r="E14" s="48">
        <f t="shared" si="0"/>
        <v>64.516129032258064</v>
      </c>
      <c r="F14" s="56">
        <f t="shared" si="1"/>
        <v>225.48387096774195</v>
      </c>
      <c r="G14" s="7"/>
      <c r="H14" s="55">
        <f t="shared" si="3"/>
        <v>872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872</v>
      </c>
      <c r="M14" s="38"/>
      <c r="N14" s="52">
        <v>3</v>
      </c>
      <c r="O14" s="51">
        <v>7</v>
      </c>
      <c r="P14" s="40">
        <f t="shared" si="2"/>
        <v>2.3333333333333335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10</v>
      </c>
      <c r="E15" s="48">
        <f t="shared" si="0"/>
        <v>64.516129032258064</v>
      </c>
      <c r="F15" s="56">
        <f t="shared" si="1"/>
        <v>-54.516129032258064</v>
      </c>
      <c r="G15" s="7"/>
      <c r="H15" s="55">
        <f t="shared" si="3"/>
        <v>882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882</v>
      </c>
      <c r="M15" s="38"/>
      <c r="N15" s="52">
        <v>5</v>
      </c>
      <c r="O15" s="51">
        <v>5</v>
      </c>
      <c r="P15" s="40">
        <f t="shared" si="2"/>
        <v>1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15</v>
      </c>
      <c r="E16" s="48">
        <f t="shared" si="0"/>
        <v>64.516129032258064</v>
      </c>
      <c r="F16" s="56">
        <f t="shared" si="1"/>
        <v>-49.516129032258064</v>
      </c>
      <c r="G16" s="7"/>
      <c r="H16" s="55">
        <f t="shared" si="3"/>
        <v>897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897</v>
      </c>
      <c r="M16" s="38"/>
      <c r="N16" s="52">
        <v>6</v>
      </c>
      <c r="O16" s="51">
        <v>2</v>
      </c>
      <c r="P16" s="40">
        <f t="shared" si="2"/>
        <v>0.33333333333333331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70</v>
      </c>
      <c r="E17" s="48">
        <f t="shared" si="0"/>
        <v>64.516129032258064</v>
      </c>
      <c r="F17" s="56">
        <f t="shared" si="1"/>
        <v>5.4838709677419359</v>
      </c>
      <c r="G17" s="7"/>
      <c r="H17" s="55">
        <f t="shared" si="3"/>
        <v>967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967</v>
      </c>
      <c r="M17" s="38"/>
      <c r="N17" s="52">
        <v>6</v>
      </c>
      <c r="O17" s="51">
        <v>1</v>
      </c>
      <c r="P17" s="40">
        <f t="shared" si="2"/>
        <v>0.16666666666666666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40</v>
      </c>
      <c r="E18" s="48">
        <f t="shared" si="0"/>
        <v>64.516129032258064</v>
      </c>
      <c r="F18" s="56">
        <f t="shared" si="1"/>
        <v>-24.516129032258064</v>
      </c>
      <c r="G18" s="7"/>
      <c r="H18" s="55">
        <f t="shared" si="3"/>
        <v>1007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1007</v>
      </c>
      <c r="M18" s="38"/>
      <c r="N18" s="52">
        <v>7</v>
      </c>
      <c r="O18" s="51">
        <v>2</v>
      </c>
      <c r="P18" s="40">
        <f t="shared" si="2"/>
        <v>0.2857142857142857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35</v>
      </c>
      <c r="E19" s="48">
        <f t="shared" si="0"/>
        <v>64.516129032258064</v>
      </c>
      <c r="F19" s="56">
        <f t="shared" si="1"/>
        <v>-29.516129032258064</v>
      </c>
      <c r="G19" s="7"/>
      <c r="H19" s="55">
        <f t="shared" si="3"/>
        <v>1042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1042</v>
      </c>
      <c r="M19" s="38"/>
      <c r="N19" s="52">
        <v>8</v>
      </c>
      <c r="O19" s="51">
        <v>14</v>
      </c>
      <c r="P19" s="40">
        <f t="shared" si="2"/>
        <v>1.75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20</v>
      </c>
      <c r="E20" s="48">
        <f t="shared" si="0"/>
        <v>64.516129032258064</v>
      </c>
      <c r="F20" s="56">
        <f t="shared" si="1"/>
        <v>-44.516129032258064</v>
      </c>
      <c r="G20" s="7"/>
      <c r="H20" s="55">
        <f t="shared" si="3"/>
        <v>1062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1062</v>
      </c>
      <c r="M20" s="38"/>
      <c r="N20" s="52">
        <v>9</v>
      </c>
      <c r="O20" s="51">
        <v>5</v>
      </c>
      <c r="P20" s="40">
        <f t="shared" si="2"/>
        <v>0.55555555555555558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15</v>
      </c>
      <c r="E21" s="48">
        <f t="shared" si="0"/>
        <v>64.516129032258064</v>
      </c>
      <c r="F21" s="56">
        <f t="shared" si="1"/>
        <v>-49.516129032258064</v>
      </c>
      <c r="G21" s="7"/>
      <c r="H21" s="55">
        <f t="shared" si="3"/>
        <v>1077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1077</v>
      </c>
      <c r="M21" s="38"/>
      <c r="N21" s="52">
        <v>2</v>
      </c>
      <c r="O21" s="51">
        <v>3</v>
      </c>
      <c r="P21" s="40">
        <f t="shared" si="2"/>
        <v>1.5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18</v>
      </c>
      <c r="E22" s="48">
        <f t="shared" si="0"/>
        <v>64.516129032258064</v>
      </c>
      <c r="F22" s="56">
        <f t="shared" si="1"/>
        <v>-46.516129032258064</v>
      </c>
      <c r="G22" s="7"/>
      <c r="H22" s="55">
        <f t="shared" si="3"/>
        <v>1095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1095</v>
      </c>
      <c r="M22" s="38"/>
      <c r="N22" s="52">
        <v>3</v>
      </c>
      <c r="O22" s="51">
        <v>3</v>
      </c>
      <c r="P22" s="40">
        <f t="shared" si="2"/>
        <v>1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90</v>
      </c>
      <c r="E23" s="48">
        <f t="shared" si="0"/>
        <v>64.516129032258064</v>
      </c>
      <c r="F23" s="56">
        <f t="shared" si="1"/>
        <v>25.483870967741936</v>
      </c>
      <c r="G23" s="7"/>
      <c r="H23" s="55">
        <f t="shared" si="3"/>
        <v>1185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1185</v>
      </c>
      <c r="M23" s="38"/>
      <c r="N23" s="52">
        <v>6</v>
      </c>
      <c r="O23" s="51">
        <v>2</v>
      </c>
      <c r="P23" s="40">
        <f t="shared" si="2"/>
        <v>0.33333333333333331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50</v>
      </c>
      <c r="E24" s="48">
        <f t="shared" si="0"/>
        <v>64.516129032258064</v>
      </c>
      <c r="F24" s="56">
        <f t="shared" si="1"/>
        <v>-14.516129032258064</v>
      </c>
      <c r="G24" s="7"/>
      <c r="H24" s="55">
        <f t="shared" si="3"/>
        <v>1235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1235</v>
      </c>
      <c r="M24" s="38"/>
      <c r="N24" s="52">
        <v>7</v>
      </c>
      <c r="O24" s="51">
        <v>3</v>
      </c>
      <c r="P24" s="40">
        <f t="shared" si="2"/>
        <v>0.42857142857142855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40</v>
      </c>
      <c r="E25" s="48">
        <f t="shared" si="0"/>
        <v>64.516129032258064</v>
      </c>
      <c r="F25" s="56">
        <f t="shared" si="1"/>
        <v>-24.516129032258064</v>
      </c>
      <c r="G25" s="7"/>
      <c r="H25" s="55">
        <f t="shared" si="3"/>
        <v>1275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1275</v>
      </c>
      <c r="M25" s="38"/>
      <c r="N25" s="52">
        <v>5</v>
      </c>
      <c r="O25" s="51">
        <v>5</v>
      </c>
      <c r="P25" s="40">
        <f t="shared" si="2"/>
        <v>1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20</v>
      </c>
      <c r="E26" s="48">
        <f t="shared" si="0"/>
        <v>64.516129032258064</v>
      </c>
      <c r="F26" s="56">
        <f t="shared" si="1"/>
        <v>-44.516129032258064</v>
      </c>
      <c r="G26" s="7"/>
      <c r="H26" s="55">
        <f t="shared" si="3"/>
        <v>1295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1295</v>
      </c>
      <c r="M26" s="38"/>
      <c r="N26" s="52">
        <v>5</v>
      </c>
      <c r="O26" s="51">
        <v>6</v>
      </c>
      <c r="P26" s="40">
        <f t="shared" si="2"/>
        <v>1.2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200</v>
      </c>
      <c r="E27" s="48">
        <f t="shared" si="0"/>
        <v>64.516129032258064</v>
      </c>
      <c r="F27" s="56">
        <f t="shared" si="1"/>
        <v>135.48387096774195</v>
      </c>
      <c r="G27" s="7"/>
      <c r="H27" s="55">
        <f t="shared" si="3"/>
        <v>1495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1495</v>
      </c>
      <c r="M27" s="38"/>
      <c r="N27" s="52">
        <v>5</v>
      </c>
      <c r="O27" s="51">
        <v>4</v>
      </c>
      <c r="P27" s="40">
        <f t="shared" si="2"/>
        <v>0.8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700</v>
      </c>
      <c r="E28" s="48">
        <f t="shared" si="0"/>
        <v>64.516129032258064</v>
      </c>
      <c r="F28" s="56">
        <f t="shared" si="1"/>
        <v>635.48387096774195</v>
      </c>
      <c r="G28" s="7"/>
      <c r="H28" s="55">
        <f t="shared" si="3"/>
        <v>2195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2195</v>
      </c>
      <c r="M28" s="38"/>
      <c r="N28" s="52">
        <v>4</v>
      </c>
      <c r="O28" s="51">
        <v>5</v>
      </c>
      <c r="P28" s="40">
        <f t="shared" si="2"/>
        <v>1.25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50</v>
      </c>
      <c r="E29" s="48">
        <f t="shared" si="0"/>
        <v>64.516129032258064</v>
      </c>
      <c r="F29" s="56">
        <f t="shared" si="1"/>
        <v>-14.516129032258064</v>
      </c>
      <c r="G29" s="7"/>
      <c r="H29" s="55">
        <f t="shared" si="3"/>
        <v>2245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2245</v>
      </c>
      <c r="M29" s="38"/>
      <c r="N29" s="52">
        <v>3</v>
      </c>
      <c r="O29" s="51">
        <v>3</v>
      </c>
      <c r="P29" s="40">
        <f t="shared" si="2"/>
        <v>1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200</v>
      </c>
      <c r="E30" s="48">
        <f t="shared" si="0"/>
        <v>64.516129032258064</v>
      </c>
      <c r="F30" s="56">
        <f t="shared" si="1"/>
        <v>135.48387096774195</v>
      </c>
      <c r="G30" s="7"/>
      <c r="H30" s="55">
        <f t="shared" si="3"/>
        <v>2445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2445</v>
      </c>
      <c r="M30" s="38"/>
      <c r="N30" s="52">
        <v>2</v>
      </c>
      <c r="O30" s="51">
        <v>4</v>
      </c>
      <c r="P30" s="40">
        <f t="shared" si="2"/>
        <v>2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9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2445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113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4">
      <c r="A40" s="19"/>
      <c r="B40" s="26"/>
      <c r="C40" s="25"/>
      <c r="D40" s="22" t="s">
        <v>16</v>
      </c>
      <c r="E40" s="24">
        <f>AVERAGE(D8:D30)</f>
        <v>106.30434782608695</v>
      </c>
      <c r="F40" s="23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4">
      <c r="A41" s="19"/>
      <c r="B41" s="2"/>
      <c r="C41" s="2"/>
      <c r="D41" s="21" t="s">
        <v>15</v>
      </c>
      <c r="E41" s="20">
        <f>VARA(D8:D30)</f>
        <v>26729.948616600792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"/>
    <row r="49" spans="5:6" ht="15.75" customHeight="1" x14ac:dyDescent="0.2"/>
    <row r="50" spans="5:6" ht="15.75" customHeight="1" x14ac:dyDescent="0.2"/>
    <row r="51" spans="5:6" ht="15.75" customHeight="1" x14ac:dyDescent="0.2"/>
    <row r="52" spans="5:6" ht="15.75" customHeight="1" x14ac:dyDescent="0.25">
      <c r="E52" s="15"/>
      <c r="F52" s="14"/>
    </row>
    <row r="53" spans="5:6" ht="15.75" customHeight="1" x14ac:dyDescent="0.25">
      <c r="E53" s="15"/>
      <c r="F53" s="14"/>
    </row>
    <row r="54" spans="5:6" ht="15.75" customHeight="1" x14ac:dyDescent="0.2"/>
    <row r="55" spans="5:6" ht="15.75" customHeight="1" x14ac:dyDescent="0.2"/>
    <row r="56" spans="5:6" ht="15.75" customHeight="1" x14ac:dyDescent="0.2"/>
    <row r="57" spans="5:6" ht="15.75" customHeight="1" x14ac:dyDescent="0.2"/>
    <row r="58" spans="5:6" ht="15.75" customHeight="1" x14ac:dyDescent="0.2"/>
    <row r="59" spans="5:6" ht="15.75" customHeight="1" x14ac:dyDescent="0.2"/>
    <row r="60" spans="5:6" ht="15.75" customHeight="1" x14ac:dyDescent="0.2"/>
    <row r="61" spans="5:6" ht="15.75" customHeight="1" x14ac:dyDescent="0.2"/>
    <row r="62" spans="5:6" ht="15.75" customHeight="1" x14ac:dyDescent="0.2"/>
    <row r="63" spans="5:6" ht="15.75" customHeight="1" x14ac:dyDescent="0.2"/>
    <row r="64" spans="5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ECBB-0B35-47AD-A506-3C60598DDA26}">
  <dimension ref="A1:T53"/>
  <sheetViews>
    <sheetView topLeftCell="A23" zoomScale="90" zoomScaleNormal="90" workbookViewId="0">
      <selection activeCell="N43" sqref="N43"/>
    </sheetView>
  </sheetViews>
  <sheetFormatPr defaultColWidth="9.140625" defaultRowHeight="16.5" customHeight="1" x14ac:dyDescent="0.25"/>
  <cols>
    <col min="1" max="1" width="9.140625" style="78"/>
    <col min="2" max="2" width="8.5703125" style="78" bestFit="1" customWidth="1"/>
    <col min="3" max="3" width="9.140625" style="78"/>
    <col min="4" max="4" width="22.5703125" style="78" bestFit="1" customWidth="1"/>
    <col min="5" max="5" width="10.140625" style="78" bestFit="1" customWidth="1"/>
    <col min="6" max="6" width="9.5703125" style="78" bestFit="1" customWidth="1"/>
    <col min="7" max="7" width="9.140625" style="78"/>
    <col min="8" max="8" width="9.5703125" style="78" bestFit="1" customWidth="1"/>
    <col min="9" max="9" width="9.7109375" style="78" bestFit="1" customWidth="1"/>
    <col min="10" max="10" width="9.140625" style="78"/>
    <col min="11" max="11" width="20" style="78" bestFit="1" customWidth="1"/>
    <col min="12" max="12" width="10.140625" style="78" bestFit="1" customWidth="1"/>
    <col min="13" max="13" width="9.140625" style="78"/>
    <col min="14" max="14" width="18.5703125" style="78" bestFit="1" customWidth="1"/>
    <col min="15" max="15" width="16.28515625" style="78" bestFit="1" customWidth="1"/>
    <col min="16" max="16" width="17.7109375" style="78" bestFit="1" customWidth="1"/>
    <col min="17" max="16384" width="9.140625" style="78"/>
  </cols>
  <sheetData>
    <row r="1" spans="1:20" s="130" customFormat="1" ht="16.5" customHeight="1" thickBot="1" x14ac:dyDescent="0.3"/>
    <row r="2" spans="1:20" s="130" customFormat="1" ht="16.5" customHeight="1" thickBot="1" x14ac:dyDescent="0.3">
      <c r="A2" s="131"/>
      <c r="B2" s="194" t="s">
        <v>31</v>
      </c>
      <c r="C2" s="195"/>
      <c r="D2" s="195"/>
      <c r="E2" s="195"/>
      <c r="F2" s="195"/>
      <c r="G2" s="195"/>
      <c r="H2" s="195"/>
      <c r="I2" s="196"/>
      <c r="J2" s="132"/>
      <c r="K2" s="133" t="s">
        <v>30</v>
      </c>
      <c r="L2" s="197">
        <v>45292</v>
      </c>
      <c r="M2" s="198"/>
      <c r="N2" s="134"/>
      <c r="O2" s="135"/>
      <c r="P2" s="136"/>
      <c r="Q2" s="136"/>
      <c r="R2" s="136"/>
      <c r="S2" s="136"/>
      <c r="T2" s="131"/>
    </row>
    <row r="3" spans="1:20" s="130" customFormat="1" ht="16.5" customHeight="1" thickBot="1" x14ac:dyDescent="0.3">
      <c r="A3" s="137"/>
      <c r="B3" s="138"/>
      <c r="C3" s="138"/>
      <c r="D3" s="138"/>
      <c r="E3" s="138"/>
      <c r="F3" s="138"/>
      <c r="G3" s="139"/>
      <c r="H3" s="140"/>
      <c r="I3" s="138"/>
      <c r="J3" s="138"/>
      <c r="K3" s="138"/>
      <c r="L3" s="138"/>
      <c r="M3" s="138"/>
      <c r="N3" s="136"/>
      <c r="O3" s="136"/>
      <c r="P3" s="136"/>
      <c r="Q3" s="136"/>
      <c r="R3" s="136"/>
      <c r="S3" s="136"/>
      <c r="T3" s="141"/>
    </row>
    <row r="4" spans="1:20" s="130" customFormat="1" ht="16.5" customHeight="1" thickBot="1" x14ac:dyDescent="0.3">
      <c r="A4" s="141"/>
      <c r="B4" s="199" t="s">
        <v>29</v>
      </c>
      <c r="C4" s="195"/>
      <c r="D4" s="200" t="s">
        <v>28</v>
      </c>
      <c r="E4" s="195"/>
      <c r="F4" s="198"/>
      <c r="G4" s="142"/>
      <c r="H4" s="143"/>
      <c r="I4" s="199" t="s">
        <v>27</v>
      </c>
      <c r="J4" s="195"/>
      <c r="K4" s="195"/>
      <c r="L4" s="201">
        <v>2000</v>
      </c>
      <c r="M4" s="198"/>
      <c r="N4" s="137"/>
      <c r="O4" s="136"/>
      <c r="P4" s="136"/>
      <c r="Q4" s="136"/>
      <c r="R4" s="136"/>
      <c r="S4" s="136"/>
      <c r="T4" s="141"/>
    </row>
    <row r="5" spans="1:20" s="130" customFormat="1" ht="16.5" customHeight="1" thickBot="1" x14ac:dyDescent="0.3">
      <c r="A5" s="137"/>
      <c r="B5" s="138"/>
      <c r="C5" s="144"/>
      <c r="D5" s="138"/>
      <c r="E5" s="138"/>
      <c r="F5" s="138"/>
      <c r="G5" s="145"/>
      <c r="H5" s="146"/>
      <c r="I5" s="138"/>
      <c r="J5" s="135"/>
      <c r="K5" s="138"/>
      <c r="L5" s="138"/>
      <c r="M5" s="144"/>
      <c r="N5" s="147"/>
      <c r="O5" s="147"/>
      <c r="P5" s="138"/>
      <c r="Q5" s="148"/>
      <c r="R5" s="136"/>
      <c r="S5" s="136"/>
      <c r="T5" s="141"/>
    </row>
    <row r="6" spans="1:20" s="130" customFormat="1" ht="16.5" customHeight="1" thickBot="1" x14ac:dyDescent="0.3">
      <c r="A6" s="141"/>
      <c r="B6" s="172" t="s">
        <v>26</v>
      </c>
      <c r="C6" s="149"/>
      <c r="D6" s="188" t="s">
        <v>7</v>
      </c>
      <c r="E6" s="189"/>
      <c r="F6" s="190"/>
      <c r="G6" s="141"/>
      <c r="H6" s="191" t="s">
        <v>5</v>
      </c>
      <c r="I6" s="190"/>
      <c r="J6" s="141"/>
      <c r="K6" s="192" t="s">
        <v>25</v>
      </c>
      <c r="L6" s="180" t="s">
        <v>24</v>
      </c>
      <c r="M6" s="149"/>
      <c r="N6" s="181" t="s">
        <v>23</v>
      </c>
      <c r="O6" s="184" t="s">
        <v>22</v>
      </c>
      <c r="P6" s="161" t="s">
        <v>1</v>
      </c>
      <c r="Q6" s="141"/>
      <c r="R6" s="136"/>
      <c r="S6" s="136"/>
      <c r="T6" s="141"/>
    </row>
    <row r="7" spans="1:20" ht="16.5" customHeight="1" thickBot="1" x14ac:dyDescent="0.3">
      <c r="A7" s="82"/>
      <c r="B7" s="187"/>
      <c r="C7" s="84"/>
      <c r="D7" s="85" t="s">
        <v>19</v>
      </c>
      <c r="E7" s="86" t="s">
        <v>21</v>
      </c>
      <c r="F7" s="87" t="s">
        <v>20</v>
      </c>
      <c r="G7" s="82"/>
      <c r="H7" s="88" t="s">
        <v>19</v>
      </c>
      <c r="I7" s="89" t="s">
        <v>18</v>
      </c>
      <c r="J7" s="82"/>
      <c r="K7" s="193"/>
      <c r="L7" s="186"/>
      <c r="M7" s="84"/>
      <c r="N7" s="193"/>
      <c r="O7" s="185"/>
      <c r="P7" s="186"/>
      <c r="Q7" s="82"/>
      <c r="R7" s="80"/>
      <c r="S7" s="80"/>
      <c r="T7" s="82"/>
    </row>
    <row r="8" spans="1:20" ht="16.5" customHeight="1" thickBot="1" x14ac:dyDescent="0.3">
      <c r="A8" s="82"/>
      <c r="B8" s="90">
        <f>L2</f>
        <v>45292</v>
      </c>
      <c r="C8" s="84"/>
      <c r="D8" s="91">
        <v>30</v>
      </c>
      <c r="E8" s="92">
        <f t="shared" ref="E8:E35" si="0">L$4/(COUNT(B$8:B$38))</f>
        <v>64.516129032258064</v>
      </c>
      <c r="F8" s="93">
        <f t="shared" ref="F8:F38" si="1">IF(D8,D8-E8,"")</f>
        <v>-34.516129032258064</v>
      </c>
      <c r="G8" s="82"/>
      <c r="H8" s="94">
        <f>D8</f>
        <v>30</v>
      </c>
      <c r="I8" s="95">
        <f>E8</f>
        <v>64.516129032258064</v>
      </c>
      <c r="J8" s="82"/>
      <c r="K8" s="91"/>
      <c r="L8" s="96">
        <f>D8</f>
        <v>30</v>
      </c>
      <c r="M8" s="84"/>
      <c r="N8" s="97">
        <v>1</v>
      </c>
      <c r="O8" s="98">
        <v>2</v>
      </c>
      <c r="P8" s="99">
        <f t="shared" ref="P8:P30" si="2">(O8/N8)</f>
        <v>2</v>
      </c>
      <c r="Q8" s="82"/>
      <c r="R8" s="80"/>
      <c r="S8" s="80"/>
      <c r="T8" s="82"/>
    </row>
    <row r="9" spans="1:20" ht="16.5" customHeight="1" thickBot="1" x14ac:dyDescent="0.3">
      <c r="A9" s="82"/>
      <c r="B9" s="90">
        <f>L2+1</f>
        <v>45293</v>
      </c>
      <c r="C9" s="84"/>
      <c r="D9" s="91">
        <v>20</v>
      </c>
      <c r="E9" s="92">
        <f t="shared" si="0"/>
        <v>64.516129032258064</v>
      </c>
      <c r="F9" s="93">
        <f t="shared" si="1"/>
        <v>-44.516129032258064</v>
      </c>
      <c r="G9" s="82"/>
      <c r="H9" s="94">
        <f t="shared" ref="H9:I30" si="3">D9+H8</f>
        <v>50</v>
      </c>
      <c r="I9" s="95">
        <f t="shared" si="3"/>
        <v>129.03225806451613</v>
      </c>
      <c r="J9" s="82"/>
      <c r="K9" s="91" t="str">
        <f t="shared" ref="K9:K30" si="4">IF(D9="",($E$39-H9)/(COUNT($B$8:$B$38)-COUNT($D$8:$D$38)),"")</f>
        <v/>
      </c>
      <c r="L9" s="96">
        <f t="shared" ref="L9:L30" si="5">IF(D9="",L8+E9,L8+D9)</f>
        <v>50</v>
      </c>
      <c r="M9" s="84"/>
      <c r="N9" s="97">
        <v>3</v>
      </c>
      <c r="O9" s="98">
        <v>2</v>
      </c>
      <c r="P9" s="99">
        <f t="shared" si="2"/>
        <v>0.66666666666666663</v>
      </c>
      <c r="Q9" s="82"/>
      <c r="R9" s="80"/>
      <c r="S9" s="80"/>
      <c r="T9" s="82"/>
    </row>
    <row r="10" spans="1:20" ht="16.5" customHeight="1" thickBot="1" x14ac:dyDescent="0.3">
      <c r="A10" s="82"/>
      <c r="B10" s="90">
        <f>L2+2</f>
        <v>45294</v>
      </c>
      <c r="C10" s="84"/>
      <c r="D10" s="91">
        <v>400</v>
      </c>
      <c r="E10" s="92">
        <f t="shared" si="0"/>
        <v>64.516129032258064</v>
      </c>
      <c r="F10" s="93">
        <f t="shared" si="1"/>
        <v>335.48387096774195</v>
      </c>
      <c r="G10" s="82"/>
      <c r="H10" s="94">
        <f t="shared" si="3"/>
        <v>450</v>
      </c>
      <c r="I10" s="95">
        <f t="shared" si="3"/>
        <v>193.54838709677421</v>
      </c>
      <c r="J10" s="82"/>
      <c r="K10" s="91" t="str">
        <f t="shared" si="4"/>
        <v/>
      </c>
      <c r="L10" s="96">
        <f t="shared" si="5"/>
        <v>450</v>
      </c>
      <c r="M10" s="84"/>
      <c r="N10" s="97">
        <v>4</v>
      </c>
      <c r="O10" s="98">
        <v>20</v>
      </c>
      <c r="P10" s="99">
        <f t="shared" si="2"/>
        <v>5</v>
      </c>
      <c r="Q10" s="82"/>
      <c r="R10" s="80"/>
      <c r="S10" s="80"/>
      <c r="T10" s="82"/>
    </row>
    <row r="11" spans="1:20" ht="16.5" customHeight="1" thickBot="1" x14ac:dyDescent="0.3">
      <c r="A11" s="82"/>
      <c r="B11" s="90">
        <f>L2+3</f>
        <v>45295</v>
      </c>
      <c r="C11" s="84"/>
      <c r="D11" s="91">
        <v>7</v>
      </c>
      <c r="E11" s="92">
        <f t="shared" si="0"/>
        <v>64.516129032258064</v>
      </c>
      <c r="F11" s="93">
        <f t="shared" si="1"/>
        <v>-57.516129032258064</v>
      </c>
      <c r="G11" s="82"/>
      <c r="H11" s="94">
        <f t="shared" si="3"/>
        <v>457</v>
      </c>
      <c r="I11" s="95">
        <f t="shared" si="3"/>
        <v>258.06451612903226</v>
      </c>
      <c r="J11" s="82"/>
      <c r="K11" s="91" t="str">
        <f t="shared" si="4"/>
        <v/>
      </c>
      <c r="L11" s="96">
        <f t="shared" si="5"/>
        <v>457</v>
      </c>
      <c r="M11" s="84"/>
      <c r="N11" s="97">
        <v>5</v>
      </c>
      <c r="O11" s="98">
        <v>3</v>
      </c>
      <c r="P11" s="99">
        <f t="shared" si="2"/>
        <v>0.6</v>
      </c>
      <c r="Q11" s="82"/>
      <c r="R11" s="80"/>
      <c r="S11" s="80"/>
      <c r="T11" s="82"/>
    </row>
    <row r="12" spans="1:20" ht="16.5" customHeight="1" thickBot="1" x14ac:dyDescent="0.3">
      <c r="A12" s="82"/>
      <c r="B12" s="90">
        <f>L2+4</f>
        <v>45296</v>
      </c>
      <c r="C12" s="84"/>
      <c r="D12" s="91">
        <v>80</v>
      </c>
      <c r="E12" s="92">
        <f t="shared" si="0"/>
        <v>64.516129032258064</v>
      </c>
      <c r="F12" s="93">
        <f t="shared" si="1"/>
        <v>15.483870967741936</v>
      </c>
      <c r="G12" s="82"/>
      <c r="H12" s="94">
        <f t="shared" si="3"/>
        <v>537</v>
      </c>
      <c r="I12" s="95">
        <f t="shared" si="3"/>
        <v>322.58064516129031</v>
      </c>
      <c r="J12" s="82"/>
      <c r="K12" s="91" t="str">
        <f t="shared" si="4"/>
        <v/>
      </c>
      <c r="L12" s="96">
        <f t="shared" si="5"/>
        <v>537</v>
      </c>
      <c r="M12" s="84"/>
      <c r="N12" s="97">
        <v>6</v>
      </c>
      <c r="O12" s="98">
        <v>3</v>
      </c>
      <c r="P12" s="99">
        <f t="shared" si="2"/>
        <v>0.5</v>
      </c>
      <c r="Q12" s="82"/>
      <c r="R12" s="80"/>
      <c r="S12" s="80"/>
      <c r="T12" s="82"/>
    </row>
    <row r="13" spans="1:20" ht="16.5" customHeight="1" thickBot="1" x14ac:dyDescent="0.3">
      <c r="A13" s="82"/>
      <c r="B13" s="90">
        <f>L2+5</f>
        <v>45297</v>
      </c>
      <c r="C13" s="84"/>
      <c r="D13" s="91">
        <v>45</v>
      </c>
      <c r="E13" s="92">
        <f t="shared" si="0"/>
        <v>64.516129032258064</v>
      </c>
      <c r="F13" s="93">
        <f t="shared" si="1"/>
        <v>-19.516129032258064</v>
      </c>
      <c r="G13" s="82"/>
      <c r="H13" s="94">
        <f t="shared" si="3"/>
        <v>582</v>
      </c>
      <c r="I13" s="95">
        <f t="shared" si="3"/>
        <v>387.09677419354836</v>
      </c>
      <c r="J13" s="82"/>
      <c r="K13" s="91" t="str">
        <f t="shared" si="4"/>
        <v/>
      </c>
      <c r="L13" s="96">
        <f t="shared" si="5"/>
        <v>582</v>
      </c>
      <c r="M13" s="84"/>
      <c r="N13" s="97">
        <v>8</v>
      </c>
      <c r="O13" s="98">
        <v>4</v>
      </c>
      <c r="P13" s="99">
        <f t="shared" si="2"/>
        <v>0.5</v>
      </c>
      <c r="Q13" s="82"/>
      <c r="R13" s="80"/>
      <c r="S13" s="80"/>
      <c r="T13" s="82"/>
    </row>
    <row r="14" spans="1:20" ht="16.5" customHeight="1" thickBot="1" x14ac:dyDescent="0.3">
      <c r="A14" s="82"/>
      <c r="B14" s="90">
        <f>L2+6</f>
        <v>45298</v>
      </c>
      <c r="C14" s="84"/>
      <c r="D14" s="91">
        <v>290</v>
      </c>
      <c r="E14" s="92">
        <f t="shared" si="0"/>
        <v>64.516129032258064</v>
      </c>
      <c r="F14" s="93">
        <f t="shared" si="1"/>
        <v>225.48387096774195</v>
      </c>
      <c r="G14" s="82"/>
      <c r="H14" s="94">
        <f t="shared" si="3"/>
        <v>872</v>
      </c>
      <c r="I14" s="95">
        <f t="shared" si="3"/>
        <v>451.61290322580641</v>
      </c>
      <c r="J14" s="82"/>
      <c r="K14" s="91" t="str">
        <f t="shared" si="4"/>
        <v/>
      </c>
      <c r="L14" s="96">
        <f t="shared" si="5"/>
        <v>872</v>
      </c>
      <c r="M14" s="84"/>
      <c r="N14" s="97">
        <v>3</v>
      </c>
      <c r="O14" s="98">
        <v>7</v>
      </c>
      <c r="P14" s="99">
        <f t="shared" si="2"/>
        <v>2.3333333333333335</v>
      </c>
      <c r="Q14" s="82"/>
      <c r="R14" s="80"/>
      <c r="S14" s="80"/>
      <c r="T14" s="82"/>
    </row>
    <row r="15" spans="1:20" ht="16.5" customHeight="1" thickBot="1" x14ac:dyDescent="0.3">
      <c r="A15" s="82"/>
      <c r="B15" s="90">
        <f>L2+7</f>
        <v>45299</v>
      </c>
      <c r="C15" s="84"/>
      <c r="D15" s="91">
        <v>10</v>
      </c>
      <c r="E15" s="92">
        <f t="shared" si="0"/>
        <v>64.516129032258064</v>
      </c>
      <c r="F15" s="93">
        <f t="shared" si="1"/>
        <v>-54.516129032258064</v>
      </c>
      <c r="G15" s="82"/>
      <c r="H15" s="94">
        <f t="shared" si="3"/>
        <v>882</v>
      </c>
      <c r="I15" s="95">
        <f t="shared" si="3"/>
        <v>516.12903225806451</v>
      </c>
      <c r="J15" s="82"/>
      <c r="K15" s="91" t="str">
        <f t="shared" si="4"/>
        <v/>
      </c>
      <c r="L15" s="96">
        <f t="shared" si="5"/>
        <v>882</v>
      </c>
      <c r="M15" s="84"/>
      <c r="N15" s="97">
        <v>5</v>
      </c>
      <c r="O15" s="98">
        <v>5</v>
      </c>
      <c r="P15" s="99">
        <f t="shared" si="2"/>
        <v>1</v>
      </c>
      <c r="Q15" s="82"/>
      <c r="R15" s="80"/>
      <c r="S15" s="80"/>
      <c r="T15" s="82"/>
    </row>
    <row r="16" spans="1:20" ht="16.5" customHeight="1" thickBot="1" x14ac:dyDescent="0.3">
      <c r="A16" s="82"/>
      <c r="B16" s="90">
        <f>L2+8</f>
        <v>45300</v>
      </c>
      <c r="C16" s="84"/>
      <c r="D16" s="91">
        <v>15</v>
      </c>
      <c r="E16" s="92">
        <f t="shared" si="0"/>
        <v>64.516129032258064</v>
      </c>
      <c r="F16" s="93">
        <f t="shared" si="1"/>
        <v>-49.516129032258064</v>
      </c>
      <c r="G16" s="82"/>
      <c r="H16" s="94">
        <f t="shared" si="3"/>
        <v>897</v>
      </c>
      <c r="I16" s="95">
        <f t="shared" si="3"/>
        <v>580.64516129032256</v>
      </c>
      <c r="J16" s="82"/>
      <c r="K16" s="91" t="str">
        <f t="shared" si="4"/>
        <v/>
      </c>
      <c r="L16" s="96">
        <f t="shared" si="5"/>
        <v>897</v>
      </c>
      <c r="M16" s="84"/>
      <c r="N16" s="97">
        <v>6</v>
      </c>
      <c r="O16" s="98">
        <v>2</v>
      </c>
      <c r="P16" s="99">
        <f t="shared" si="2"/>
        <v>0.33333333333333331</v>
      </c>
      <c r="Q16" s="82"/>
      <c r="R16" s="80"/>
      <c r="S16" s="80"/>
      <c r="T16" s="82"/>
    </row>
    <row r="17" spans="1:20" ht="16.5" customHeight="1" thickBot="1" x14ac:dyDescent="0.3">
      <c r="A17" s="82"/>
      <c r="B17" s="90">
        <f>L2+9</f>
        <v>45301</v>
      </c>
      <c r="C17" s="84"/>
      <c r="D17" s="91">
        <v>70</v>
      </c>
      <c r="E17" s="92">
        <f t="shared" si="0"/>
        <v>64.516129032258064</v>
      </c>
      <c r="F17" s="93">
        <f t="shared" si="1"/>
        <v>5.4838709677419359</v>
      </c>
      <c r="G17" s="82"/>
      <c r="H17" s="94">
        <f t="shared" si="3"/>
        <v>967</v>
      </c>
      <c r="I17" s="95">
        <f t="shared" si="3"/>
        <v>645.16129032258061</v>
      </c>
      <c r="J17" s="82"/>
      <c r="K17" s="91" t="str">
        <f t="shared" si="4"/>
        <v/>
      </c>
      <c r="L17" s="96">
        <f t="shared" si="5"/>
        <v>967</v>
      </c>
      <c r="M17" s="84"/>
      <c r="N17" s="97">
        <v>6</v>
      </c>
      <c r="O17" s="98">
        <v>1</v>
      </c>
      <c r="P17" s="99">
        <f t="shared" si="2"/>
        <v>0.16666666666666666</v>
      </c>
      <c r="Q17" s="82"/>
      <c r="R17" s="80"/>
      <c r="S17" s="80"/>
      <c r="T17" s="82"/>
    </row>
    <row r="18" spans="1:20" ht="16.5" customHeight="1" thickBot="1" x14ac:dyDescent="0.3">
      <c r="A18" s="82"/>
      <c r="B18" s="90">
        <f>L2+10</f>
        <v>45302</v>
      </c>
      <c r="C18" s="84"/>
      <c r="D18" s="91">
        <v>40</v>
      </c>
      <c r="E18" s="92">
        <f t="shared" si="0"/>
        <v>64.516129032258064</v>
      </c>
      <c r="F18" s="93">
        <f t="shared" si="1"/>
        <v>-24.516129032258064</v>
      </c>
      <c r="G18" s="82"/>
      <c r="H18" s="94">
        <f t="shared" si="3"/>
        <v>1007</v>
      </c>
      <c r="I18" s="95">
        <f t="shared" si="3"/>
        <v>709.67741935483866</v>
      </c>
      <c r="J18" s="82"/>
      <c r="K18" s="91" t="str">
        <f t="shared" si="4"/>
        <v/>
      </c>
      <c r="L18" s="96">
        <f t="shared" si="5"/>
        <v>1007</v>
      </c>
      <c r="M18" s="84"/>
      <c r="N18" s="97">
        <v>7</v>
      </c>
      <c r="O18" s="98">
        <v>2</v>
      </c>
      <c r="P18" s="99">
        <f t="shared" si="2"/>
        <v>0.2857142857142857</v>
      </c>
      <c r="Q18" s="82"/>
      <c r="R18" s="80"/>
      <c r="S18" s="80"/>
      <c r="T18" s="82"/>
    </row>
    <row r="19" spans="1:20" ht="16.5" customHeight="1" thickBot="1" x14ac:dyDescent="0.3">
      <c r="A19" s="82"/>
      <c r="B19" s="90">
        <f>L2+11</f>
        <v>45303</v>
      </c>
      <c r="C19" s="84"/>
      <c r="D19" s="91">
        <v>35</v>
      </c>
      <c r="E19" s="92">
        <f t="shared" si="0"/>
        <v>64.516129032258064</v>
      </c>
      <c r="F19" s="93">
        <f t="shared" si="1"/>
        <v>-29.516129032258064</v>
      </c>
      <c r="G19" s="82"/>
      <c r="H19" s="94">
        <f t="shared" si="3"/>
        <v>1042</v>
      </c>
      <c r="I19" s="95">
        <f t="shared" si="3"/>
        <v>774.19354838709671</v>
      </c>
      <c r="J19" s="82"/>
      <c r="K19" s="91" t="str">
        <f t="shared" si="4"/>
        <v/>
      </c>
      <c r="L19" s="96">
        <f t="shared" si="5"/>
        <v>1042</v>
      </c>
      <c r="M19" s="84"/>
      <c r="N19" s="97">
        <v>8</v>
      </c>
      <c r="O19" s="98">
        <v>14</v>
      </c>
      <c r="P19" s="99">
        <f t="shared" si="2"/>
        <v>1.75</v>
      </c>
      <c r="Q19" s="82"/>
      <c r="R19" s="80"/>
      <c r="S19" s="80"/>
      <c r="T19" s="82"/>
    </row>
    <row r="20" spans="1:20" ht="16.5" customHeight="1" thickBot="1" x14ac:dyDescent="0.3">
      <c r="A20" s="82"/>
      <c r="B20" s="90">
        <f>L2+12</f>
        <v>45304</v>
      </c>
      <c r="C20" s="84"/>
      <c r="D20" s="91">
        <v>20</v>
      </c>
      <c r="E20" s="92">
        <f t="shared" si="0"/>
        <v>64.516129032258064</v>
      </c>
      <c r="F20" s="93">
        <f t="shared" si="1"/>
        <v>-44.516129032258064</v>
      </c>
      <c r="G20" s="82"/>
      <c r="H20" s="94">
        <f t="shared" si="3"/>
        <v>1062</v>
      </c>
      <c r="I20" s="95">
        <f t="shared" si="3"/>
        <v>838.70967741935476</v>
      </c>
      <c r="J20" s="82"/>
      <c r="K20" s="91" t="str">
        <f t="shared" si="4"/>
        <v/>
      </c>
      <c r="L20" s="96">
        <f t="shared" si="5"/>
        <v>1062</v>
      </c>
      <c r="M20" s="84"/>
      <c r="N20" s="97">
        <v>9</v>
      </c>
      <c r="O20" s="98">
        <v>5</v>
      </c>
      <c r="P20" s="99">
        <f t="shared" si="2"/>
        <v>0.55555555555555558</v>
      </c>
      <c r="Q20" s="82"/>
      <c r="R20" s="80"/>
      <c r="S20" s="80"/>
      <c r="T20" s="82"/>
    </row>
    <row r="21" spans="1:20" ht="16.5" customHeight="1" thickBot="1" x14ac:dyDescent="0.3">
      <c r="A21" s="82"/>
      <c r="B21" s="90">
        <f>L2+13</f>
        <v>45305</v>
      </c>
      <c r="C21" s="84"/>
      <c r="D21" s="91">
        <v>15</v>
      </c>
      <c r="E21" s="92">
        <f t="shared" si="0"/>
        <v>64.516129032258064</v>
      </c>
      <c r="F21" s="93">
        <f t="shared" si="1"/>
        <v>-49.516129032258064</v>
      </c>
      <c r="G21" s="82"/>
      <c r="H21" s="94">
        <f t="shared" si="3"/>
        <v>1077</v>
      </c>
      <c r="I21" s="95">
        <f t="shared" si="3"/>
        <v>903.22580645161281</v>
      </c>
      <c r="J21" s="82"/>
      <c r="K21" s="91" t="str">
        <f t="shared" si="4"/>
        <v/>
      </c>
      <c r="L21" s="96">
        <f t="shared" si="5"/>
        <v>1077</v>
      </c>
      <c r="M21" s="84"/>
      <c r="N21" s="97">
        <v>2</v>
      </c>
      <c r="O21" s="98">
        <v>3</v>
      </c>
      <c r="P21" s="99">
        <f t="shared" si="2"/>
        <v>1.5</v>
      </c>
      <c r="Q21" s="82"/>
      <c r="R21" s="80"/>
      <c r="S21" s="80"/>
      <c r="T21" s="82"/>
    </row>
    <row r="22" spans="1:20" ht="16.5" customHeight="1" thickBot="1" x14ac:dyDescent="0.3">
      <c r="A22" s="82"/>
      <c r="B22" s="90">
        <f>L2+14</f>
        <v>45306</v>
      </c>
      <c r="C22" s="84"/>
      <c r="D22" s="91">
        <v>18</v>
      </c>
      <c r="E22" s="92">
        <f t="shared" si="0"/>
        <v>64.516129032258064</v>
      </c>
      <c r="F22" s="93">
        <f t="shared" si="1"/>
        <v>-46.516129032258064</v>
      </c>
      <c r="G22" s="82"/>
      <c r="H22" s="94">
        <f t="shared" si="3"/>
        <v>1095</v>
      </c>
      <c r="I22" s="95">
        <f t="shared" si="3"/>
        <v>967.74193548387086</v>
      </c>
      <c r="J22" s="82"/>
      <c r="K22" s="91" t="str">
        <f t="shared" si="4"/>
        <v/>
      </c>
      <c r="L22" s="96">
        <f t="shared" si="5"/>
        <v>1095</v>
      </c>
      <c r="M22" s="84"/>
      <c r="N22" s="97">
        <v>3</v>
      </c>
      <c r="O22" s="98">
        <v>3</v>
      </c>
      <c r="P22" s="99">
        <f t="shared" si="2"/>
        <v>1</v>
      </c>
      <c r="Q22" s="82"/>
      <c r="R22" s="80"/>
      <c r="S22" s="80"/>
      <c r="T22" s="82"/>
    </row>
    <row r="23" spans="1:20" ht="16.5" customHeight="1" thickBot="1" x14ac:dyDescent="0.3">
      <c r="A23" s="82"/>
      <c r="B23" s="90">
        <f>L2+15</f>
        <v>45307</v>
      </c>
      <c r="C23" s="84"/>
      <c r="D23" s="91">
        <v>90</v>
      </c>
      <c r="E23" s="92">
        <f t="shared" si="0"/>
        <v>64.516129032258064</v>
      </c>
      <c r="F23" s="93">
        <f t="shared" si="1"/>
        <v>25.483870967741936</v>
      </c>
      <c r="G23" s="82"/>
      <c r="H23" s="94">
        <f t="shared" si="3"/>
        <v>1185</v>
      </c>
      <c r="I23" s="95">
        <f t="shared" si="3"/>
        <v>1032.258064516129</v>
      </c>
      <c r="J23" s="82"/>
      <c r="K23" s="91" t="str">
        <f t="shared" si="4"/>
        <v/>
      </c>
      <c r="L23" s="96">
        <f t="shared" si="5"/>
        <v>1185</v>
      </c>
      <c r="M23" s="84"/>
      <c r="N23" s="97">
        <v>6</v>
      </c>
      <c r="O23" s="98">
        <v>2</v>
      </c>
      <c r="P23" s="99">
        <f t="shared" si="2"/>
        <v>0.33333333333333331</v>
      </c>
      <c r="Q23" s="82"/>
      <c r="R23" s="80"/>
      <c r="S23" s="80"/>
      <c r="T23" s="82"/>
    </row>
    <row r="24" spans="1:20" ht="16.5" customHeight="1" thickBot="1" x14ac:dyDescent="0.3">
      <c r="A24" s="82"/>
      <c r="B24" s="90">
        <f>L2+16</f>
        <v>45308</v>
      </c>
      <c r="C24" s="84"/>
      <c r="D24" s="91">
        <v>50</v>
      </c>
      <c r="E24" s="92">
        <f t="shared" si="0"/>
        <v>64.516129032258064</v>
      </c>
      <c r="F24" s="93">
        <f t="shared" si="1"/>
        <v>-14.516129032258064</v>
      </c>
      <c r="G24" s="82"/>
      <c r="H24" s="94">
        <f t="shared" si="3"/>
        <v>1235</v>
      </c>
      <c r="I24" s="95">
        <f t="shared" si="3"/>
        <v>1096.7741935483871</v>
      </c>
      <c r="J24" s="82"/>
      <c r="K24" s="91" t="str">
        <f t="shared" si="4"/>
        <v/>
      </c>
      <c r="L24" s="96">
        <f t="shared" si="5"/>
        <v>1235</v>
      </c>
      <c r="M24" s="84"/>
      <c r="N24" s="97">
        <v>7</v>
      </c>
      <c r="O24" s="98">
        <v>3</v>
      </c>
      <c r="P24" s="99">
        <f t="shared" si="2"/>
        <v>0.42857142857142855</v>
      </c>
      <c r="Q24" s="82"/>
      <c r="R24" s="80"/>
      <c r="S24" s="80"/>
      <c r="T24" s="82"/>
    </row>
    <row r="25" spans="1:20" ht="16.5" customHeight="1" thickBot="1" x14ac:dyDescent="0.3">
      <c r="A25" s="82"/>
      <c r="B25" s="90">
        <f>L2+17</f>
        <v>45309</v>
      </c>
      <c r="C25" s="84"/>
      <c r="D25" s="91">
        <v>40</v>
      </c>
      <c r="E25" s="92">
        <f t="shared" si="0"/>
        <v>64.516129032258064</v>
      </c>
      <c r="F25" s="93">
        <f t="shared" si="1"/>
        <v>-24.516129032258064</v>
      </c>
      <c r="G25" s="82"/>
      <c r="H25" s="94">
        <f t="shared" si="3"/>
        <v>1275</v>
      </c>
      <c r="I25" s="95">
        <f t="shared" si="3"/>
        <v>1161.2903225806451</v>
      </c>
      <c r="J25" s="82"/>
      <c r="K25" s="91" t="str">
        <f t="shared" si="4"/>
        <v/>
      </c>
      <c r="L25" s="96">
        <f t="shared" si="5"/>
        <v>1275</v>
      </c>
      <c r="M25" s="84"/>
      <c r="N25" s="97">
        <v>5</v>
      </c>
      <c r="O25" s="98">
        <v>5</v>
      </c>
      <c r="P25" s="99">
        <f t="shared" si="2"/>
        <v>1</v>
      </c>
      <c r="Q25" s="82"/>
      <c r="R25" s="80"/>
      <c r="S25" s="80"/>
      <c r="T25" s="82"/>
    </row>
    <row r="26" spans="1:20" ht="16.5" customHeight="1" thickBot="1" x14ac:dyDescent="0.3">
      <c r="A26" s="82"/>
      <c r="B26" s="90">
        <f>L2+18</f>
        <v>45310</v>
      </c>
      <c r="C26" s="84"/>
      <c r="D26" s="91">
        <v>20</v>
      </c>
      <c r="E26" s="92">
        <f t="shared" si="0"/>
        <v>64.516129032258064</v>
      </c>
      <c r="F26" s="93">
        <f t="shared" si="1"/>
        <v>-44.516129032258064</v>
      </c>
      <c r="G26" s="82"/>
      <c r="H26" s="94">
        <f t="shared" si="3"/>
        <v>1295</v>
      </c>
      <c r="I26" s="95">
        <f t="shared" si="3"/>
        <v>1225.8064516129032</v>
      </c>
      <c r="J26" s="82"/>
      <c r="K26" s="91" t="str">
        <f t="shared" si="4"/>
        <v/>
      </c>
      <c r="L26" s="96">
        <f t="shared" si="5"/>
        <v>1295</v>
      </c>
      <c r="M26" s="84"/>
      <c r="N26" s="97">
        <v>5</v>
      </c>
      <c r="O26" s="98">
        <v>6</v>
      </c>
      <c r="P26" s="99">
        <f t="shared" si="2"/>
        <v>1.2</v>
      </c>
      <c r="Q26" s="82"/>
      <c r="R26" s="80"/>
      <c r="S26" s="80"/>
      <c r="T26" s="82"/>
    </row>
    <row r="27" spans="1:20" ht="16.5" customHeight="1" thickBot="1" x14ac:dyDescent="0.3">
      <c r="A27" s="82"/>
      <c r="B27" s="90">
        <f>L2+19</f>
        <v>45311</v>
      </c>
      <c r="C27" s="84"/>
      <c r="D27" s="91">
        <v>200</v>
      </c>
      <c r="E27" s="92">
        <f t="shared" si="0"/>
        <v>64.516129032258064</v>
      </c>
      <c r="F27" s="93">
        <f t="shared" si="1"/>
        <v>135.48387096774195</v>
      </c>
      <c r="G27" s="82"/>
      <c r="H27" s="94">
        <f t="shared" si="3"/>
        <v>1495</v>
      </c>
      <c r="I27" s="95">
        <f t="shared" si="3"/>
        <v>1290.3225806451612</v>
      </c>
      <c r="J27" s="82"/>
      <c r="K27" s="91" t="str">
        <f t="shared" si="4"/>
        <v/>
      </c>
      <c r="L27" s="96">
        <f t="shared" si="5"/>
        <v>1495</v>
      </c>
      <c r="M27" s="84"/>
      <c r="N27" s="97">
        <v>5</v>
      </c>
      <c r="O27" s="98">
        <v>4</v>
      </c>
      <c r="P27" s="99">
        <f t="shared" si="2"/>
        <v>0.8</v>
      </c>
      <c r="Q27" s="82"/>
      <c r="R27" s="80"/>
      <c r="S27" s="80"/>
      <c r="T27" s="82"/>
    </row>
    <row r="28" spans="1:20" ht="16.5" customHeight="1" thickBot="1" x14ac:dyDescent="0.3">
      <c r="A28" s="82"/>
      <c r="B28" s="90">
        <f>L2+20</f>
        <v>45312</v>
      </c>
      <c r="C28" s="84"/>
      <c r="D28" s="91">
        <v>700</v>
      </c>
      <c r="E28" s="92">
        <f t="shared" si="0"/>
        <v>64.516129032258064</v>
      </c>
      <c r="F28" s="93">
        <f t="shared" si="1"/>
        <v>635.48387096774195</v>
      </c>
      <c r="G28" s="82"/>
      <c r="H28" s="94">
        <f t="shared" si="3"/>
        <v>2195</v>
      </c>
      <c r="I28" s="95">
        <f t="shared" si="3"/>
        <v>1354.8387096774193</v>
      </c>
      <c r="J28" s="82"/>
      <c r="K28" s="91" t="str">
        <f t="shared" si="4"/>
        <v/>
      </c>
      <c r="L28" s="96">
        <f t="shared" si="5"/>
        <v>2195</v>
      </c>
      <c r="M28" s="84"/>
      <c r="N28" s="97">
        <v>4</v>
      </c>
      <c r="O28" s="98">
        <v>5</v>
      </c>
      <c r="P28" s="99">
        <f t="shared" si="2"/>
        <v>1.25</v>
      </c>
      <c r="Q28" s="82"/>
      <c r="R28" s="80"/>
      <c r="S28" s="80"/>
      <c r="T28" s="82"/>
    </row>
    <row r="29" spans="1:20" ht="16.5" customHeight="1" thickBot="1" x14ac:dyDescent="0.3">
      <c r="A29" s="82"/>
      <c r="B29" s="90">
        <f>L2+21</f>
        <v>45313</v>
      </c>
      <c r="C29" s="84"/>
      <c r="D29" s="91">
        <v>50</v>
      </c>
      <c r="E29" s="92">
        <f t="shared" si="0"/>
        <v>64.516129032258064</v>
      </c>
      <c r="F29" s="93">
        <f t="shared" si="1"/>
        <v>-14.516129032258064</v>
      </c>
      <c r="G29" s="82"/>
      <c r="H29" s="94">
        <f t="shared" si="3"/>
        <v>2245</v>
      </c>
      <c r="I29" s="95">
        <f t="shared" si="3"/>
        <v>1419.3548387096773</v>
      </c>
      <c r="J29" s="82"/>
      <c r="K29" s="91" t="str">
        <f t="shared" si="4"/>
        <v/>
      </c>
      <c r="L29" s="96">
        <f t="shared" si="5"/>
        <v>2245</v>
      </c>
      <c r="M29" s="84"/>
      <c r="N29" s="97">
        <v>3</v>
      </c>
      <c r="O29" s="98">
        <v>3</v>
      </c>
      <c r="P29" s="99">
        <f t="shared" si="2"/>
        <v>1</v>
      </c>
      <c r="Q29" s="82"/>
      <c r="R29" s="80"/>
      <c r="S29" s="80"/>
      <c r="T29" s="82"/>
    </row>
    <row r="30" spans="1:20" ht="16.5" customHeight="1" thickBot="1" x14ac:dyDescent="0.3">
      <c r="A30" s="82"/>
      <c r="B30" s="90">
        <f>L2+22</f>
        <v>45314</v>
      </c>
      <c r="C30" s="84"/>
      <c r="D30" s="91">
        <v>200</v>
      </c>
      <c r="E30" s="92">
        <f t="shared" si="0"/>
        <v>64.516129032258064</v>
      </c>
      <c r="F30" s="93">
        <f t="shared" si="1"/>
        <v>135.48387096774195</v>
      </c>
      <c r="G30" s="82"/>
      <c r="H30" s="94">
        <f t="shared" si="3"/>
        <v>2445</v>
      </c>
      <c r="I30" s="95">
        <f t="shared" si="3"/>
        <v>1483.8709677419354</v>
      </c>
      <c r="J30" s="82"/>
      <c r="K30" s="91" t="str">
        <f t="shared" si="4"/>
        <v/>
      </c>
      <c r="L30" s="96">
        <f t="shared" si="5"/>
        <v>2445</v>
      </c>
      <c r="M30" s="84"/>
      <c r="N30" s="97">
        <v>2</v>
      </c>
      <c r="O30" s="98">
        <v>4</v>
      </c>
      <c r="P30" s="99">
        <f t="shared" si="2"/>
        <v>2</v>
      </c>
      <c r="Q30" s="82"/>
      <c r="R30" s="80"/>
      <c r="S30" s="80"/>
      <c r="T30" s="82"/>
    </row>
    <row r="31" spans="1:20" ht="16.5" customHeight="1" thickBot="1" x14ac:dyDescent="0.3">
      <c r="A31" s="82"/>
      <c r="B31" s="90">
        <f>L2+23</f>
        <v>45315</v>
      </c>
      <c r="C31" s="84"/>
      <c r="D31" s="91"/>
      <c r="E31" s="92">
        <f t="shared" si="0"/>
        <v>64.516129032258064</v>
      </c>
      <c r="F31" s="93" t="str">
        <f t="shared" si="1"/>
        <v/>
      </c>
      <c r="G31" s="82"/>
      <c r="H31" s="94"/>
      <c r="I31" s="95"/>
      <c r="J31" s="82"/>
      <c r="K31" s="91"/>
      <c r="L31" s="96"/>
      <c r="M31" s="84"/>
      <c r="N31" s="97"/>
      <c r="O31" s="98"/>
      <c r="P31" s="99"/>
      <c r="Q31" s="82"/>
      <c r="R31" s="80"/>
      <c r="S31" s="80"/>
      <c r="T31" s="82"/>
    </row>
    <row r="32" spans="1:20" ht="16.5" customHeight="1" thickBot="1" x14ac:dyDescent="0.3">
      <c r="A32" s="82"/>
      <c r="B32" s="90">
        <f>L2+24</f>
        <v>45316</v>
      </c>
      <c r="C32" s="84"/>
      <c r="D32" s="91"/>
      <c r="E32" s="92">
        <f t="shared" si="0"/>
        <v>64.516129032258064</v>
      </c>
      <c r="F32" s="93" t="str">
        <f t="shared" si="1"/>
        <v/>
      </c>
      <c r="G32" s="82"/>
      <c r="H32" s="94"/>
      <c r="I32" s="95"/>
      <c r="J32" s="82"/>
      <c r="K32" s="91"/>
      <c r="L32" s="96"/>
      <c r="M32" s="84"/>
      <c r="N32" s="97"/>
      <c r="O32" s="98"/>
      <c r="P32" s="99"/>
      <c r="Q32" s="82"/>
      <c r="R32" s="80"/>
      <c r="S32" s="80"/>
      <c r="T32" s="82"/>
    </row>
    <row r="33" spans="1:20" ht="16.5" customHeight="1" thickBot="1" x14ac:dyDescent="0.3">
      <c r="A33" s="82"/>
      <c r="B33" s="90">
        <f>L2+25</f>
        <v>45317</v>
      </c>
      <c r="C33" s="84"/>
      <c r="D33" s="91"/>
      <c r="E33" s="92">
        <f t="shared" si="0"/>
        <v>64.516129032258064</v>
      </c>
      <c r="F33" s="93" t="str">
        <f t="shared" si="1"/>
        <v/>
      </c>
      <c r="G33" s="82"/>
      <c r="H33" s="94"/>
      <c r="I33" s="95"/>
      <c r="J33" s="82"/>
      <c r="K33" s="91"/>
      <c r="L33" s="96"/>
      <c r="M33" s="84"/>
      <c r="N33" s="97"/>
      <c r="O33" s="98"/>
      <c r="P33" s="99"/>
      <c r="Q33" s="82"/>
      <c r="R33" s="80"/>
      <c r="S33" s="80"/>
      <c r="T33" s="82"/>
    </row>
    <row r="34" spans="1:20" ht="16.5" customHeight="1" thickBot="1" x14ac:dyDescent="0.3">
      <c r="A34" s="82"/>
      <c r="B34" s="90">
        <f>L2+26</f>
        <v>45318</v>
      </c>
      <c r="C34" s="84"/>
      <c r="D34" s="91"/>
      <c r="E34" s="92">
        <f t="shared" si="0"/>
        <v>64.516129032258064</v>
      </c>
      <c r="F34" s="93" t="str">
        <f t="shared" si="1"/>
        <v/>
      </c>
      <c r="G34" s="82"/>
      <c r="H34" s="94"/>
      <c r="I34" s="95"/>
      <c r="J34" s="82"/>
      <c r="K34" s="91"/>
      <c r="L34" s="96"/>
      <c r="M34" s="84"/>
      <c r="N34" s="97"/>
      <c r="O34" s="98"/>
      <c r="P34" s="99"/>
      <c r="Q34" s="82"/>
      <c r="R34" s="80"/>
      <c r="S34" s="80"/>
      <c r="T34" s="82"/>
    </row>
    <row r="35" spans="1:20" ht="16.5" customHeight="1" thickBot="1" x14ac:dyDescent="0.3">
      <c r="A35" s="82"/>
      <c r="B35" s="90">
        <f>L2+27</f>
        <v>45319</v>
      </c>
      <c r="C35" s="84"/>
      <c r="D35" s="91"/>
      <c r="E35" s="92">
        <f t="shared" si="0"/>
        <v>64.516129032258064</v>
      </c>
      <c r="F35" s="93" t="str">
        <f t="shared" si="1"/>
        <v/>
      </c>
      <c r="G35" s="82"/>
      <c r="H35" s="94"/>
      <c r="I35" s="95"/>
      <c r="J35" s="82"/>
      <c r="K35" s="91"/>
      <c r="L35" s="96"/>
      <c r="M35" s="84"/>
      <c r="N35" s="97"/>
      <c r="O35" s="98"/>
      <c r="P35" s="99"/>
      <c r="Q35" s="82"/>
      <c r="R35" s="80"/>
      <c r="S35" s="80"/>
      <c r="T35" s="82"/>
    </row>
    <row r="36" spans="1:20" ht="16.5" customHeight="1" thickBot="1" x14ac:dyDescent="0.3">
      <c r="A36" s="82"/>
      <c r="B36" s="90">
        <f>IF((DAY(L2+28) &gt; 10),L2+28,"")</f>
        <v>45320</v>
      </c>
      <c r="C36" s="84"/>
      <c r="D36" s="91"/>
      <c r="E36" s="92">
        <f>IF((DAY(L2+28) &gt; 10),L$4/(COUNT(B$8:B$38)),"")</f>
        <v>64.516129032258064</v>
      </c>
      <c r="F36" s="93" t="str">
        <f t="shared" si="1"/>
        <v/>
      </c>
      <c r="G36" s="82"/>
      <c r="H36" s="94"/>
      <c r="I36" s="95"/>
      <c r="J36" s="82"/>
      <c r="K36" s="91"/>
      <c r="L36" s="96"/>
      <c r="M36" s="84"/>
      <c r="N36" s="97"/>
      <c r="O36" s="98"/>
      <c r="P36" s="99"/>
      <c r="Q36" s="82"/>
      <c r="R36" s="80"/>
      <c r="S36" s="80"/>
      <c r="T36" s="82"/>
    </row>
    <row r="37" spans="1:20" ht="16.5" customHeight="1" thickBot="1" x14ac:dyDescent="0.3">
      <c r="A37" s="82"/>
      <c r="B37" s="90">
        <f>IF((DAY(L2+29) &gt; 10),L2+29,"")</f>
        <v>45321</v>
      </c>
      <c r="C37" s="84"/>
      <c r="D37" s="91"/>
      <c r="E37" s="92">
        <f>IF((DAY(L2+29) &gt; 10),L$4/(COUNT(B$8:B$38)),"")</f>
        <v>64.516129032258064</v>
      </c>
      <c r="F37" s="93" t="str">
        <f t="shared" si="1"/>
        <v/>
      </c>
      <c r="G37" s="82"/>
      <c r="H37" s="94"/>
      <c r="I37" s="95"/>
      <c r="J37" s="82"/>
      <c r="K37" s="91"/>
      <c r="L37" s="96"/>
      <c r="M37" s="84"/>
      <c r="N37" s="97"/>
      <c r="O37" s="98"/>
      <c r="P37" s="99"/>
      <c r="Q37" s="82"/>
      <c r="R37" s="80"/>
      <c r="S37" s="80"/>
      <c r="T37" s="82"/>
    </row>
    <row r="38" spans="1:20" ht="16.5" customHeight="1" thickBot="1" x14ac:dyDescent="0.3">
      <c r="A38" s="82"/>
      <c r="B38" s="100">
        <f>IF((DAY(L2+30) &gt; 10),L2+30,"")</f>
        <v>45322</v>
      </c>
      <c r="C38" s="84"/>
      <c r="D38" s="91"/>
      <c r="E38" s="92">
        <f>IF((DAY(L2+30) &gt; 10),L$4/(COUNT(B$8:B$38)),"")</f>
        <v>64.516129032258064</v>
      </c>
      <c r="F38" s="101" t="str">
        <f t="shared" si="1"/>
        <v/>
      </c>
      <c r="G38" s="82"/>
      <c r="H38" s="102"/>
      <c r="I38" s="103"/>
      <c r="J38" s="82"/>
      <c r="K38" s="104"/>
      <c r="L38" s="105"/>
      <c r="M38" s="84"/>
      <c r="N38" s="106"/>
      <c r="O38" s="107"/>
      <c r="P38" s="99"/>
      <c r="Q38" s="82"/>
      <c r="R38" s="80"/>
      <c r="S38" s="80"/>
      <c r="T38" s="82"/>
    </row>
    <row r="39" spans="1:20" ht="16.5" customHeight="1" thickBot="1" x14ac:dyDescent="0.3">
      <c r="A39" s="82"/>
      <c r="B39" s="108" t="s">
        <v>17</v>
      </c>
      <c r="C39" s="84"/>
      <c r="D39" s="109">
        <f>SUM(D8:D38)</f>
        <v>2445</v>
      </c>
      <c r="E39" s="110">
        <f>SUM(E8:E38)</f>
        <v>1999.9999999999998</v>
      </c>
      <c r="F39" s="111"/>
      <c r="G39" s="112"/>
      <c r="H39" s="113"/>
      <c r="I39" s="113"/>
      <c r="J39" s="114"/>
      <c r="K39" s="113"/>
      <c r="L39" s="113"/>
      <c r="M39" s="115"/>
      <c r="N39" s="116">
        <f>SUM(N8:N38)</f>
        <v>113</v>
      </c>
      <c r="O39" s="117">
        <f>SUM(O8:O38)</f>
        <v>108</v>
      </c>
      <c r="P39" s="118"/>
      <c r="Q39" s="119"/>
      <c r="R39" s="80"/>
      <c r="S39" s="80"/>
      <c r="T39" s="82"/>
    </row>
    <row r="40" spans="1:20" ht="16.5" customHeight="1" x14ac:dyDescent="0.25">
      <c r="A40" s="81"/>
      <c r="B40" s="120"/>
      <c r="C40" s="121"/>
      <c r="D40" s="79" t="s">
        <v>16</v>
      </c>
      <c r="E40" s="122">
        <f>AVERAGE(D8:D30)</f>
        <v>106.30434782608695</v>
      </c>
      <c r="F40" s="123"/>
      <c r="G40" s="80"/>
      <c r="H40" s="79"/>
      <c r="I40" s="79"/>
      <c r="J40" s="79"/>
      <c r="K40" s="79"/>
      <c r="L40" s="79"/>
      <c r="M40" s="79"/>
      <c r="N40" s="79"/>
      <c r="O40" s="123"/>
      <c r="P40" s="79"/>
      <c r="Q40" s="80"/>
      <c r="R40" s="80"/>
      <c r="S40" s="80"/>
      <c r="T40" s="82"/>
    </row>
    <row r="41" spans="1:20" ht="16.5" customHeight="1" x14ac:dyDescent="0.25">
      <c r="A41" s="81"/>
      <c r="B41" s="80"/>
      <c r="C41" s="80"/>
      <c r="D41" s="124" t="s">
        <v>15</v>
      </c>
      <c r="E41" s="125">
        <f>VARA(D8:D30)</f>
        <v>26729.948616600792</v>
      </c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2"/>
    </row>
    <row r="42" spans="1:20" ht="16.5" customHeight="1" x14ac:dyDescent="0.25">
      <c r="A42" s="8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2"/>
    </row>
    <row r="43" spans="1:20" ht="16.5" customHeight="1" x14ac:dyDescent="0.25">
      <c r="A43" s="81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126"/>
    </row>
    <row r="44" spans="1:20" ht="16.5" customHeight="1" x14ac:dyDescent="0.25">
      <c r="A44" s="126"/>
      <c r="B44" s="127"/>
    </row>
    <row r="52" spans="5:6" ht="16.5" customHeight="1" x14ac:dyDescent="0.25">
      <c r="E52" s="128"/>
      <c r="F52" s="129"/>
    </row>
    <row r="53" spans="5:6" ht="16.5" customHeight="1" x14ac:dyDescent="0.25">
      <c r="E53" s="128"/>
      <c r="F53" s="129"/>
    </row>
  </sheetData>
  <mergeCells count="14">
    <mergeCell ref="B2:I2"/>
    <mergeCell ref="L2:M2"/>
    <mergeCell ref="B4:C4"/>
    <mergeCell ref="D4:F4"/>
    <mergeCell ref="I4:K4"/>
    <mergeCell ref="L4:M4"/>
    <mergeCell ref="O6:O7"/>
    <mergeCell ref="P6:P7"/>
    <mergeCell ref="B6:B7"/>
    <mergeCell ref="D6:F6"/>
    <mergeCell ref="H6:I6"/>
    <mergeCell ref="K6:K7"/>
    <mergeCell ref="L6:L7"/>
    <mergeCell ref="N6:N7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4A163-C2DA-42BB-A4F6-423AA3CED010}">
  <dimension ref="A18:M1000"/>
  <sheetViews>
    <sheetView workbookViewId="0"/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13" x14ac:dyDescent="0.25">
      <c r="A18" s="16" t="s">
        <v>34</v>
      </c>
      <c r="B18" s="76">
        <f>'Acompanhamento Ana'!D39</f>
        <v>2445</v>
      </c>
    </row>
    <row r="19" spans="1:13" x14ac:dyDescent="0.25">
      <c r="A19" s="16" t="s">
        <v>33</v>
      </c>
      <c r="B19" s="76">
        <f>'Acompanhamento Ana'!E39</f>
        <v>1999.9999999999998</v>
      </c>
    </row>
    <row r="20" spans="1:13" x14ac:dyDescent="0.25">
      <c r="A20" s="16" t="s">
        <v>24</v>
      </c>
      <c r="B20" s="76">
        <f>'Acompanhamento Ana'!L38</f>
        <v>0</v>
      </c>
    </row>
    <row r="21" spans="1:13" ht="15.75" customHeight="1" x14ac:dyDescent="0.2"/>
    <row r="22" spans="1:13" ht="15.75" customHeight="1" x14ac:dyDescent="0.2"/>
    <row r="23" spans="1:13" ht="15.75" customHeight="1" x14ac:dyDescent="0.25">
      <c r="M23" s="75" t="s">
        <v>32</v>
      </c>
    </row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0BCE-7DEB-4287-9FAE-3B81AD7580AE}">
  <dimension ref="A1:T1000"/>
  <sheetViews>
    <sheetView topLeftCell="A22" workbookViewId="0">
      <selection activeCell="K6" sqref="K6:K7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202" t="s">
        <v>31</v>
      </c>
      <c r="C2" s="164"/>
      <c r="D2" s="164"/>
      <c r="E2" s="164"/>
      <c r="F2" s="164"/>
      <c r="G2" s="164"/>
      <c r="H2" s="164"/>
      <c r="I2" s="165"/>
      <c r="J2" s="74"/>
      <c r="K2" s="73" t="s">
        <v>30</v>
      </c>
      <c r="L2" s="166">
        <v>45292</v>
      </c>
      <c r="M2" s="167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168" t="s">
        <v>29</v>
      </c>
      <c r="C4" s="164"/>
      <c r="D4" s="169" t="s">
        <v>38</v>
      </c>
      <c r="E4" s="164"/>
      <c r="F4" s="167"/>
      <c r="G4" s="69"/>
      <c r="H4" s="68"/>
      <c r="I4" s="170" t="s">
        <v>27</v>
      </c>
      <c r="J4" s="164"/>
      <c r="K4" s="164"/>
      <c r="L4" s="171">
        <v>2000</v>
      </c>
      <c r="M4" s="167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172" t="s">
        <v>26</v>
      </c>
      <c r="C6" s="38"/>
      <c r="D6" s="174" t="s">
        <v>7</v>
      </c>
      <c r="E6" s="175"/>
      <c r="F6" s="176"/>
      <c r="G6" s="7"/>
      <c r="H6" s="177" t="s">
        <v>5</v>
      </c>
      <c r="I6" s="176"/>
      <c r="J6" s="7"/>
      <c r="K6" s="178" t="s">
        <v>25</v>
      </c>
      <c r="L6" s="180" t="s">
        <v>24</v>
      </c>
      <c r="M6" s="38"/>
      <c r="N6" s="181" t="s">
        <v>23</v>
      </c>
      <c r="O6" s="182" t="s">
        <v>22</v>
      </c>
      <c r="P6" s="161" t="s">
        <v>1</v>
      </c>
      <c r="Q6" s="7"/>
      <c r="R6" s="2"/>
      <c r="S6" s="2"/>
      <c r="T6" s="7"/>
    </row>
    <row r="7" spans="1:20" ht="15.75" thickBot="1" x14ac:dyDescent="0.3">
      <c r="A7" s="7"/>
      <c r="B7" s="173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179"/>
      <c r="L7" s="162"/>
      <c r="M7" s="38"/>
      <c r="N7" s="179"/>
      <c r="O7" s="183"/>
      <c r="P7" s="162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90</v>
      </c>
      <c r="E8" s="48">
        <f t="shared" ref="E8:E35" si="0">L$4/(COUNT(B$8:B$38))</f>
        <v>64.516129032258064</v>
      </c>
      <c r="F8" s="56">
        <f t="shared" ref="F8:F38" si="1">IF(D8,D8-E8,"")</f>
        <v>25.483870967741936</v>
      </c>
      <c r="G8" s="7"/>
      <c r="H8" s="55">
        <f>D8</f>
        <v>90</v>
      </c>
      <c r="I8" s="54">
        <f>E8</f>
        <v>64.516129032258064</v>
      </c>
      <c r="J8" s="7"/>
      <c r="K8" s="49"/>
      <c r="L8" s="53">
        <f>D8</f>
        <v>90</v>
      </c>
      <c r="M8" s="38"/>
      <c r="N8" s="52">
        <v>10</v>
      </c>
      <c r="O8" s="51">
        <v>2</v>
      </c>
      <c r="P8" s="40">
        <f t="shared" ref="P8:P30" si="2">(O8/N8)</f>
        <v>0.2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50</v>
      </c>
      <c r="E9" s="48">
        <f t="shared" si="0"/>
        <v>64.516129032258064</v>
      </c>
      <c r="F9" s="56">
        <f t="shared" si="1"/>
        <v>-14.516129032258064</v>
      </c>
      <c r="G9" s="7"/>
      <c r="H9" s="55">
        <f t="shared" ref="H9:H30" si="3">D9+H8</f>
        <v>140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140</v>
      </c>
      <c r="M9" s="38"/>
      <c r="N9" s="52">
        <v>3</v>
      </c>
      <c r="O9" s="51">
        <v>2</v>
      </c>
      <c r="P9" s="40">
        <f t="shared" si="2"/>
        <v>0.66666666666666663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120</v>
      </c>
      <c r="E10" s="48">
        <f t="shared" si="0"/>
        <v>64.516129032258064</v>
      </c>
      <c r="F10" s="56">
        <f t="shared" si="1"/>
        <v>55.483870967741936</v>
      </c>
      <c r="G10" s="7"/>
      <c r="H10" s="55">
        <f t="shared" si="3"/>
        <v>260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260</v>
      </c>
      <c r="M10" s="38"/>
      <c r="N10" s="52">
        <v>20</v>
      </c>
      <c r="O10" s="51">
        <v>20</v>
      </c>
      <c r="P10" s="40">
        <f t="shared" si="2"/>
        <v>1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90</v>
      </c>
      <c r="E11" s="48">
        <f t="shared" si="0"/>
        <v>64.516129032258064</v>
      </c>
      <c r="F11" s="56">
        <f t="shared" si="1"/>
        <v>25.483870967741936</v>
      </c>
      <c r="G11" s="7"/>
      <c r="H11" s="55">
        <f t="shared" si="3"/>
        <v>350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350</v>
      </c>
      <c r="M11" s="38"/>
      <c r="N11" s="52">
        <v>5</v>
      </c>
      <c r="O11" s="51">
        <v>3</v>
      </c>
      <c r="P11" s="40">
        <f t="shared" si="2"/>
        <v>0.6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50</v>
      </c>
      <c r="E12" s="48">
        <f t="shared" si="0"/>
        <v>64.516129032258064</v>
      </c>
      <c r="F12" s="56">
        <f t="shared" si="1"/>
        <v>-14.516129032258064</v>
      </c>
      <c r="G12" s="7"/>
      <c r="H12" s="55">
        <f t="shared" si="3"/>
        <v>400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400</v>
      </c>
      <c r="M12" s="38"/>
      <c r="N12" s="52">
        <v>6</v>
      </c>
      <c r="O12" s="51">
        <v>3</v>
      </c>
      <c r="P12" s="40">
        <f t="shared" si="2"/>
        <v>0.5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70</v>
      </c>
      <c r="E13" s="48">
        <f t="shared" si="0"/>
        <v>64.516129032258064</v>
      </c>
      <c r="F13" s="56">
        <f t="shared" si="1"/>
        <v>5.4838709677419359</v>
      </c>
      <c r="G13" s="7"/>
      <c r="H13" s="55">
        <f t="shared" si="3"/>
        <v>470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470</v>
      </c>
      <c r="M13" s="38"/>
      <c r="N13" s="52">
        <v>7</v>
      </c>
      <c r="O13" s="51">
        <v>4</v>
      </c>
      <c r="P13" s="40">
        <f t="shared" si="2"/>
        <v>0.5714285714285714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60</v>
      </c>
      <c r="E14" s="48">
        <f t="shared" si="0"/>
        <v>64.516129032258064</v>
      </c>
      <c r="F14" s="56">
        <f t="shared" si="1"/>
        <v>-4.5161290322580641</v>
      </c>
      <c r="G14" s="7"/>
      <c r="H14" s="55">
        <f t="shared" si="3"/>
        <v>530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530</v>
      </c>
      <c r="M14" s="38"/>
      <c r="N14" s="52">
        <v>9</v>
      </c>
      <c r="O14" s="51">
        <v>7</v>
      </c>
      <c r="P14" s="40">
        <f t="shared" si="2"/>
        <v>0.77777777777777779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120</v>
      </c>
      <c r="E15" s="48">
        <f t="shared" si="0"/>
        <v>64.516129032258064</v>
      </c>
      <c r="F15" s="56">
        <f t="shared" si="1"/>
        <v>55.483870967741936</v>
      </c>
      <c r="G15" s="7"/>
      <c r="H15" s="55">
        <f t="shared" si="3"/>
        <v>650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650</v>
      </c>
      <c r="M15" s="38"/>
      <c r="N15" s="52">
        <v>7</v>
      </c>
      <c r="O15" s="51">
        <v>5</v>
      </c>
      <c r="P15" s="40">
        <f t="shared" si="2"/>
        <v>0.7142857142857143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90</v>
      </c>
      <c r="E16" s="48">
        <f t="shared" si="0"/>
        <v>64.516129032258064</v>
      </c>
      <c r="F16" s="56">
        <f t="shared" si="1"/>
        <v>25.483870967741936</v>
      </c>
      <c r="G16" s="7"/>
      <c r="H16" s="55">
        <f t="shared" si="3"/>
        <v>740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740</v>
      </c>
      <c r="M16" s="38"/>
      <c r="N16" s="52">
        <v>5</v>
      </c>
      <c r="O16" s="51">
        <v>2</v>
      </c>
      <c r="P16" s="40">
        <f t="shared" si="2"/>
        <v>0.4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67</v>
      </c>
      <c r="E17" s="48">
        <f t="shared" si="0"/>
        <v>64.516129032258064</v>
      </c>
      <c r="F17" s="56">
        <f t="shared" si="1"/>
        <v>2.4838709677419359</v>
      </c>
      <c r="G17" s="7"/>
      <c r="H17" s="55">
        <f t="shared" si="3"/>
        <v>807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807</v>
      </c>
      <c r="M17" s="38"/>
      <c r="N17" s="52">
        <v>3</v>
      </c>
      <c r="O17" s="51">
        <v>1</v>
      </c>
      <c r="P17" s="40">
        <f t="shared" si="2"/>
        <v>0.33333333333333331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64.52</v>
      </c>
      <c r="E18" s="48">
        <f t="shared" si="0"/>
        <v>64.516129032258064</v>
      </c>
      <c r="F18" s="56">
        <f t="shared" si="1"/>
        <v>3.8709677419319632E-3</v>
      </c>
      <c r="G18" s="7"/>
      <c r="H18" s="55">
        <f t="shared" si="3"/>
        <v>871.52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871.52</v>
      </c>
      <c r="M18" s="38"/>
      <c r="N18" s="52">
        <v>13</v>
      </c>
      <c r="O18" s="51">
        <v>2</v>
      </c>
      <c r="P18" s="40">
        <f t="shared" si="2"/>
        <v>0.15384615384615385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80</v>
      </c>
      <c r="E19" s="48">
        <f t="shared" si="0"/>
        <v>64.516129032258064</v>
      </c>
      <c r="F19" s="56">
        <f t="shared" si="1"/>
        <v>15.483870967741936</v>
      </c>
      <c r="G19" s="7"/>
      <c r="H19" s="55">
        <f t="shared" si="3"/>
        <v>951.52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951.52</v>
      </c>
      <c r="M19" s="38"/>
      <c r="N19" s="52">
        <v>25</v>
      </c>
      <c r="O19" s="51">
        <v>14</v>
      </c>
      <c r="P19" s="40">
        <f t="shared" si="2"/>
        <v>0.56000000000000005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70</v>
      </c>
      <c r="E20" s="48">
        <f t="shared" si="0"/>
        <v>64.516129032258064</v>
      </c>
      <c r="F20" s="56">
        <f t="shared" si="1"/>
        <v>5.4838709677419359</v>
      </c>
      <c r="G20" s="7"/>
      <c r="H20" s="55">
        <f t="shared" si="3"/>
        <v>1021.52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1021.52</v>
      </c>
      <c r="M20" s="38"/>
      <c r="N20" s="52">
        <v>8</v>
      </c>
      <c r="O20" s="51">
        <v>5</v>
      </c>
      <c r="P20" s="40">
        <f t="shared" si="2"/>
        <v>0.625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50</v>
      </c>
      <c r="E21" s="48">
        <f t="shared" si="0"/>
        <v>64.516129032258064</v>
      </c>
      <c r="F21" s="56">
        <f t="shared" si="1"/>
        <v>-14.516129032258064</v>
      </c>
      <c r="G21" s="7"/>
      <c r="H21" s="55">
        <f t="shared" si="3"/>
        <v>1071.52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1071.52</v>
      </c>
      <c r="M21" s="38"/>
      <c r="N21" s="52">
        <v>6</v>
      </c>
      <c r="O21" s="51">
        <v>3</v>
      </c>
      <c r="P21" s="40">
        <f t="shared" si="2"/>
        <v>0.5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90</v>
      </c>
      <c r="E22" s="48">
        <f t="shared" si="0"/>
        <v>64.516129032258064</v>
      </c>
      <c r="F22" s="56">
        <f t="shared" si="1"/>
        <v>25.483870967741936</v>
      </c>
      <c r="G22" s="7"/>
      <c r="H22" s="55">
        <f t="shared" si="3"/>
        <v>1161.52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1161.52</v>
      </c>
      <c r="M22" s="38"/>
      <c r="N22" s="52">
        <v>4</v>
      </c>
      <c r="O22" s="51">
        <v>3</v>
      </c>
      <c r="P22" s="40">
        <f t="shared" si="2"/>
        <v>0.75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80</v>
      </c>
      <c r="E23" s="48">
        <f t="shared" si="0"/>
        <v>64.516129032258064</v>
      </c>
      <c r="F23" s="56">
        <f t="shared" si="1"/>
        <v>15.483870967741936</v>
      </c>
      <c r="G23" s="7"/>
      <c r="H23" s="55">
        <f t="shared" si="3"/>
        <v>1241.52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1241.52</v>
      </c>
      <c r="M23" s="38"/>
      <c r="N23" s="52">
        <v>3</v>
      </c>
      <c r="O23" s="51">
        <v>2</v>
      </c>
      <c r="P23" s="40">
        <f t="shared" si="2"/>
        <v>0.66666666666666663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30</v>
      </c>
      <c r="E24" s="48">
        <f t="shared" si="0"/>
        <v>64.516129032258064</v>
      </c>
      <c r="F24" s="56">
        <f t="shared" si="1"/>
        <v>-34.516129032258064</v>
      </c>
      <c r="G24" s="7"/>
      <c r="H24" s="55">
        <f t="shared" si="3"/>
        <v>1271.52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1271.52</v>
      </c>
      <c r="M24" s="38"/>
      <c r="N24" s="52">
        <v>7</v>
      </c>
      <c r="O24" s="51">
        <v>3</v>
      </c>
      <c r="P24" s="40">
        <f t="shared" si="2"/>
        <v>0.42857142857142855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200</v>
      </c>
      <c r="E25" s="48">
        <f t="shared" si="0"/>
        <v>64.516129032258064</v>
      </c>
      <c r="F25" s="56">
        <f t="shared" si="1"/>
        <v>135.48387096774195</v>
      </c>
      <c r="G25" s="7"/>
      <c r="H25" s="55">
        <f t="shared" si="3"/>
        <v>1471.52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1471.52</v>
      </c>
      <c r="M25" s="38"/>
      <c r="N25" s="52">
        <v>8</v>
      </c>
      <c r="O25" s="51">
        <v>5</v>
      </c>
      <c r="P25" s="40">
        <f t="shared" si="2"/>
        <v>0.625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40</v>
      </c>
      <c r="E26" s="48">
        <f t="shared" si="0"/>
        <v>64.516129032258064</v>
      </c>
      <c r="F26" s="56">
        <f t="shared" si="1"/>
        <v>-24.516129032258064</v>
      </c>
      <c r="G26" s="7"/>
      <c r="H26" s="55">
        <f t="shared" si="3"/>
        <v>1511.52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1511.52</v>
      </c>
      <c r="M26" s="38"/>
      <c r="N26" s="52">
        <v>9</v>
      </c>
      <c r="O26" s="51">
        <v>6</v>
      </c>
      <c r="P26" s="40">
        <f t="shared" si="2"/>
        <v>0.66666666666666663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30</v>
      </c>
      <c r="E27" s="48">
        <f t="shared" si="0"/>
        <v>64.516129032258064</v>
      </c>
      <c r="F27" s="56">
        <f t="shared" si="1"/>
        <v>-34.516129032258064</v>
      </c>
      <c r="G27" s="7"/>
      <c r="H27" s="55">
        <f t="shared" si="3"/>
        <v>1541.52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1541.52</v>
      </c>
      <c r="M27" s="38"/>
      <c r="N27" s="52">
        <v>7</v>
      </c>
      <c r="O27" s="51">
        <v>4</v>
      </c>
      <c r="P27" s="40">
        <f t="shared" si="2"/>
        <v>0.5714285714285714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20</v>
      </c>
      <c r="E28" s="48">
        <f t="shared" si="0"/>
        <v>64.516129032258064</v>
      </c>
      <c r="F28" s="56">
        <f t="shared" si="1"/>
        <v>-44.516129032258064</v>
      </c>
      <c r="G28" s="7"/>
      <c r="H28" s="55">
        <f t="shared" si="3"/>
        <v>1561.52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1561.52</v>
      </c>
      <c r="M28" s="38"/>
      <c r="N28" s="52">
        <v>6</v>
      </c>
      <c r="O28" s="51">
        <v>5</v>
      </c>
      <c r="P28" s="40">
        <f t="shared" si="2"/>
        <v>0.83333333333333337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150</v>
      </c>
      <c r="E29" s="48">
        <f t="shared" si="0"/>
        <v>64.516129032258064</v>
      </c>
      <c r="F29" s="56">
        <f t="shared" si="1"/>
        <v>85.483870967741936</v>
      </c>
      <c r="G29" s="7"/>
      <c r="H29" s="55">
        <f t="shared" si="3"/>
        <v>1711.52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1711.52</v>
      </c>
      <c r="M29" s="38"/>
      <c r="N29" s="52">
        <v>8</v>
      </c>
      <c r="O29" s="51">
        <v>3</v>
      </c>
      <c r="P29" s="40">
        <f t="shared" si="2"/>
        <v>0.375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90</v>
      </c>
      <c r="E30" s="48">
        <f t="shared" si="0"/>
        <v>64.516129032258064</v>
      </c>
      <c r="F30" s="56">
        <f t="shared" si="1"/>
        <v>25.483870967741936</v>
      </c>
      <c r="G30" s="7"/>
      <c r="H30" s="55">
        <f t="shared" si="3"/>
        <v>1801.52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1801.52</v>
      </c>
      <c r="M30" s="38"/>
      <c r="N30" s="52">
        <v>7</v>
      </c>
      <c r="O30" s="51">
        <v>4</v>
      </c>
      <c r="P30" s="40">
        <f t="shared" si="2"/>
        <v>0.5714285714285714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4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1801.52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186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4">
      <c r="A40" s="19"/>
      <c r="B40" s="26"/>
      <c r="C40" s="25"/>
      <c r="D40" s="22" t="s">
        <v>36</v>
      </c>
      <c r="E40" s="24">
        <f>AVERAGE(D8:D30)</f>
        <v>78.326956521739135</v>
      </c>
      <c r="F40" s="22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25">
      <c r="A41" s="19"/>
      <c r="B41" s="2"/>
      <c r="C41" s="2"/>
      <c r="D41" s="21" t="s">
        <v>35</v>
      </c>
      <c r="E41" s="21">
        <f>VARA(D8:D30)</f>
        <v>1674.7387130434786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"/>
    <row r="46" spans="1:20" ht="15.75" customHeight="1" x14ac:dyDescent="0.2"/>
    <row r="47" spans="1:20" ht="15.75" customHeight="1" x14ac:dyDescent="0.2"/>
    <row r="48" spans="1:20" ht="15.75" customHeight="1" x14ac:dyDescent="0.25">
      <c r="F48" s="16"/>
    </row>
    <row r="49" spans="5:6" ht="15.75" customHeight="1" x14ac:dyDescent="0.25">
      <c r="E49" s="15"/>
      <c r="F49" s="14">
        <v>40.024000000000001</v>
      </c>
    </row>
    <row r="50" spans="5:6" ht="15.75" customHeight="1" x14ac:dyDescent="0.25">
      <c r="E50" s="15"/>
      <c r="F50" s="14"/>
    </row>
    <row r="51" spans="5:6" ht="15.75" customHeight="1" x14ac:dyDescent="0.2"/>
    <row r="52" spans="5:6" ht="15.75" customHeight="1" x14ac:dyDescent="0.2"/>
    <row r="53" spans="5:6" ht="15.75" customHeight="1" x14ac:dyDescent="0.2"/>
    <row r="54" spans="5:6" ht="15.75" customHeight="1" x14ac:dyDescent="0.2"/>
    <row r="55" spans="5:6" ht="15.75" customHeight="1" x14ac:dyDescent="0.2"/>
    <row r="56" spans="5:6" ht="15.75" customHeight="1" x14ac:dyDescent="0.2"/>
    <row r="57" spans="5:6" ht="15.75" customHeight="1" x14ac:dyDescent="0.2"/>
    <row r="58" spans="5:6" ht="15.75" customHeight="1" x14ac:dyDescent="0.2"/>
    <row r="59" spans="5:6" ht="15.75" customHeight="1" x14ac:dyDescent="0.2"/>
    <row r="60" spans="5:6" ht="15.75" customHeight="1" x14ac:dyDescent="0.2"/>
    <row r="61" spans="5:6" ht="15.75" customHeight="1" x14ac:dyDescent="0.2"/>
    <row r="62" spans="5:6" ht="15.75" customHeight="1" x14ac:dyDescent="0.2"/>
    <row r="63" spans="5:6" ht="15.75" customHeight="1" x14ac:dyDescent="0.2"/>
    <row r="64" spans="5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L2:M2"/>
    <mergeCell ref="B4:C4"/>
    <mergeCell ref="D4:F4"/>
    <mergeCell ref="I4:K4"/>
    <mergeCell ref="L4:M4"/>
    <mergeCell ref="B6:B7"/>
    <mergeCell ref="D6:F6"/>
    <mergeCell ref="B2:I2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F640-2914-4803-9B16-F6C589C300BD}">
  <dimension ref="A18:B1000"/>
  <sheetViews>
    <sheetView workbookViewId="0">
      <selection activeCell="J21" sqref="J21"/>
    </sheetView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2" x14ac:dyDescent="0.25">
      <c r="A18" s="16" t="s">
        <v>34</v>
      </c>
      <c r="B18" s="76">
        <f>'Acompanhamento Joao'!D39</f>
        <v>1801.52</v>
      </c>
    </row>
    <row r="19" spans="1:2" x14ac:dyDescent="0.25">
      <c r="A19" s="16" t="s">
        <v>33</v>
      </c>
      <c r="B19" s="76">
        <f>'Acompanhamento Joao'!E39</f>
        <v>1999.9999999999998</v>
      </c>
    </row>
    <row r="20" spans="1:2" x14ac:dyDescent="0.25">
      <c r="A20" s="16" t="s">
        <v>24</v>
      </c>
      <c r="B20" s="76">
        <f>'Acompanhamento Joao'!L38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9EF5-2D56-4E50-8C95-FC73454BAF8F}">
  <dimension ref="A1:T1000"/>
  <sheetViews>
    <sheetView tabSelected="1" topLeftCell="A22" workbookViewId="0">
      <selection activeCell="B4" sqref="B4:C4"/>
    </sheetView>
  </sheetViews>
  <sheetFormatPr defaultColWidth="14.42578125" defaultRowHeight="15" customHeight="1" x14ac:dyDescent="0.2"/>
  <cols>
    <col min="1" max="1" width="0.85546875" style="1" customWidth="1"/>
    <col min="2" max="2" width="10" style="1" customWidth="1"/>
    <col min="3" max="3" width="2.28515625" style="1" customWidth="1"/>
    <col min="4" max="4" width="22" style="1" customWidth="1"/>
    <col min="5" max="6" width="13.85546875" style="1" customWidth="1"/>
    <col min="7" max="7" width="2.28515625" style="1" customWidth="1"/>
    <col min="8" max="9" width="13.85546875" style="1" customWidth="1"/>
    <col min="10" max="10" width="2.28515625" style="1" customWidth="1"/>
    <col min="11" max="12" width="13.85546875" style="1" customWidth="1"/>
    <col min="13" max="13" width="2.28515625" style="1" customWidth="1"/>
    <col min="14" max="16" width="11.42578125" style="1" customWidth="1"/>
    <col min="17" max="26" width="8.85546875" style="1" customWidth="1"/>
    <col min="27" max="16384" width="14.42578125" style="1"/>
  </cols>
  <sheetData>
    <row r="1" spans="1:20" ht="1.5" customHeight="1" thickBot="1" x14ac:dyDescent="0.25"/>
    <row r="2" spans="1:20" ht="24" customHeight="1" thickBot="1" x14ac:dyDescent="0.3">
      <c r="A2" s="12"/>
      <c r="B2" s="202" t="s">
        <v>31</v>
      </c>
      <c r="C2" s="164"/>
      <c r="D2" s="164"/>
      <c r="E2" s="164"/>
      <c r="F2" s="164"/>
      <c r="G2" s="164"/>
      <c r="H2" s="164"/>
      <c r="I2" s="165"/>
      <c r="J2" s="74"/>
      <c r="K2" s="73" t="s">
        <v>30</v>
      </c>
      <c r="L2" s="166">
        <v>45292</v>
      </c>
      <c r="M2" s="167"/>
      <c r="N2" s="72"/>
      <c r="O2" s="22"/>
      <c r="P2" s="2"/>
      <c r="Q2" s="2"/>
      <c r="R2" s="2"/>
      <c r="S2" s="2"/>
      <c r="T2" s="12"/>
    </row>
    <row r="3" spans="1:20" ht="6.75" customHeight="1" thickBot="1" x14ac:dyDescent="0.3">
      <c r="A3" s="19"/>
      <c r="B3" s="64"/>
      <c r="C3" s="64"/>
      <c r="D3" s="64"/>
      <c r="E3" s="64"/>
      <c r="F3" s="64"/>
      <c r="G3" s="71"/>
      <c r="H3" s="70"/>
      <c r="I3" s="64"/>
      <c r="J3" s="64"/>
      <c r="K3" s="64"/>
      <c r="L3" s="64"/>
      <c r="M3" s="64"/>
      <c r="N3" s="2"/>
      <c r="O3" s="2"/>
      <c r="P3" s="2"/>
      <c r="Q3" s="2"/>
      <c r="R3" s="2"/>
      <c r="S3" s="2"/>
      <c r="T3" s="7"/>
    </row>
    <row r="4" spans="1:20" ht="18" customHeight="1" thickBot="1" x14ac:dyDescent="0.3">
      <c r="A4" s="7"/>
      <c r="B4" s="168" t="s">
        <v>29</v>
      </c>
      <c r="C4" s="164"/>
      <c r="D4" s="169" t="s">
        <v>37</v>
      </c>
      <c r="E4" s="164"/>
      <c r="F4" s="167"/>
      <c r="G4" s="69"/>
      <c r="H4" s="68"/>
      <c r="I4" s="170" t="s">
        <v>27</v>
      </c>
      <c r="J4" s="164"/>
      <c r="K4" s="164"/>
      <c r="L4" s="171">
        <v>2000</v>
      </c>
      <c r="M4" s="167"/>
      <c r="N4" s="19"/>
      <c r="O4" s="2"/>
      <c r="P4" s="2"/>
      <c r="Q4" s="2"/>
      <c r="R4" s="2"/>
      <c r="S4" s="2"/>
      <c r="T4" s="7"/>
    </row>
    <row r="5" spans="1:20" ht="15.75" thickBot="1" x14ac:dyDescent="0.3">
      <c r="A5" s="19"/>
      <c r="B5" s="64"/>
      <c r="C5" s="65"/>
      <c r="D5" s="64"/>
      <c r="E5" s="64"/>
      <c r="F5" s="64"/>
      <c r="G5" s="67"/>
      <c r="H5" s="66"/>
      <c r="I5" s="64"/>
      <c r="J5" s="22"/>
      <c r="K5" s="64"/>
      <c r="L5" s="64"/>
      <c r="M5" s="65"/>
      <c r="N5" s="18"/>
      <c r="O5" s="18"/>
      <c r="P5" s="64"/>
      <c r="Q5" s="63"/>
      <c r="R5" s="2"/>
      <c r="S5" s="2"/>
      <c r="T5" s="7"/>
    </row>
    <row r="6" spans="1:20" ht="15.75" customHeight="1" thickBot="1" x14ac:dyDescent="0.3">
      <c r="A6" s="7"/>
      <c r="B6" s="172" t="s">
        <v>26</v>
      </c>
      <c r="C6" s="38"/>
      <c r="D6" s="174" t="s">
        <v>7</v>
      </c>
      <c r="E6" s="175"/>
      <c r="F6" s="176"/>
      <c r="G6" s="7"/>
      <c r="H6" s="177" t="s">
        <v>5</v>
      </c>
      <c r="I6" s="176"/>
      <c r="J6" s="7"/>
      <c r="K6" s="178" t="s">
        <v>25</v>
      </c>
      <c r="L6" s="180" t="s">
        <v>24</v>
      </c>
      <c r="M6" s="38"/>
      <c r="N6" s="203" t="s">
        <v>23</v>
      </c>
      <c r="O6" s="204" t="s">
        <v>22</v>
      </c>
      <c r="P6" s="161" t="s">
        <v>1</v>
      </c>
      <c r="Q6" s="7"/>
      <c r="R6" s="2"/>
      <c r="S6" s="2"/>
      <c r="T6" s="7"/>
    </row>
    <row r="7" spans="1:20" ht="15.75" thickBot="1" x14ac:dyDescent="0.3">
      <c r="A7" s="7"/>
      <c r="B7" s="173"/>
      <c r="C7" s="38"/>
      <c r="D7" s="62" t="s">
        <v>19</v>
      </c>
      <c r="E7" s="61" t="s">
        <v>21</v>
      </c>
      <c r="F7" s="60" t="s">
        <v>20</v>
      </c>
      <c r="G7" s="7"/>
      <c r="H7" s="59" t="s">
        <v>19</v>
      </c>
      <c r="I7" s="58" t="s">
        <v>18</v>
      </c>
      <c r="J7" s="7"/>
      <c r="K7" s="179"/>
      <c r="L7" s="162"/>
      <c r="M7" s="38"/>
      <c r="N7" s="179"/>
      <c r="O7" s="183"/>
      <c r="P7" s="162"/>
      <c r="Q7" s="7"/>
      <c r="R7" s="2"/>
      <c r="S7" s="2"/>
      <c r="T7" s="7"/>
    </row>
    <row r="8" spans="1:20" ht="15.75" thickBot="1" x14ac:dyDescent="0.3">
      <c r="A8" s="7"/>
      <c r="B8" s="57">
        <f>L2</f>
        <v>45292</v>
      </c>
      <c r="C8" s="38"/>
      <c r="D8" s="49">
        <v>80</v>
      </c>
      <c r="E8" s="48">
        <f t="shared" ref="E8:E35" si="0">L$4/(COUNT(B$8:B$38))</f>
        <v>64.516129032258064</v>
      </c>
      <c r="F8" s="56">
        <f t="shared" ref="F8:F38" si="1">IF(D8,D8-E8,"")</f>
        <v>15.483870967741936</v>
      </c>
      <c r="G8" s="7"/>
      <c r="H8" s="55">
        <f>D8</f>
        <v>80</v>
      </c>
      <c r="I8" s="54">
        <f>E8</f>
        <v>64.516129032258064</v>
      </c>
      <c r="J8" s="7"/>
      <c r="K8" s="49"/>
      <c r="L8" s="53">
        <f>D8</f>
        <v>80</v>
      </c>
      <c r="M8" s="38"/>
      <c r="N8" s="52">
        <v>20</v>
      </c>
      <c r="O8" s="51">
        <v>2</v>
      </c>
      <c r="P8" s="40">
        <f t="shared" ref="P8:P30" si="2">(O8/N8)</f>
        <v>0.1</v>
      </c>
      <c r="Q8" s="7"/>
      <c r="R8" s="2"/>
      <c r="S8" s="2"/>
      <c r="T8" s="7"/>
    </row>
    <row r="9" spans="1:20" ht="15.75" thickBot="1" x14ac:dyDescent="0.3">
      <c r="A9" s="7"/>
      <c r="B9" s="57">
        <f>L2+1</f>
        <v>45293</v>
      </c>
      <c r="C9" s="38"/>
      <c r="D9" s="49">
        <v>40</v>
      </c>
      <c r="E9" s="48">
        <f t="shared" si="0"/>
        <v>64.516129032258064</v>
      </c>
      <c r="F9" s="56">
        <f t="shared" si="1"/>
        <v>-24.516129032258064</v>
      </c>
      <c r="G9" s="7"/>
      <c r="H9" s="55">
        <f t="shared" ref="H9:H30" si="3">D9+H8</f>
        <v>120</v>
      </c>
      <c r="I9" s="54">
        <f t="shared" ref="I9:I30" si="4">E9+I8</f>
        <v>129.03225806451613</v>
      </c>
      <c r="J9" s="7"/>
      <c r="K9" s="49" t="str">
        <f t="shared" ref="K9:K30" si="5">IF(D9="",($E$39-H9)/(COUNT($B$8:$B$38)-COUNT($D$8:$D$38)),"")</f>
        <v/>
      </c>
      <c r="L9" s="53">
        <f t="shared" ref="L9:L30" si="6">IF(D9="",L8+E9,L8+D9)</f>
        <v>120</v>
      </c>
      <c r="M9" s="38"/>
      <c r="N9" s="52">
        <v>6</v>
      </c>
      <c r="O9" s="51">
        <v>2</v>
      </c>
      <c r="P9" s="40">
        <f t="shared" si="2"/>
        <v>0.33333333333333331</v>
      </c>
      <c r="Q9" s="7"/>
      <c r="R9" s="2"/>
      <c r="S9" s="2"/>
      <c r="T9" s="7"/>
    </row>
    <row r="10" spans="1:20" ht="15.75" thickBot="1" x14ac:dyDescent="0.3">
      <c r="A10" s="7"/>
      <c r="B10" s="57">
        <f>L2+2</f>
        <v>45294</v>
      </c>
      <c r="C10" s="38"/>
      <c r="D10" s="49">
        <v>50</v>
      </c>
      <c r="E10" s="48">
        <f t="shared" si="0"/>
        <v>64.516129032258064</v>
      </c>
      <c r="F10" s="56">
        <f t="shared" si="1"/>
        <v>-14.516129032258064</v>
      </c>
      <c r="G10" s="7"/>
      <c r="H10" s="55">
        <f t="shared" si="3"/>
        <v>170</v>
      </c>
      <c r="I10" s="54">
        <f t="shared" si="4"/>
        <v>193.54838709677421</v>
      </c>
      <c r="J10" s="7"/>
      <c r="K10" s="49" t="str">
        <f t="shared" si="5"/>
        <v/>
      </c>
      <c r="L10" s="53">
        <f t="shared" si="6"/>
        <v>170</v>
      </c>
      <c r="M10" s="38"/>
      <c r="N10" s="52">
        <v>7</v>
      </c>
      <c r="O10" s="51">
        <v>20</v>
      </c>
      <c r="P10" s="40">
        <f t="shared" si="2"/>
        <v>2.8571428571428572</v>
      </c>
      <c r="Q10" s="7"/>
      <c r="R10" s="2"/>
      <c r="S10" s="2"/>
      <c r="T10" s="7"/>
    </row>
    <row r="11" spans="1:20" ht="15.75" thickBot="1" x14ac:dyDescent="0.3">
      <c r="A11" s="7"/>
      <c r="B11" s="57">
        <f>L2+3</f>
        <v>45295</v>
      </c>
      <c r="C11" s="38"/>
      <c r="D11" s="49">
        <v>60</v>
      </c>
      <c r="E11" s="48">
        <f t="shared" si="0"/>
        <v>64.516129032258064</v>
      </c>
      <c r="F11" s="56">
        <f t="shared" si="1"/>
        <v>-4.5161290322580641</v>
      </c>
      <c r="G11" s="7"/>
      <c r="H11" s="55">
        <f t="shared" si="3"/>
        <v>230</v>
      </c>
      <c r="I11" s="54">
        <f t="shared" si="4"/>
        <v>258.06451612903226</v>
      </c>
      <c r="J11" s="7"/>
      <c r="K11" s="49" t="str">
        <f t="shared" si="5"/>
        <v/>
      </c>
      <c r="L11" s="53">
        <f t="shared" si="6"/>
        <v>230</v>
      </c>
      <c r="M11" s="38"/>
      <c r="N11" s="52">
        <v>9</v>
      </c>
      <c r="O11" s="51">
        <v>3</v>
      </c>
      <c r="P11" s="40">
        <f t="shared" si="2"/>
        <v>0.33333333333333331</v>
      </c>
      <c r="Q11" s="7"/>
      <c r="R11" s="2"/>
      <c r="S11" s="2"/>
      <c r="T11" s="7"/>
    </row>
    <row r="12" spans="1:20" ht="15.75" thickBot="1" x14ac:dyDescent="0.3">
      <c r="A12" s="7"/>
      <c r="B12" s="57">
        <f>L2+4</f>
        <v>45296</v>
      </c>
      <c r="C12" s="38"/>
      <c r="D12" s="49">
        <v>70</v>
      </c>
      <c r="E12" s="48">
        <f t="shared" si="0"/>
        <v>64.516129032258064</v>
      </c>
      <c r="F12" s="56">
        <f t="shared" si="1"/>
        <v>5.4838709677419359</v>
      </c>
      <c r="G12" s="7"/>
      <c r="H12" s="55">
        <f t="shared" si="3"/>
        <v>300</v>
      </c>
      <c r="I12" s="54">
        <f t="shared" si="4"/>
        <v>322.58064516129031</v>
      </c>
      <c r="J12" s="7"/>
      <c r="K12" s="49" t="str">
        <f t="shared" si="5"/>
        <v/>
      </c>
      <c r="L12" s="53">
        <f t="shared" si="6"/>
        <v>300</v>
      </c>
      <c r="M12" s="38"/>
      <c r="N12" s="52">
        <v>1</v>
      </c>
      <c r="O12" s="51">
        <v>3</v>
      </c>
      <c r="P12" s="40">
        <f t="shared" si="2"/>
        <v>3</v>
      </c>
      <c r="Q12" s="7"/>
      <c r="R12" s="2"/>
      <c r="S12" s="2"/>
      <c r="T12" s="7"/>
    </row>
    <row r="13" spans="1:20" ht="15.75" thickBot="1" x14ac:dyDescent="0.3">
      <c r="A13" s="7"/>
      <c r="B13" s="57">
        <f>L2+5</f>
        <v>45297</v>
      </c>
      <c r="C13" s="38"/>
      <c r="D13" s="49">
        <v>120</v>
      </c>
      <c r="E13" s="48">
        <f t="shared" si="0"/>
        <v>64.516129032258064</v>
      </c>
      <c r="F13" s="56">
        <f t="shared" si="1"/>
        <v>55.483870967741936</v>
      </c>
      <c r="G13" s="7"/>
      <c r="H13" s="55">
        <f t="shared" si="3"/>
        <v>420</v>
      </c>
      <c r="I13" s="54">
        <f t="shared" si="4"/>
        <v>387.09677419354836</v>
      </c>
      <c r="J13" s="7"/>
      <c r="K13" s="49" t="str">
        <f t="shared" si="5"/>
        <v/>
      </c>
      <c r="L13" s="53">
        <f t="shared" si="6"/>
        <v>420</v>
      </c>
      <c r="M13" s="38"/>
      <c r="N13" s="52">
        <v>4</v>
      </c>
      <c r="O13" s="51">
        <v>4</v>
      </c>
      <c r="P13" s="40">
        <f t="shared" si="2"/>
        <v>1</v>
      </c>
      <c r="Q13" s="7"/>
      <c r="R13" s="2"/>
      <c r="S13" s="2"/>
      <c r="T13" s="7"/>
    </row>
    <row r="14" spans="1:20" ht="15.75" thickBot="1" x14ac:dyDescent="0.3">
      <c r="A14" s="7"/>
      <c r="B14" s="57">
        <f>L2+6</f>
        <v>45298</v>
      </c>
      <c r="C14" s="38"/>
      <c r="D14" s="49">
        <v>190</v>
      </c>
      <c r="E14" s="48">
        <f t="shared" si="0"/>
        <v>64.516129032258064</v>
      </c>
      <c r="F14" s="56">
        <f t="shared" si="1"/>
        <v>125.48387096774194</v>
      </c>
      <c r="G14" s="7"/>
      <c r="H14" s="55">
        <f t="shared" si="3"/>
        <v>610</v>
      </c>
      <c r="I14" s="54">
        <f t="shared" si="4"/>
        <v>451.61290322580641</v>
      </c>
      <c r="J14" s="7"/>
      <c r="K14" s="49" t="str">
        <f t="shared" si="5"/>
        <v/>
      </c>
      <c r="L14" s="53">
        <f t="shared" si="6"/>
        <v>610</v>
      </c>
      <c r="M14" s="38"/>
      <c r="N14" s="52">
        <v>9</v>
      </c>
      <c r="O14" s="51">
        <v>7</v>
      </c>
      <c r="P14" s="40">
        <f t="shared" si="2"/>
        <v>0.77777777777777779</v>
      </c>
      <c r="Q14" s="7"/>
      <c r="R14" s="2"/>
      <c r="S14" s="2"/>
      <c r="T14" s="7"/>
    </row>
    <row r="15" spans="1:20" ht="15.75" thickBot="1" x14ac:dyDescent="0.3">
      <c r="A15" s="7"/>
      <c r="B15" s="57">
        <f>L2+7</f>
        <v>45299</v>
      </c>
      <c r="C15" s="38"/>
      <c r="D15" s="49">
        <v>10</v>
      </c>
      <c r="E15" s="48">
        <f t="shared" si="0"/>
        <v>64.516129032258064</v>
      </c>
      <c r="F15" s="56">
        <f t="shared" si="1"/>
        <v>-54.516129032258064</v>
      </c>
      <c r="G15" s="7"/>
      <c r="H15" s="55">
        <f t="shared" si="3"/>
        <v>620</v>
      </c>
      <c r="I15" s="54">
        <f t="shared" si="4"/>
        <v>516.12903225806451</v>
      </c>
      <c r="J15" s="7"/>
      <c r="K15" s="49" t="str">
        <f t="shared" si="5"/>
        <v/>
      </c>
      <c r="L15" s="53">
        <f t="shared" si="6"/>
        <v>620</v>
      </c>
      <c r="M15" s="38"/>
      <c r="N15" s="52">
        <v>15</v>
      </c>
      <c r="O15" s="51">
        <v>5</v>
      </c>
      <c r="P15" s="40">
        <f t="shared" si="2"/>
        <v>0.33333333333333331</v>
      </c>
      <c r="Q15" s="7"/>
      <c r="R15" s="2"/>
      <c r="S15" s="2"/>
      <c r="T15" s="7"/>
    </row>
    <row r="16" spans="1:20" ht="15.75" thickBot="1" x14ac:dyDescent="0.3">
      <c r="A16" s="7"/>
      <c r="B16" s="57">
        <f>L2+8</f>
        <v>45300</v>
      </c>
      <c r="C16" s="38"/>
      <c r="D16" s="49">
        <v>15</v>
      </c>
      <c r="E16" s="48">
        <f t="shared" si="0"/>
        <v>64.516129032258064</v>
      </c>
      <c r="F16" s="56">
        <f t="shared" si="1"/>
        <v>-49.516129032258064</v>
      </c>
      <c r="G16" s="7"/>
      <c r="H16" s="55">
        <f t="shared" si="3"/>
        <v>635</v>
      </c>
      <c r="I16" s="54">
        <f t="shared" si="4"/>
        <v>580.64516129032256</v>
      </c>
      <c r="J16" s="7"/>
      <c r="K16" s="49" t="str">
        <f t="shared" si="5"/>
        <v/>
      </c>
      <c r="L16" s="53">
        <f t="shared" si="6"/>
        <v>635</v>
      </c>
      <c r="M16" s="38"/>
      <c r="N16" s="52">
        <v>5</v>
      </c>
      <c r="O16" s="51">
        <v>2</v>
      </c>
      <c r="P16" s="40">
        <f t="shared" si="2"/>
        <v>0.4</v>
      </c>
      <c r="Q16" s="7"/>
      <c r="R16" s="2"/>
      <c r="S16" s="2"/>
      <c r="T16" s="7"/>
    </row>
    <row r="17" spans="1:20" ht="15.75" thickBot="1" x14ac:dyDescent="0.3">
      <c r="A17" s="7"/>
      <c r="B17" s="57">
        <f>L2+9</f>
        <v>45301</v>
      </c>
      <c r="C17" s="38"/>
      <c r="D17" s="49">
        <v>60</v>
      </c>
      <c r="E17" s="48">
        <f t="shared" si="0"/>
        <v>64.516129032258064</v>
      </c>
      <c r="F17" s="56">
        <f t="shared" si="1"/>
        <v>-4.5161290322580641</v>
      </c>
      <c r="G17" s="7"/>
      <c r="H17" s="55">
        <f t="shared" si="3"/>
        <v>695</v>
      </c>
      <c r="I17" s="54">
        <f t="shared" si="4"/>
        <v>645.16129032258061</v>
      </c>
      <c r="J17" s="7"/>
      <c r="K17" s="49" t="str">
        <f t="shared" si="5"/>
        <v/>
      </c>
      <c r="L17" s="53">
        <f t="shared" si="6"/>
        <v>695</v>
      </c>
      <c r="M17" s="38"/>
      <c r="N17" s="52">
        <v>7</v>
      </c>
      <c r="O17" s="51">
        <v>1</v>
      </c>
      <c r="P17" s="40">
        <f t="shared" si="2"/>
        <v>0.14285714285714285</v>
      </c>
      <c r="Q17" s="7"/>
      <c r="R17" s="2"/>
      <c r="S17" s="2"/>
      <c r="T17" s="7"/>
    </row>
    <row r="18" spans="1:20" ht="15.75" thickBot="1" x14ac:dyDescent="0.3">
      <c r="A18" s="7"/>
      <c r="B18" s="57">
        <f>L2+10</f>
        <v>45302</v>
      </c>
      <c r="C18" s="38"/>
      <c r="D18" s="49">
        <v>40</v>
      </c>
      <c r="E18" s="48">
        <f t="shared" si="0"/>
        <v>64.516129032258064</v>
      </c>
      <c r="F18" s="56">
        <f t="shared" si="1"/>
        <v>-24.516129032258064</v>
      </c>
      <c r="G18" s="7"/>
      <c r="H18" s="55">
        <f t="shared" si="3"/>
        <v>735</v>
      </c>
      <c r="I18" s="54">
        <f t="shared" si="4"/>
        <v>709.67741935483866</v>
      </c>
      <c r="J18" s="7"/>
      <c r="K18" s="49" t="str">
        <f t="shared" si="5"/>
        <v/>
      </c>
      <c r="L18" s="53">
        <f t="shared" si="6"/>
        <v>735</v>
      </c>
      <c r="M18" s="38"/>
      <c r="N18" s="52">
        <v>8</v>
      </c>
      <c r="O18" s="51">
        <v>2</v>
      </c>
      <c r="P18" s="40">
        <f t="shared" si="2"/>
        <v>0.25</v>
      </c>
      <c r="Q18" s="7"/>
      <c r="R18" s="2"/>
      <c r="S18" s="2"/>
      <c r="T18" s="7"/>
    </row>
    <row r="19" spans="1:20" ht="15.75" thickBot="1" x14ac:dyDescent="0.3">
      <c r="A19" s="7"/>
      <c r="B19" s="57">
        <f>L2+11</f>
        <v>45303</v>
      </c>
      <c r="C19" s="38"/>
      <c r="D19" s="49">
        <v>35</v>
      </c>
      <c r="E19" s="48">
        <f t="shared" si="0"/>
        <v>64.516129032258064</v>
      </c>
      <c r="F19" s="56">
        <f t="shared" si="1"/>
        <v>-29.516129032258064</v>
      </c>
      <c r="G19" s="7"/>
      <c r="H19" s="55">
        <f t="shared" si="3"/>
        <v>770</v>
      </c>
      <c r="I19" s="54">
        <f t="shared" si="4"/>
        <v>774.19354838709671</v>
      </c>
      <c r="J19" s="7"/>
      <c r="K19" s="49" t="str">
        <f t="shared" si="5"/>
        <v/>
      </c>
      <c r="L19" s="53">
        <f t="shared" si="6"/>
        <v>770</v>
      </c>
      <c r="M19" s="38"/>
      <c r="N19" s="52">
        <v>9</v>
      </c>
      <c r="O19" s="51">
        <v>14</v>
      </c>
      <c r="P19" s="40">
        <f t="shared" si="2"/>
        <v>1.5555555555555556</v>
      </c>
      <c r="Q19" s="7"/>
      <c r="R19" s="2"/>
      <c r="S19" s="2"/>
      <c r="T19" s="7"/>
    </row>
    <row r="20" spans="1:20" ht="15.75" thickBot="1" x14ac:dyDescent="0.3">
      <c r="A20" s="7"/>
      <c r="B20" s="57">
        <f>L2+12</f>
        <v>45304</v>
      </c>
      <c r="C20" s="38"/>
      <c r="D20" s="49">
        <v>80</v>
      </c>
      <c r="E20" s="48">
        <f t="shared" si="0"/>
        <v>64.516129032258064</v>
      </c>
      <c r="F20" s="56">
        <f t="shared" si="1"/>
        <v>15.483870967741936</v>
      </c>
      <c r="G20" s="7"/>
      <c r="H20" s="55">
        <f t="shared" si="3"/>
        <v>850</v>
      </c>
      <c r="I20" s="54">
        <f t="shared" si="4"/>
        <v>838.70967741935476</v>
      </c>
      <c r="J20" s="7"/>
      <c r="K20" s="49" t="str">
        <f t="shared" si="5"/>
        <v/>
      </c>
      <c r="L20" s="53">
        <f t="shared" si="6"/>
        <v>850</v>
      </c>
      <c r="M20" s="38"/>
      <c r="N20" s="52">
        <v>8</v>
      </c>
      <c r="O20" s="51">
        <v>5</v>
      </c>
      <c r="P20" s="40">
        <f t="shared" si="2"/>
        <v>0.625</v>
      </c>
      <c r="Q20" s="7"/>
      <c r="R20" s="2"/>
      <c r="S20" s="2"/>
      <c r="T20" s="7"/>
    </row>
    <row r="21" spans="1:20" ht="15.75" customHeight="1" thickBot="1" x14ac:dyDescent="0.3">
      <c r="A21" s="7"/>
      <c r="B21" s="57">
        <f>L2+13</f>
        <v>45305</v>
      </c>
      <c r="C21" s="38"/>
      <c r="D21" s="49">
        <v>50</v>
      </c>
      <c r="E21" s="48">
        <f t="shared" si="0"/>
        <v>64.516129032258064</v>
      </c>
      <c r="F21" s="56">
        <f t="shared" si="1"/>
        <v>-14.516129032258064</v>
      </c>
      <c r="G21" s="7"/>
      <c r="H21" s="55">
        <f t="shared" si="3"/>
        <v>900</v>
      </c>
      <c r="I21" s="54">
        <f t="shared" si="4"/>
        <v>903.22580645161281</v>
      </c>
      <c r="J21" s="7"/>
      <c r="K21" s="49" t="str">
        <f t="shared" si="5"/>
        <v/>
      </c>
      <c r="L21" s="53">
        <f t="shared" si="6"/>
        <v>900</v>
      </c>
      <c r="M21" s="38"/>
      <c r="N21" s="52">
        <v>7</v>
      </c>
      <c r="O21" s="51">
        <v>3</v>
      </c>
      <c r="P21" s="40">
        <f t="shared" si="2"/>
        <v>0.42857142857142855</v>
      </c>
      <c r="Q21" s="7"/>
      <c r="R21" s="2"/>
      <c r="S21" s="2"/>
      <c r="T21" s="7"/>
    </row>
    <row r="22" spans="1:20" ht="15.75" customHeight="1" thickBot="1" x14ac:dyDescent="0.3">
      <c r="A22" s="7"/>
      <c r="B22" s="57">
        <f>L2+14</f>
        <v>45306</v>
      </c>
      <c r="C22" s="38"/>
      <c r="D22" s="49">
        <v>150</v>
      </c>
      <c r="E22" s="48">
        <f t="shared" si="0"/>
        <v>64.516129032258064</v>
      </c>
      <c r="F22" s="56">
        <f t="shared" si="1"/>
        <v>85.483870967741936</v>
      </c>
      <c r="G22" s="7"/>
      <c r="H22" s="55">
        <f t="shared" si="3"/>
        <v>1050</v>
      </c>
      <c r="I22" s="54">
        <f t="shared" si="4"/>
        <v>967.74193548387086</v>
      </c>
      <c r="J22" s="7"/>
      <c r="K22" s="49" t="str">
        <f t="shared" si="5"/>
        <v/>
      </c>
      <c r="L22" s="53">
        <f t="shared" si="6"/>
        <v>1050</v>
      </c>
      <c r="M22" s="38"/>
      <c r="N22" s="52">
        <v>6</v>
      </c>
      <c r="O22" s="51">
        <v>3</v>
      </c>
      <c r="P22" s="40">
        <f t="shared" si="2"/>
        <v>0.5</v>
      </c>
      <c r="Q22" s="7"/>
      <c r="R22" s="2"/>
      <c r="S22" s="2"/>
      <c r="T22" s="7"/>
    </row>
    <row r="23" spans="1:20" ht="15.75" customHeight="1" thickBot="1" x14ac:dyDescent="0.3">
      <c r="A23" s="7"/>
      <c r="B23" s="57">
        <f>L2+15</f>
        <v>45307</v>
      </c>
      <c r="C23" s="38"/>
      <c r="D23" s="49">
        <v>20</v>
      </c>
      <c r="E23" s="48">
        <f t="shared" si="0"/>
        <v>64.516129032258064</v>
      </c>
      <c r="F23" s="56">
        <f t="shared" si="1"/>
        <v>-44.516129032258064</v>
      </c>
      <c r="G23" s="7"/>
      <c r="H23" s="55">
        <f t="shared" si="3"/>
        <v>1070</v>
      </c>
      <c r="I23" s="54">
        <f t="shared" si="4"/>
        <v>1032.258064516129</v>
      </c>
      <c r="J23" s="7"/>
      <c r="K23" s="49" t="str">
        <f t="shared" si="5"/>
        <v/>
      </c>
      <c r="L23" s="53">
        <f t="shared" si="6"/>
        <v>1070</v>
      </c>
      <c r="M23" s="38"/>
      <c r="N23" s="52">
        <v>4</v>
      </c>
      <c r="O23" s="51">
        <v>2</v>
      </c>
      <c r="P23" s="40">
        <f t="shared" si="2"/>
        <v>0.5</v>
      </c>
      <c r="Q23" s="7"/>
      <c r="R23" s="2"/>
      <c r="S23" s="2"/>
      <c r="T23" s="7"/>
    </row>
    <row r="24" spans="1:20" ht="15.75" customHeight="1" thickBot="1" x14ac:dyDescent="0.3">
      <c r="A24" s="7"/>
      <c r="B24" s="57">
        <f>L2+16</f>
        <v>45308</v>
      </c>
      <c r="C24" s="38"/>
      <c r="D24" s="49">
        <v>30</v>
      </c>
      <c r="E24" s="48">
        <f t="shared" si="0"/>
        <v>64.516129032258064</v>
      </c>
      <c r="F24" s="56">
        <f t="shared" si="1"/>
        <v>-34.516129032258064</v>
      </c>
      <c r="G24" s="7"/>
      <c r="H24" s="55">
        <f t="shared" si="3"/>
        <v>1100</v>
      </c>
      <c r="I24" s="54">
        <f t="shared" si="4"/>
        <v>1096.7741935483871</v>
      </c>
      <c r="J24" s="7"/>
      <c r="K24" s="49" t="str">
        <f t="shared" si="5"/>
        <v/>
      </c>
      <c r="L24" s="53">
        <f t="shared" si="6"/>
        <v>1100</v>
      </c>
      <c r="M24" s="38"/>
      <c r="N24" s="52">
        <v>3</v>
      </c>
      <c r="O24" s="51">
        <v>3</v>
      </c>
      <c r="P24" s="40">
        <f t="shared" si="2"/>
        <v>1</v>
      </c>
      <c r="Q24" s="7"/>
      <c r="R24" s="2"/>
      <c r="S24" s="2"/>
      <c r="T24" s="7"/>
    </row>
    <row r="25" spans="1:20" ht="15.75" customHeight="1" thickBot="1" x14ac:dyDescent="0.3">
      <c r="A25" s="7"/>
      <c r="B25" s="57">
        <f>L2+17</f>
        <v>45309</v>
      </c>
      <c r="C25" s="38"/>
      <c r="D25" s="49">
        <v>80</v>
      </c>
      <c r="E25" s="48">
        <f t="shared" si="0"/>
        <v>64.516129032258064</v>
      </c>
      <c r="F25" s="56">
        <f t="shared" si="1"/>
        <v>15.483870967741936</v>
      </c>
      <c r="G25" s="7"/>
      <c r="H25" s="55">
        <f t="shared" si="3"/>
        <v>1180</v>
      </c>
      <c r="I25" s="54">
        <f t="shared" si="4"/>
        <v>1161.2903225806451</v>
      </c>
      <c r="J25" s="7"/>
      <c r="K25" s="49" t="str">
        <f t="shared" si="5"/>
        <v/>
      </c>
      <c r="L25" s="53">
        <f t="shared" si="6"/>
        <v>1180</v>
      </c>
      <c r="M25" s="38"/>
      <c r="N25" s="52">
        <v>8</v>
      </c>
      <c r="O25" s="51">
        <v>5</v>
      </c>
      <c r="P25" s="40">
        <f t="shared" si="2"/>
        <v>0.625</v>
      </c>
      <c r="Q25" s="7"/>
      <c r="R25" s="2"/>
      <c r="S25" s="2"/>
      <c r="T25" s="7"/>
    </row>
    <row r="26" spans="1:20" ht="15.75" customHeight="1" thickBot="1" x14ac:dyDescent="0.3">
      <c r="A26" s="7"/>
      <c r="B26" s="57">
        <f>L2+18</f>
        <v>45310</v>
      </c>
      <c r="C26" s="38"/>
      <c r="D26" s="49">
        <v>90</v>
      </c>
      <c r="E26" s="48">
        <f t="shared" si="0"/>
        <v>64.516129032258064</v>
      </c>
      <c r="F26" s="56">
        <f t="shared" si="1"/>
        <v>25.483870967741936</v>
      </c>
      <c r="G26" s="7"/>
      <c r="H26" s="55">
        <f t="shared" si="3"/>
        <v>1270</v>
      </c>
      <c r="I26" s="54">
        <f t="shared" si="4"/>
        <v>1225.8064516129032</v>
      </c>
      <c r="J26" s="7"/>
      <c r="K26" s="49" t="str">
        <f t="shared" si="5"/>
        <v/>
      </c>
      <c r="L26" s="53">
        <f t="shared" si="6"/>
        <v>1270</v>
      </c>
      <c r="M26" s="38"/>
      <c r="N26" s="52">
        <v>5</v>
      </c>
      <c r="O26" s="51">
        <v>6</v>
      </c>
      <c r="P26" s="40">
        <f t="shared" si="2"/>
        <v>1.2</v>
      </c>
      <c r="Q26" s="7"/>
      <c r="R26" s="2"/>
      <c r="S26" s="2"/>
      <c r="T26" s="7"/>
    </row>
    <row r="27" spans="1:20" ht="15.75" customHeight="1" thickBot="1" x14ac:dyDescent="0.3">
      <c r="A27" s="7"/>
      <c r="B27" s="57">
        <f>L2+19</f>
        <v>45311</v>
      </c>
      <c r="C27" s="38"/>
      <c r="D27" s="49">
        <v>20</v>
      </c>
      <c r="E27" s="48">
        <f t="shared" si="0"/>
        <v>64.516129032258064</v>
      </c>
      <c r="F27" s="56">
        <f t="shared" si="1"/>
        <v>-44.516129032258064</v>
      </c>
      <c r="G27" s="7"/>
      <c r="H27" s="55">
        <f t="shared" si="3"/>
        <v>1290</v>
      </c>
      <c r="I27" s="54">
        <f t="shared" si="4"/>
        <v>1290.3225806451612</v>
      </c>
      <c r="J27" s="7"/>
      <c r="K27" s="49" t="str">
        <f t="shared" si="5"/>
        <v/>
      </c>
      <c r="L27" s="53">
        <f t="shared" si="6"/>
        <v>1290</v>
      </c>
      <c r="M27" s="38"/>
      <c r="N27" s="52">
        <v>1</v>
      </c>
      <c r="O27" s="51">
        <v>4</v>
      </c>
      <c r="P27" s="40">
        <f t="shared" si="2"/>
        <v>4</v>
      </c>
      <c r="Q27" s="7"/>
      <c r="R27" s="2"/>
      <c r="S27" s="2"/>
      <c r="T27" s="7"/>
    </row>
    <row r="28" spans="1:20" ht="15.75" customHeight="1" thickBot="1" x14ac:dyDescent="0.3">
      <c r="A28" s="7"/>
      <c r="B28" s="57">
        <f>L2+20</f>
        <v>45312</v>
      </c>
      <c r="C28" s="38"/>
      <c r="D28" s="49">
        <v>200</v>
      </c>
      <c r="E28" s="48">
        <f t="shared" si="0"/>
        <v>64.516129032258064</v>
      </c>
      <c r="F28" s="56">
        <f t="shared" si="1"/>
        <v>135.48387096774195</v>
      </c>
      <c r="G28" s="7"/>
      <c r="H28" s="55">
        <f t="shared" si="3"/>
        <v>1490</v>
      </c>
      <c r="I28" s="54">
        <f t="shared" si="4"/>
        <v>1354.8387096774193</v>
      </c>
      <c r="J28" s="7"/>
      <c r="K28" s="49" t="str">
        <f t="shared" si="5"/>
        <v/>
      </c>
      <c r="L28" s="53">
        <f t="shared" si="6"/>
        <v>1490</v>
      </c>
      <c r="M28" s="38"/>
      <c r="N28" s="52">
        <v>9</v>
      </c>
      <c r="O28" s="51">
        <v>5</v>
      </c>
      <c r="P28" s="40">
        <f t="shared" si="2"/>
        <v>0.55555555555555558</v>
      </c>
      <c r="Q28" s="7"/>
      <c r="R28" s="2"/>
      <c r="S28" s="2"/>
      <c r="T28" s="7"/>
    </row>
    <row r="29" spans="1:20" ht="15.75" customHeight="1" thickBot="1" x14ac:dyDescent="0.3">
      <c r="A29" s="7"/>
      <c r="B29" s="57">
        <f>L2+21</f>
        <v>45313</v>
      </c>
      <c r="C29" s="38"/>
      <c r="D29" s="49">
        <v>50</v>
      </c>
      <c r="E29" s="48">
        <f t="shared" si="0"/>
        <v>64.516129032258064</v>
      </c>
      <c r="F29" s="56">
        <f t="shared" si="1"/>
        <v>-14.516129032258064</v>
      </c>
      <c r="G29" s="7"/>
      <c r="H29" s="55">
        <f t="shared" si="3"/>
        <v>1540</v>
      </c>
      <c r="I29" s="54">
        <f t="shared" si="4"/>
        <v>1419.3548387096773</v>
      </c>
      <c r="J29" s="7"/>
      <c r="K29" s="49" t="str">
        <f t="shared" si="5"/>
        <v/>
      </c>
      <c r="L29" s="53">
        <f t="shared" si="6"/>
        <v>1540</v>
      </c>
      <c r="M29" s="38"/>
      <c r="N29" s="52">
        <v>3</v>
      </c>
      <c r="O29" s="51">
        <v>3</v>
      </c>
      <c r="P29" s="40">
        <f t="shared" si="2"/>
        <v>1</v>
      </c>
      <c r="Q29" s="7"/>
      <c r="R29" s="2"/>
      <c r="S29" s="2"/>
      <c r="T29" s="7"/>
    </row>
    <row r="30" spans="1:20" ht="15.75" customHeight="1" thickBot="1" x14ac:dyDescent="0.3">
      <c r="A30" s="7"/>
      <c r="B30" s="57">
        <f>L2+22</f>
        <v>45314</v>
      </c>
      <c r="C30" s="38"/>
      <c r="D30" s="49">
        <v>90</v>
      </c>
      <c r="E30" s="48">
        <f t="shared" si="0"/>
        <v>64.516129032258064</v>
      </c>
      <c r="F30" s="56">
        <f t="shared" si="1"/>
        <v>25.483870967741936</v>
      </c>
      <c r="G30" s="7"/>
      <c r="H30" s="55">
        <f t="shared" si="3"/>
        <v>1630</v>
      </c>
      <c r="I30" s="54">
        <f t="shared" si="4"/>
        <v>1483.8709677419354</v>
      </c>
      <c r="J30" s="7"/>
      <c r="K30" s="49" t="str">
        <f t="shared" si="5"/>
        <v/>
      </c>
      <c r="L30" s="53">
        <f t="shared" si="6"/>
        <v>1630</v>
      </c>
      <c r="M30" s="38"/>
      <c r="N30" s="52">
        <v>8</v>
      </c>
      <c r="O30" s="51">
        <v>4</v>
      </c>
      <c r="P30" s="40">
        <f t="shared" si="2"/>
        <v>0.5</v>
      </c>
      <c r="Q30" s="7"/>
      <c r="R30" s="2"/>
      <c r="S30" s="2"/>
      <c r="T30" s="7"/>
    </row>
    <row r="31" spans="1:20" ht="15.75" customHeight="1" thickBot="1" x14ac:dyDescent="0.3">
      <c r="A31" s="7"/>
      <c r="B31" s="57">
        <f>L2+23</f>
        <v>45315</v>
      </c>
      <c r="C31" s="38"/>
      <c r="D31" s="49"/>
      <c r="E31" s="48">
        <f t="shared" si="0"/>
        <v>64.516129032258064</v>
      </c>
      <c r="F31" s="56" t="str">
        <f t="shared" si="1"/>
        <v/>
      </c>
      <c r="G31" s="7"/>
      <c r="H31" s="55"/>
      <c r="I31" s="54"/>
      <c r="J31" s="7"/>
      <c r="K31" s="49"/>
      <c r="L31" s="53"/>
      <c r="M31" s="38"/>
      <c r="N31" s="52"/>
      <c r="O31" s="51"/>
      <c r="P31" s="40"/>
      <c r="Q31" s="7"/>
      <c r="R31" s="2"/>
      <c r="S31" s="2"/>
      <c r="T31" s="7"/>
    </row>
    <row r="32" spans="1:20" ht="15.75" customHeight="1" thickBot="1" x14ac:dyDescent="0.3">
      <c r="A32" s="7"/>
      <c r="B32" s="57">
        <f>L2+24</f>
        <v>45316</v>
      </c>
      <c r="C32" s="38"/>
      <c r="D32" s="49"/>
      <c r="E32" s="48">
        <f t="shared" si="0"/>
        <v>64.516129032258064</v>
      </c>
      <c r="F32" s="56" t="str">
        <f t="shared" si="1"/>
        <v/>
      </c>
      <c r="G32" s="7"/>
      <c r="H32" s="55"/>
      <c r="I32" s="54"/>
      <c r="J32" s="7"/>
      <c r="K32" s="49"/>
      <c r="L32" s="53"/>
      <c r="M32" s="38"/>
      <c r="N32" s="52"/>
      <c r="O32" s="51"/>
      <c r="P32" s="40"/>
      <c r="Q32" s="7"/>
      <c r="R32" s="2"/>
      <c r="S32" s="2"/>
      <c r="T32" s="7"/>
    </row>
    <row r="33" spans="1:20" ht="15.75" customHeight="1" thickBot="1" x14ac:dyDescent="0.3">
      <c r="A33" s="7"/>
      <c r="B33" s="57">
        <f>L2+25</f>
        <v>45317</v>
      </c>
      <c r="C33" s="38"/>
      <c r="D33" s="49"/>
      <c r="E33" s="48">
        <f t="shared" si="0"/>
        <v>64.516129032258064</v>
      </c>
      <c r="F33" s="56" t="str">
        <f t="shared" si="1"/>
        <v/>
      </c>
      <c r="G33" s="7"/>
      <c r="H33" s="55"/>
      <c r="I33" s="54"/>
      <c r="J33" s="7"/>
      <c r="K33" s="49"/>
      <c r="L33" s="53"/>
      <c r="M33" s="38"/>
      <c r="N33" s="52"/>
      <c r="O33" s="51"/>
      <c r="P33" s="40"/>
      <c r="Q33" s="7"/>
      <c r="R33" s="2"/>
      <c r="S33" s="2"/>
      <c r="T33" s="7"/>
    </row>
    <row r="34" spans="1:20" ht="15.75" customHeight="1" thickBot="1" x14ac:dyDescent="0.3">
      <c r="A34" s="7"/>
      <c r="B34" s="57">
        <f>L2+26</f>
        <v>45318</v>
      </c>
      <c r="C34" s="38"/>
      <c r="D34" s="49"/>
      <c r="E34" s="48">
        <f t="shared" si="0"/>
        <v>64.516129032258064</v>
      </c>
      <c r="F34" s="56" t="str">
        <f t="shared" si="1"/>
        <v/>
      </c>
      <c r="G34" s="7"/>
      <c r="H34" s="55"/>
      <c r="I34" s="54"/>
      <c r="J34" s="7"/>
      <c r="K34" s="49"/>
      <c r="L34" s="53"/>
      <c r="M34" s="38"/>
      <c r="N34" s="52"/>
      <c r="O34" s="51"/>
      <c r="P34" s="40"/>
      <c r="Q34" s="7"/>
      <c r="R34" s="2"/>
      <c r="S34" s="2"/>
      <c r="T34" s="7"/>
    </row>
    <row r="35" spans="1:20" ht="15.75" customHeight="1" thickBot="1" x14ac:dyDescent="0.3">
      <c r="A35" s="7"/>
      <c r="B35" s="57">
        <f>L2+27</f>
        <v>45319</v>
      </c>
      <c r="C35" s="38"/>
      <c r="D35" s="49"/>
      <c r="E35" s="48">
        <f t="shared" si="0"/>
        <v>64.516129032258064</v>
      </c>
      <c r="F35" s="56" t="str">
        <f t="shared" si="1"/>
        <v/>
      </c>
      <c r="G35" s="7"/>
      <c r="H35" s="55"/>
      <c r="I35" s="54"/>
      <c r="J35" s="7"/>
      <c r="K35" s="49"/>
      <c r="L35" s="53"/>
      <c r="M35" s="38"/>
      <c r="N35" s="52"/>
      <c r="O35" s="51"/>
      <c r="P35" s="40"/>
      <c r="Q35" s="7"/>
      <c r="R35" s="2"/>
      <c r="S35" s="2"/>
      <c r="T35" s="7"/>
    </row>
    <row r="36" spans="1:20" ht="15.75" customHeight="1" thickBot="1" x14ac:dyDescent="0.3">
      <c r="A36" s="7"/>
      <c r="B36" s="57">
        <f>IF((DAY(L2+28) &gt; 10),L2+28,"")</f>
        <v>45320</v>
      </c>
      <c r="C36" s="38"/>
      <c r="D36" s="49"/>
      <c r="E36" s="48">
        <f>IF((DAY(L2+28) &gt; 10),L$4/(COUNT(B$8:B$38)),"")</f>
        <v>64.516129032258064</v>
      </c>
      <c r="F36" s="56" t="str">
        <f t="shared" si="1"/>
        <v/>
      </c>
      <c r="G36" s="7"/>
      <c r="H36" s="55"/>
      <c r="I36" s="54"/>
      <c r="J36" s="7"/>
      <c r="K36" s="49"/>
      <c r="L36" s="53"/>
      <c r="M36" s="38"/>
      <c r="N36" s="52"/>
      <c r="O36" s="51"/>
      <c r="P36" s="40"/>
      <c r="Q36" s="7"/>
      <c r="R36" s="2"/>
      <c r="S36" s="2"/>
      <c r="T36" s="7"/>
    </row>
    <row r="37" spans="1:20" ht="15.75" customHeight="1" thickBot="1" x14ac:dyDescent="0.3">
      <c r="A37" s="7"/>
      <c r="B37" s="57">
        <f>IF((DAY(L2+29) &gt; 10),L2+29,"")</f>
        <v>45321</v>
      </c>
      <c r="C37" s="38"/>
      <c r="D37" s="49"/>
      <c r="E37" s="48">
        <f>IF((DAY(L2+29) &gt; 10),L$4/(COUNT(B$8:B$38)),"")</f>
        <v>64.516129032258064</v>
      </c>
      <c r="F37" s="56" t="str">
        <f t="shared" si="1"/>
        <v/>
      </c>
      <c r="G37" s="7"/>
      <c r="H37" s="55"/>
      <c r="I37" s="54"/>
      <c r="J37" s="7"/>
      <c r="K37" s="49"/>
      <c r="L37" s="53"/>
      <c r="M37" s="38"/>
      <c r="N37" s="52"/>
      <c r="O37" s="51"/>
      <c r="P37" s="40"/>
      <c r="Q37" s="7"/>
      <c r="R37" s="2"/>
      <c r="S37" s="2"/>
      <c r="T37" s="7"/>
    </row>
    <row r="38" spans="1:20" ht="15.75" customHeight="1" thickBot="1" x14ac:dyDescent="0.3">
      <c r="A38" s="7"/>
      <c r="B38" s="50">
        <f>IF((DAY(L2+30) &gt; 10),L2+30,"")</f>
        <v>45322</v>
      </c>
      <c r="C38" s="38"/>
      <c r="D38" s="44"/>
      <c r="E38" s="48">
        <f>IF((DAY(L2+30) &gt; 10),L$4/(COUNT(B$8:B$38)),"")</f>
        <v>64.516129032258064</v>
      </c>
      <c r="F38" s="47" t="str">
        <f t="shared" si="1"/>
        <v/>
      </c>
      <c r="G38" s="7"/>
      <c r="H38" s="46"/>
      <c r="I38" s="45"/>
      <c r="J38" s="7"/>
      <c r="K38" s="44"/>
      <c r="L38" s="43"/>
      <c r="M38" s="38"/>
      <c r="N38" s="42"/>
      <c r="O38" s="41"/>
      <c r="P38" s="40"/>
      <c r="Q38" s="7"/>
      <c r="R38" s="2"/>
      <c r="S38" s="2"/>
      <c r="T38" s="7"/>
    </row>
    <row r="39" spans="1:20" ht="15.75" customHeight="1" thickBot="1" x14ac:dyDescent="0.3">
      <c r="A39" s="7"/>
      <c r="B39" s="39" t="s">
        <v>17</v>
      </c>
      <c r="C39" s="38"/>
      <c r="D39" s="37">
        <f>SUM(D8:D38)</f>
        <v>1630</v>
      </c>
      <c r="E39" s="36">
        <f>SUM(E8:E38)</f>
        <v>1999.9999999999998</v>
      </c>
      <c r="F39" s="35"/>
      <c r="G39" s="34"/>
      <c r="H39" s="32"/>
      <c r="I39" s="32"/>
      <c r="J39" s="33"/>
      <c r="K39" s="32"/>
      <c r="L39" s="32"/>
      <c r="M39" s="31"/>
      <c r="N39" s="30">
        <f>SUM(N8:N38)</f>
        <v>162</v>
      </c>
      <c r="O39" s="29">
        <f>SUM(O8:O38)</f>
        <v>108</v>
      </c>
      <c r="P39" s="28"/>
      <c r="Q39" s="27"/>
      <c r="R39" s="2"/>
      <c r="S39" s="2"/>
      <c r="T39" s="7"/>
    </row>
    <row r="40" spans="1:20" ht="15.75" customHeight="1" x14ac:dyDescent="0.25">
      <c r="A40" s="19"/>
      <c r="B40" s="26"/>
      <c r="C40" s="25"/>
      <c r="D40" s="22" t="s">
        <v>36</v>
      </c>
      <c r="E40" s="77">
        <f>AVERAGE(D8:D30)</f>
        <v>70.869565217391298</v>
      </c>
      <c r="F40" s="23"/>
      <c r="G40" s="2"/>
      <c r="H40" s="22"/>
      <c r="I40" s="22"/>
      <c r="J40" s="22"/>
      <c r="K40" s="22"/>
      <c r="L40" s="22"/>
      <c r="M40" s="22"/>
      <c r="N40" s="22"/>
      <c r="O40" s="23"/>
      <c r="P40" s="22"/>
      <c r="Q40" s="2"/>
      <c r="R40" s="2"/>
      <c r="S40" s="2"/>
      <c r="T40" s="7"/>
    </row>
    <row r="41" spans="1:20" ht="15.75" customHeight="1" x14ac:dyDescent="0.4">
      <c r="A41" s="19"/>
      <c r="B41" s="2"/>
      <c r="C41" s="2"/>
      <c r="D41" s="21" t="s">
        <v>35</v>
      </c>
      <c r="E41" s="20">
        <f>VARA(D8:D30)</f>
        <v>2678.7549407114625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7"/>
    </row>
    <row r="42" spans="1:20" ht="15.75" customHeight="1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7"/>
    </row>
    <row r="43" spans="1:20" ht="15.75" customHeight="1" x14ac:dyDescent="0.25">
      <c r="A43" s="1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7"/>
    </row>
    <row r="44" spans="1:20" ht="15.75" customHeight="1" x14ac:dyDescent="0.25">
      <c r="A44" s="17"/>
      <c r="B44" s="16"/>
    </row>
    <row r="45" spans="1:20" ht="15.75" customHeight="1" x14ac:dyDescent="0.25">
      <c r="E45" s="15"/>
      <c r="F45" s="14"/>
    </row>
    <row r="46" spans="1:20" ht="15.75" customHeight="1" x14ac:dyDescent="0.25">
      <c r="E46" s="15"/>
      <c r="F46" s="14"/>
    </row>
    <row r="47" spans="1:20" ht="15.75" customHeight="1" x14ac:dyDescent="0.2"/>
    <row r="48" spans="1:2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P6:P7"/>
    <mergeCell ref="B2:I2"/>
    <mergeCell ref="L2:M2"/>
    <mergeCell ref="B4:C4"/>
    <mergeCell ref="D4:F4"/>
    <mergeCell ref="I4:K4"/>
    <mergeCell ref="L4:M4"/>
    <mergeCell ref="B6:B7"/>
    <mergeCell ref="D6:F6"/>
    <mergeCell ref="H6:I6"/>
    <mergeCell ref="K6:K7"/>
    <mergeCell ref="L6:L7"/>
    <mergeCell ref="N6:N7"/>
    <mergeCell ref="O6:O7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F7A7-9625-443A-9E7C-4AA705ADAFC0}">
  <dimension ref="A1:G10"/>
  <sheetViews>
    <sheetView workbookViewId="0">
      <selection activeCell="G6" sqref="G6"/>
    </sheetView>
  </sheetViews>
  <sheetFormatPr defaultRowHeight="15" x14ac:dyDescent="0.25"/>
  <sheetData>
    <row r="1" spans="1:7" x14ac:dyDescent="0.25">
      <c r="A1" s="150"/>
      <c r="B1" t="s">
        <v>39</v>
      </c>
    </row>
    <row r="2" spans="1:7" x14ac:dyDescent="0.25">
      <c r="A2" s="151"/>
    </row>
    <row r="3" spans="1:7" x14ac:dyDescent="0.25">
      <c r="A3" s="152"/>
    </row>
    <row r="4" spans="1:7" x14ac:dyDescent="0.25">
      <c r="A4" s="153"/>
      <c r="B4" t="s">
        <v>33</v>
      </c>
    </row>
    <row r="5" spans="1:7" x14ac:dyDescent="0.25">
      <c r="A5" s="154"/>
      <c r="B5" s="160" t="s">
        <v>42</v>
      </c>
    </row>
    <row r="6" spans="1:7" x14ac:dyDescent="0.25">
      <c r="A6" s="155"/>
      <c r="B6" s="160" t="s">
        <v>40</v>
      </c>
    </row>
    <row r="7" spans="1:7" x14ac:dyDescent="0.25">
      <c r="A7" s="156"/>
      <c r="G7" s="205"/>
    </row>
    <row r="8" spans="1:7" x14ac:dyDescent="0.25">
      <c r="A8" s="157"/>
    </row>
    <row r="9" spans="1:7" x14ac:dyDescent="0.25">
      <c r="A9" s="158"/>
      <c r="B9" t="s">
        <v>41</v>
      </c>
    </row>
    <row r="10" spans="1:7" x14ac:dyDescent="0.25">
      <c r="A10" s="15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F538-42D9-478D-A3DA-072C45A3E551}">
  <dimension ref="A18:B1000"/>
  <sheetViews>
    <sheetView workbookViewId="0"/>
  </sheetViews>
  <sheetFormatPr defaultColWidth="14.42578125" defaultRowHeight="15" customHeight="1" x14ac:dyDescent="0.2"/>
  <cols>
    <col min="1" max="1" width="16.85546875" style="1" customWidth="1"/>
    <col min="2" max="26" width="8.85546875" style="1" customWidth="1"/>
    <col min="27" max="16384" width="14.42578125" style="1"/>
  </cols>
  <sheetData>
    <row r="18" spans="1:2" x14ac:dyDescent="0.25">
      <c r="A18" s="16" t="s">
        <v>34</v>
      </c>
      <c r="B18" s="76">
        <f>'Acompanhamento Jose'!D39</f>
        <v>1630</v>
      </c>
    </row>
    <row r="19" spans="1:2" x14ac:dyDescent="0.25">
      <c r="A19" s="16" t="s">
        <v>33</v>
      </c>
      <c r="B19" s="76">
        <f>'Acompanhamento Jose'!E39</f>
        <v>1999.9999999999998</v>
      </c>
    </row>
    <row r="20" spans="1:2" x14ac:dyDescent="0.25">
      <c r="A20" s="16" t="s">
        <v>24</v>
      </c>
      <c r="B20" s="76">
        <f>'Acompanhamento Jose'!L38</f>
        <v>0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Inicial</vt:lpstr>
      <vt:lpstr>Acompanhamento Ana</vt:lpstr>
      <vt:lpstr>Acompanhamento Ana (2)</vt:lpstr>
      <vt:lpstr>Graficos Ana</vt:lpstr>
      <vt:lpstr>Acompanhamento Joao</vt:lpstr>
      <vt:lpstr>Graficos Joao</vt:lpstr>
      <vt:lpstr>Acompanhamento Jose</vt:lpstr>
      <vt:lpstr>Planilha2</vt:lpstr>
      <vt:lpstr>Graficos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VEIGA FURTADO</dc:creator>
  <cp:lastModifiedBy>AMANDA VEIGA FURTADO</cp:lastModifiedBy>
  <dcterms:created xsi:type="dcterms:W3CDTF">2024-10-28T12:43:24Z</dcterms:created>
  <dcterms:modified xsi:type="dcterms:W3CDTF">2024-10-29T21:05:55Z</dcterms:modified>
</cp:coreProperties>
</file>