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 Diário" sheetId="1" r:id="rId5"/>
    <sheet state="visible" name="Bomba" sheetId="2" r:id="rId6"/>
    <sheet state="visible" name="Colunas e Ramais" sheetId="3" r:id="rId7"/>
    <sheet state="visible" name="Sub-Ramais" sheetId="4" r:id="rId8"/>
    <sheet state="visible" name="Piscina" sheetId="5" r:id="rId9"/>
  </sheets>
  <definedNames/>
  <calcPr/>
</workbook>
</file>

<file path=xl/sharedStrings.xml><?xml version="1.0" encoding="utf-8"?>
<sst xmlns="http://schemas.openxmlformats.org/spreadsheetml/2006/main" count="883" uniqueCount="400">
  <si>
    <t>CONSUMO DIÁRIO</t>
  </si>
  <si>
    <t>IT</t>
  </si>
  <si>
    <t>Dados de Entrada</t>
  </si>
  <si>
    <t>Descrição</t>
  </si>
  <si>
    <t>Valor</t>
  </si>
  <si>
    <t>Unidade</t>
  </si>
  <si>
    <t>Ocupação residencial</t>
  </si>
  <si>
    <t>A-2</t>
  </si>
  <si>
    <t>Habitação Multifamiliar</t>
  </si>
  <si>
    <t>Dormitórios por apartamento</t>
  </si>
  <si>
    <t>-</t>
  </si>
  <si>
    <t>Edificação alta</t>
  </si>
  <si>
    <t>Tipo VI</t>
  </si>
  <si>
    <t>População por dormitório</t>
  </si>
  <si>
    <t>Pessoas</t>
  </si>
  <si>
    <t>Carga de incêndio</t>
  </si>
  <si>
    <t>MJ/m²</t>
  </si>
  <si>
    <t>14/2022</t>
  </si>
  <si>
    <t>População Torre</t>
  </si>
  <si>
    <t>Pavimentos</t>
  </si>
  <si>
    <t>Risco</t>
  </si>
  <si>
    <t>Baixo</t>
  </si>
  <si>
    <t>Volume por dormitório</t>
  </si>
  <si>
    <t>L / Dia</t>
  </si>
  <si>
    <t>Área da edificação</t>
  </si>
  <si>
    <t>m²</t>
  </si>
  <si>
    <t>Vagas de estacionamento</t>
  </si>
  <si>
    <t>Vagas</t>
  </si>
  <si>
    <t>RTI</t>
  </si>
  <si>
    <t>m³</t>
  </si>
  <si>
    <t>Consumo por vaga</t>
  </si>
  <si>
    <t>Área do Jardim</t>
  </si>
  <si>
    <t>RTI / 3</t>
  </si>
  <si>
    <t>Volume da Piscina</t>
  </si>
  <si>
    <t>A caixa dagua</t>
  </si>
  <si>
    <t>PI * r ^ 2</t>
  </si>
  <si>
    <t>Área da Torre</t>
  </si>
  <si>
    <t>Pavimento</t>
  </si>
  <si>
    <t>Altura da RTI (m)</t>
  </si>
  <si>
    <t>V RTI / A caixa dagua</t>
  </si>
  <si>
    <t>m</t>
  </si>
  <si>
    <t>Total</t>
  </si>
  <si>
    <t>Altura da Torre</t>
  </si>
  <si>
    <t>TORRE</t>
  </si>
  <si>
    <t>Volume do Reservatório</t>
  </si>
  <si>
    <t>DIRETO</t>
  </si>
  <si>
    <t>Inferior</t>
  </si>
  <si>
    <t>1,2 Cd ind torre</t>
  </si>
  <si>
    <t>Cd Jardim</t>
  </si>
  <si>
    <t>Area do Jardim * 1,5 L / m²</t>
  </si>
  <si>
    <t>Superior</t>
  </si>
  <si>
    <t>0,8 Cd ind torre + RTI</t>
  </si>
  <si>
    <t>Cd Superior</t>
  </si>
  <si>
    <t>0,8 Cd / 1000</t>
  </si>
  <si>
    <t>Cd Piscina</t>
  </si>
  <si>
    <t>2% * Volume da Piscina * 1000 L / m³</t>
  </si>
  <si>
    <t>Uso superior</t>
  </si>
  <si>
    <t>60 - RTI</t>
  </si>
  <si>
    <t>Sobra do superior</t>
  </si>
  <si>
    <t>Cd Superior - Uso superior</t>
  </si>
  <si>
    <t>Cd Estacionamento</t>
  </si>
  <si>
    <t>Vagas * Consumo * 15%</t>
  </si>
  <si>
    <t>Inf final</t>
  </si>
  <si>
    <t>Inferior + Sobra do superior</t>
  </si>
  <si>
    <t>Sup final</t>
  </si>
  <si>
    <t>Maximo é 60</t>
  </si>
  <si>
    <t>Cd DIRETO TOTAL</t>
  </si>
  <si>
    <t>SOMA</t>
  </si>
  <si>
    <t>Inf final + Sup final</t>
  </si>
  <si>
    <t>INDIRETO</t>
  </si>
  <si>
    <t>SALÃO</t>
  </si>
  <si>
    <t>Cd apto</t>
  </si>
  <si>
    <t>2 * 400</t>
  </si>
  <si>
    <t>Cd terreo</t>
  </si>
  <si>
    <t>5*800</t>
  </si>
  <si>
    <t>2 Cd ind Salão</t>
  </si>
  <si>
    <t>Cd pav</t>
  </si>
  <si>
    <t>800 * 6</t>
  </si>
  <si>
    <t>CHURRASQUEIRA</t>
  </si>
  <si>
    <t>Cd Torre</t>
  </si>
  <si>
    <t>Cd pav * 17 + Cd terreo</t>
  </si>
  <si>
    <t>2 Cd ind Churras</t>
  </si>
  <si>
    <t>Cd Guarita</t>
  </si>
  <si>
    <t>2 pessoas * 200 L / dia</t>
  </si>
  <si>
    <t>GUARITA</t>
  </si>
  <si>
    <t>Cd Salão</t>
  </si>
  <si>
    <t>Restaurante - 50 x 25 L</t>
  </si>
  <si>
    <t>2 Cd ind Guarita</t>
  </si>
  <si>
    <t>Cd Churrasqueira</t>
  </si>
  <si>
    <t>Cd INDIRETO TOTAL</t>
  </si>
  <si>
    <t>Soma</t>
  </si>
  <si>
    <t>CONSUMO TOTAL</t>
  </si>
  <si>
    <t>Cd Total</t>
  </si>
  <si>
    <t>Cd DIRETO TOTAL +
Cd INDIRETO TOTAL</t>
  </si>
  <si>
    <t>ALIMENTADOR PREDIAL</t>
  </si>
  <si>
    <t>Q AP</t>
  </si>
  <si>
    <t>( Cd / 24h ) = (Cd) / (24*60*60)</t>
  </si>
  <si>
    <t>L / seg</t>
  </si>
  <si>
    <t>( Cd / 24h ) = (Cd / 1000) / (24)</t>
  </si>
  <si>
    <t>m³ / h</t>
  </si>
  <si>
    <t>DIÂMETRO DE SUCÇÃO</t>
  </si>
  <si>
    <t>D AP</t>
  </si>
  <si>
    <t>RAIZ((4*QAP)/(3,14159*V AP))</t>
  </si>
  <si>
    <t>mm</t>
  </si>
  <si>
    <t>D AP Nominal</t>
  </si>
  <si>
    <t>D externo</t>
  </si>
  <si>
    <t>Adotado</t>
  </si>
  <si>
    <t>MACROMEDIÇÃO</t>
  </si>
  <si>
    <t>Qmin diario</t>
  </si>
  <si>
    <t>Qmax diario</t>
  </si>
  <si>
    <t>Q AP * K1 * K2</t>
  </si>
  <si>
    <t>Qmax mensal</t>
  </si>
  <si>
    <t>Qmax diario * 30</t>
  </si>
  <si>
    <t>CONSUMO MENSAL</t>
  </si>
  <si>
    <t>Cd mensal</t>
  </si>
  <si>
    <t>Cd Total * 30</t>
  </si>
  <si>
    <t>m³/mes</t>
  </si>
  <si>
    <t>MACROMEDIDOR</t>
  </si>
  <si>
    <t>Qmax</t>
  </si>
  <si>
    <t>Anexo III CAERN</t>
  </si>
  <si>
    <t>Dmax</t>
  </si>
  <si>
    <t>HIDROMETRO</t>
  </si>
  <si>
    <t>Dormitórios por apartamento * População por dormitório * Volume por dormitório</t>
  </si>
  <si>
    <t>L / dia</t>
  </si>
  <si>
    <t>Qmin</t>
  </si>
  <si>
    <t>(Cd apto / 1000 ) / 24</t>
  </si>
  <si>
    <t>Qmin * K1 * K2</t>
  </si>
  <si>
    <t>Qmes</t>
  </si>
  <si>
    <t>(Cd apto / 1000) * 30</t>
  </si>
  <si>
    <t>Qhidrometro</t>
  </si>
  <si>
    <t>Tabela: Faixas de consumo para dimensionamento de hidrômetros</t>
  </si>
  <si>
    <t>Dhidrometro</t>
  </si>
  <si>
    <t>D escolhido</t>
  </si>
  <si>
    <t>Maior entre hidrometro e Alimentador Predial</t>
  </si>
  <si>
    <t xml:space="preserve"> </t>
  </si>
  <si>
    <t>RECALQUE / SUCÇÃO</t>
  </si>
  <si>
    <t>Cd INDIRETO TORRE</t>
  </si>
  <si>
    <t>T func</t>
  </si>
  <si>
    <t>4,5 h em 24 h</t>
  </si>
  <si>
    <t>seg</t>
  </si>
  <si>
    <t>Q bomba</t>
  </si>
  <si>
    <t>Cd ind / T func</t>
  </si>
  <si>
    <t>m³ / seg</t>
  </si>
  <si>
    <t>Dr &gt;</t>
  </si>
  <si>
    <t>1,3*((T func / 24)^(1 / 4))*RAIZ(Q bomba)</t>
  </si>
  <si>
    <t>Dr adotado</t>
  </si>
  <si>
    <t>Ds &gt;</t>
  </si>
  <si>
    <t>Superior à Dr</t>
  </si>
  <si>
    <t>Diâmetro nominal (DN)</t>
  </si>
  <si>
    <t>PVC</t>
  </si>
  <si>
    <t>TUBO DE PLÁSTICO, COBRE OU LIGA DE COBRE</t>
  </si>
  <si>
    <t>Tê de saída bilateral</t>
  </si>
  <si>
    <t>Entrada normal</t>
  </si>
  <si>
    <t>Entrada de borda</t>
  </si>
  <si>
    <t>Saída de canalização</t>
  </si>
  <si>
    <t>Válvula de retenção leve</t>
  </si>
  <si>
    <t>Válvula de retenção pesada</t>
  </si>
  <si>
    <t>Registro de gaveta aberto</t>
  </si>
  <si>
    <t>Joelho 90º</t>
  </si>
  <si>
    <t>Joelho 45º</t>
  </si>
  <si>
    <t>Curva 90º</t>
  </si>
  <si>
    <t>Curva 45º</t>
  </si>
  <si>
    <t>Tê passagem direta</t>
  </si>
  <si>
    <t>Tê passagem lateral</t>
  </si>
  <si>
    <t>SUCÇÃO</t>
  </si>
  <si>
    <t>90 mm</t>
  </si>
  <si>
    <t>Quantidade (90 mm)</t>
  </si>
  <si>
    <t>EQ SUCÇÃO</t>
  </si>
  <si>
    <t>REAL SUCÇÃO</t>
  </si>
  <si>
    <t>Comprimento Equivalente (90 mm)</t>
  </si>
  <si>
    <t>RECALQUE</t>
  </si>
  <si>
    <t>75 mm</t>
  </si>
  <si>
    <t>Quantidade (75 mm)</t>
  </si>
  <si>
    <t>EQ RECALQUE</t>
  </si>
  <si>
    <t>REAL RECALQUE</t>
  </si>
  <si>
    <t>Comprimento Equivalente (75 mm)</t>
  </si>
  <si>
    <t>PERDA DE CARGA UNITÁRIA SUCÇÃO</t>
  </si>
  <si>
    <t>PERDA DE CARGA UNITÁRIA RECALQUE</t>
  </si>
  <si>
    <t>f</t>
  </si>
  <si>
    <t>Coeficiente de atrito</t>
  </si>
  <si>
    <t>L</t>
  </si>
  <si>
    <t>Comprimento da tubulação</t>
  </si>
  <si>
    <t>v</t>
  </si>
  <si>
    <t>Velocidade do escoamento</t>
  </si>
  <si>
    <t>m/s</t>
  </si>
  <si>
    <t>D</t>
  </si>
  <si>
    <t>Diametro da tubulação</t>
  </si>
  <si>
    <t>g</t>
  </si>
  <si>
    <t>Gravidade</t>
  </si>
  <si>
    <t>hf</t>
  </si>
  <si>
    <t>Perda de carga unitária</t>
  </si>
  <si>
    <t>Js</t>
  </si>
  <si>
    <t>kPa/m</t>
  </si>
  <si>
    <t>Jr</t>
  </si>
  <si>
    <t>mca/m</t>
  </si>
  <si>
    <t>Perda de carga Total</t>
  </si>
  <si>
    <t>Perda de carga unitária x Comprimento total</t>
  </si>
  <si>
    <t>mca</t>
  </si>
  <si>
    <t>hs</t>
  </si>
  <si>
    <t>reservatório inferior até bomba</t>
  </si>
  <si>
    <t>PERDA DE CARGA NO HIDRÔMETRO</t>
  </si>
  <si>
    <t>hr</t>
  </si>
  <si>
    <t>bomba até reservatório superior</t>
  </si>
  <si>
    <t>Hg</t>
  </si>
  <si>
    <t>hs + hr</t>
  </si>
  <si>
    <t>Q</t>
  </si>
  <si>
    <t>Qmax *1000 / (60*60)</t>
  </si>
  <si>
    <t>△ hS</t>
  </si>
  <si>
    <t>Js (LrS + LeS)</t>
  </si>
  <si>
    <t>m/m</t>
  </si>
  <si>
    <t>△ hR</t>
  </si>
  <si>
    <t>Jr (LrR + LeR)</t>
  </si>
  <si>
    <t>△ h hid</t>
  </si>
  <si>
    <t>(36 Q)^2 * (Qmax)^-2</t>
  </si>
  <si>
    <t>kPa</t>
  </si>
  <si>
    <t>△ h</t>
  </si>
  <si>
    <t>△ hS + △ hR</t>
  </si>
  <si>
    <t>Hm</t>
  </si>
  <si>
    <t>Hg + △ h</t>
  </si>
  <si>
    <t>Bomba Escolhida</t>
  </si>
  <si>
    <t>KMU-VZ</t>
  </si>
  <si>
    <t xml:space="preserve">W / KMU Multiestágio </t>
  </si>
  <si>
    <t>RPM</t>
  </si>
  <si>
    <t>1 a 19</t>
  </si>
  <si>
    <t>H</t>
  </si>
  <si>
    <t xml:space="preserve">10 a 200 </t>
  </si>
  <si>
    <t>MODELO</t>
  </si>
  <si>
    <t>KMU / III H-9</t>
  </si>
  <si>
    <t>POTÊNCIA</t>
  </si>
  <si>
    <t>CV</t>
  </si>
  <si>
    <t>NÚMERO DE ESTAGIOS</t>
  </si>
  <si>
    <t>Pressão Atmosférica</t>
  </si>
  <si>
    <t>NPSH disp</t>
  </si>
  <si>
    <t>PA − hs + Pv + ∆hs</t>
  </si>
  <si>
    <t>NPSH req</t>
  </si>
  <si>
    <t>Tabela</t>
  </si>
  <si>
    <t>NPSH disp &gt; NPSH req</t>
  </si>
  <si>
    <t>Diâmetro da tubulação de limpeza e extravasor</t>
  </si>
  <si>
    <t>Reservatório Superior</t>
  </si>
  <si>
    <t>Reservatório Inferior</t>
  </si>
  <si>
    <t>RAMAIS</t>
  </si>
  <si>
    <t>BANHEIRO TORRE</t>
  </si>
  <si>
    <t>BANHEIRO CHURRASQUEIRA</t>
  </si>
  <si>
    <t>COZINHA TORRE</t>
  </si>
  <si>
    <t>COZINHA CHURRASQUEIRA</t>
  </si>
  <si>
    <t>Aparelho sanitário</t>
  </si>
  <si>
    <t>Peça de utilização</t>
  </si>
  <si>
    <t>Vazão de projeto (L/s)</t>
  </si>
  <si>
    <t xml:space="preserve"> Peso relativo</t>
  </si>
  <si>
    <t>Quantidade</t>
  </si>
  <si>
    <t>Bacia sanitária</t>
  </si>
  <si>
    <t>Caixa de descarga</t>
  </si>
  <si>
    <t>Chuveiro</t>
  </si>
  <si>
    <t>Misturador (água fria)</t>
  </si>
  <si>
    <t>Ducha Higiênica</t>
  </si>
  <si>
    <t>Lavadora de pratos ou de
roupas</t>
  </si>
  <si>
    <t>Registro de pressão</t>
  </si>
  <si>
    <t>Lavatório</t>
  </si>
  <si>
    <t>Torneira ou misturador (água fria)</t>
  </si>
  <si>
    <t>Pia</t>
  </si>
  <si>
    <t>Somatório dos Pesos</t>
  </si>
  <si>
    <t>BANHEIRO SALÃO</t>
  </si>
  <si>
    <t>BANHEIRO GUARITA</t>
  </si>
  <si>
    <t>COZINHA SALÃO</t>
  </si>
  <si>
    <t>VAZÃO DO RAMAL</t>
  </si>
  <si>
    <t>Banheiro</t>
  </si>
  <si>
    <t>Cozinha</t>
  </si>
  <si>
    <t>Torre</t>
  </si>
  <si>
    <t>Churrasqueira</t>
  </si>
  <si>
    <t>Salão</t>
  </si>
  <si>
    <t>Guarita</t>
  </si>
  <si>
    <t>RAMAIS INTERNOS</t>
  </si>
  <si>
    <t>Pesos</t>
  </si>
  <si>
    <t>Soma dos Pesos</t>
  </si>
  <si>
    <t>Diâmetros Internos (mm)</t>
  </si>
  <si>
    <t>Diâmetros Externos (mm)</t>
  </si>
  <si>
    <t>OBS</t>
  </si>
  <si>
    <t>Consumo máximo provável → Edificações com muitos pontos de utilização e coluna de distribuição (ex: edifícios)</t>
  </si>
  <si>
    <t>VERIFICAÇÃO DA PRESSÃO NAS COLUNAS</t>
  </si>
  <si>
    <t>Pav.</t>
  </si>
  <si>
    <t>Trecho</t>
  </si>
  <si>
    <t>Vazão estimada</t>
  </si>
  <si>
    <t>Diâmetro Externo</t>
  </si>
  <si>
    <t>Diametro Interno</t>
  </si>
  <si>
    <t>Velocidade</t>
  </si>
  <si>
    <t>Difer. De cota</t>
  </si>
  <si>
    <t>Pressão disponível</t>
  </si>
  <si>
    <t>Comprimento</t>
  </si>
  <si>
    <t>Perda de carga</t>
  </si>
  <si>
    <t>Pressão residual</t>
  </si>
  <si>
    <t>Pressão requerida</t>
  </si>
  <si>
    <t>Status</t>
  </si>
  <si>
    <t>Real</t>
  </si>
  <si>
    <t>Equiv.</t>
  </si>
  <si>
    <t>Tubulação</t>
  </si>
  <si>
    <t>Conexão</t>
  </si>
  <si>
    <t>Unitários</t>
  </si>
  <si>
    <t>Acumulados</t>
  </si>
  <si>
    <t>L/s</t>
  </si>
  <si>
    <t>Terreo</t>
  </si>
  <si>
    <t>AB</t>
  </si>
  <si>
    <t>BC</t>
  </si>
  <si>
    <t>CD</t>
  </si>
  <si>
    <t>EF</t>
  </si>
  <si>
    <t>FG</t>
  </si>
  <si>
    <t>GH</t>
  </si>
  <si>
    <t>IJ</t>
  </si>
  <si>
    <t>JK</t>
  </si>
  <si>
    <t>KL</t>
  </si>
  <si>
    <t>VRP</t>
  </si>
  <si>
    <t>LM</t>
  </si>
  <si>
    <t>MN</t>
  </si>
  <si>
    <t>NO</t>
  </si>
  <si>
    <t>OP</t>
  </si>
  <si>
    <t>PQ</t>
  </si>
  <si>
    <t>QR</t>
  </si>
  <si>
    <t>RS</t>
  </si>
  <si>
    <t>ST</t>
  </si>
  <si>
    <t>TU</t>
  </si>
  <si>
    <t>Vazão no VRP</t>
  </si>
  <si>
    <t>Q andar 9 * 60</t>
  </si>
  <si>
    <t>L / min</t>
  </si>
  <si>
    <t>Diâmetro do VRP</t>
  </si>
  <si>
    <t>2"</t>
  </si>
  <si>
    <t>60 mm</t>
  </si>
  <si>
    <t>VERIFICAÇÃO DA PRESSÃO NOS RAMAIS</t>
  </si>
  <si>
    <t>Barrilete</t>
  </si>
  <si>
    <t>0A</t>
  </si>
  <si>
    <t>Pressurizador</t>
  </si>
  <si>
    <t>Fica depois do Hidrômetro</t>
  </si>
  <si>
    <t>DE</t>
  </si>
  <si>
    <t>COLUNA ATÉ BANHEIRO</t>
  </si>
  <si>
    <t>EQ</t>
  </si>
  <si>
    <t>REAL</t>
  </si>
  <si>
    <t>SUB-RAMAIS</t>
  </si>
  <si>
    <t>BANHEIROS TORRE</t>
  </si>
  <si>
    <t>Peças de utilização</t>
  </si>
  <si>
    <t>Diâmetro nominal</t>
  </si>
  <si>
    <t>Diâmetros Escolhidos (Polegadas)</t>
  </si>
  <si>
    <t>DN (diâmetro nominal) (mm)</t>
  </si>
  <si>
    <t>Referência (polegadas)</t>
  </si>
  <si>
    <t>Bacia sanitária com caixa de descarga</t>
  </si>
  <si>
    <t>ADOTADO</t>
  </si>
  <si>
    <t>Máquina de lavar roupa</t>
  </si>
  <si>
    <t>Pia de cozinha</t>
  </si>
  <si>
    <t>Tanque de lavar roupa</t>
  </si>
  <si>
    <t>DIMENSIONAMENTO DA TUBULAÇÃO</t>
  </si>
  <si>
    <t>V Kids</t>
  </si>
  <si>
    <t>V Ad</t>
  </si>
  <si>
    <t>V Total</t>
  </si>
  <si>
    <t>Volume</t>
  </si>
  <si>
    <t>T max</t>
  </si>
  <si>
    <t>Tempo de Recirculação máximo</t>
  </si>
  <si>
    <t>h</t>
  </si>
  <si>
    <t>Q max piscina</t>
  </si>
  <si>
    <t>V / T</t>
  </si>
  <si>
    <t>Ignorar esses quadrados vermelhos ;)</t>
  </si>
  <si>
    <t>Modelo do Filtro</t>
  </si>
  <si>
    <t>222TP5</t>
  </si>
  <si>
    <t>Modelo da Bomba</t>
  </si>
  <si>
    <t>15B-T</t>
  </si>
  <si>
    <t>Potência Bomba</t>
  </si>
  <si>
    <t>1.1/2</t>
  </si>
  <si>
    <t>cv</t>
  </si>
  <si>
    <t>Q req</t>
  </si>
  <si>
    <t>T novo</t>
  </si>
  <si>
    <t>V / Q req</t>
  </si>
  <si>
    <t>V / T novo</t>
  </si>
  <si>
    <t>D suc</t>
  </si>
  <si>
    <t>D rec</t>
  </si>
  <si>
    <t>Coadeiras Kids</t>
  </si>
  <si>
    <t>Uma coadeira para cada 50m2 de superfície de água em piscinas semipúblicas e públicas.</t>
  </si>
  <si>
    <t>Coadeiras Adulto</t>
  </si>
  <si>
    <t>Retorno kids</t>
  </si>
  <si>
    <t>Um dispositivo para cada 50m^2 de superfície de água ou um dispositivo para cada 50m^3 de volume de água, devendo-se adotar a maior quantidade obtida.
Usar no mínimo 2 retornos</t>
  </si>
  <si>
    <t>Retorno Adulto</t>
  </si>
  <si>
    <t>Aspirador</t>
  </si>
  <si>
    <t>Variável</t>
  </si>
  <si>
    <t>COMPRIMENTOS EQUIVALENTES</t>
  </si>
  <si>
    <t>Piscina</t>
  </si>
  <si>
    <t>Conexões</t>
  </si>
  <si>
    <t>T direto</t>
  </si>
  <si>
    <t>T lateral</t>
  </si>
  <si>
    <t>Registro de Esfera</t>
  </si>
  <si>
    <t>Comprimento Equivalente Total</t>
  </si>
  <si>
    <t>Recalque</t>
  </si>
  <si>
    <t>Pesos 60 mm (2'')</t>
  </si>
  <si>
    <t>L eq Individual</t>
  </si>
  <si>
    <t>Sucção</t>
  </si>
  <si>
    <t>Pesos 85 mm (3'')</t>
  </si>
  <si>
    <t>PERDA DE CARGA</t>
  </si>
  <si>
    <t>Vazão</t>
  </si>
  <si>
    <t>Diâmetro (mm)</t>
  </si>
  <si>
    <t>Perda de Carga</t>
  </si>
  <si>
    <t>Equivalente</t>
  </si>
  <si>
    <t>Q (L / seg)</t>
  </si>
  <si>
    <t>J</t>
  </si>
  <si>
    <t>H (mca)</t>
  </si>
  <si>
    <t>Filtro</t>
  </si>
  <si>
    <t>Perda de Carga Total (mca)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</si>
</sst>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yyyy"/>
    <numFmt numFmtId="165" formatCode="0.0000"/>
    <numFmt numFmtId="166" formatCode="0.000"/>
    <numFmt numFmtId="167" formatCode="d/m"/>
    <numFmt numFmtId="168" formatCode="0.0"/>
  </numFmts>
  <fonts count="9">
    <font>
      <sz val="10.0"/>
      <color rgb="FF000000"/>
      <name val="Arial"/>
      <scheme val="minor"/>
    </font>
    <font>
      <sz val="12.0"/>
      <color theme="1"/>
      <name val="Times New Roman"/>
    </font>
    <font>
      <sz val="10.0"/>
      <color theme="1"/>
      <name val="Times New Roman"/>
    </font>
    <font/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393"/>
        <bgColor rgb="FFFF9393"/>
      </patternFill>
    </fill>
    <fill>
      <patternFill patternType="solid">
        <fgColor rgb="FF64FF64"/>
        <bgColor rgb="FF64FF64"/>
      </patternFill>
    </fill>
    <fill>
      <patternFill patternType="solid">
        <fgColor rgb="FFA7C7FA"/>
        <bgColor rgb="FFA7C7FA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4" fillId="0" fontId="1" numFmtId="2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2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2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1" numFmtId="2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0" fontId="1" numFmtId="166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0" fontId="6" numFmtId="165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0" fillId="0" fontId="6" numFmtId="2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0" fontId="6" numFmtId="2" xfId="0" applyAlignment="1" applyBorder="1" applyFont="1" applyNumberFormat="1">
      <alignment horizontal="center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4" fillId="0" fontId="2" numFmtId="2" xfId="0" applyAlignment="1" applyBorder="1" applyFont="1" applyNumberFormat="1">
      <alignment horizontal="center" readingOrder="0" shrinkToFit="0" vertical="center" wrapText="1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4" fillId="0" fontId="2" numFmtId="2" xfId="0" applyAlignment="1" applyBorder="1" applyFont="1" applyNumberFormat="1">
      <alignment horizontal="center" shrinkToFit="0" vertical="center" wrapText="1"/>
    </xf>
    <xf borderId="4" fillId="0" fontId="2" numFmtId="165" xfId="0" applyAlignment="1" applyBorder="1" applyFont="1" applyNumberFormat="1">
      <alignment horizontal="center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2" xfId="0" applyAlignment="1" applyBorder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2" xfId="0" applyAlignment="1" applyBorder="1" applyFont="1" applyNumberFormat="1">
      <alignment horizontal="center" shrinkToFit="0" vertical="center" wrapText="1"/>
    </xf>
    <xf borderId="4" fillId="0" fontId="6" numFmtId="2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4" fillId="7" fontId="4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5" fillId="0" fontId="4" numFmtId="2" xfId="0" applyAlignment="1" applyBorder="1" applyFont="1" applyNumberFormat="1">
      <alignment horizontal="center" shrinkToFit="0" vertical="center" wrapText="1"/>
    </xf>
    <xf borderId="1" fillId="0" fontId="4" numFmtId="2" xfId="0" applyAlignment="1" applyBorder="1" applyFont="1" applyNumberFormat="1">
      <alignment horizontal="center" shrinkToFit="0" vertical="center" wrapText="1"/>
    </xf>
    <xf borderId="4" fillId="0" fontId="4" numFmtId="2" xfId="0" applyAlignment="1" applyBorder="1" applyFont="1" applyNumberForma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9" fillId="7" fontId="5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" fillId="7" fontId="5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8" fillId="0" fontId="3" numFmtId="0" xfId="0" applyBorder="1" applyFont="1"/>
    <xf borderId="4" fillId="7" fontId="5" numFmtId="0" xfId="0" applyAlignment="1" applyBorder="1" applyFont="1">
      <alignment horizontal="center" shrinkToFit="0" vertical="center" wrapText="1"/>
    </xf>
    <xf borderId="0" fillId="9" fontId="4" numFmtId="0" xfId="0" applyAlignment="1" applyFill="1" applyFont="1">
      <alignment horizontal="center" readingOrder="0" shrinkToFit="0" vertical="center" wrapText="1"/>
    </xf>
    <xf borderId="4" fillId="9" fontId="5" numFmtId="2" xfId="0" applyAlignment="1" applyBorder="1" applyFont="1" applyNumberFormat="1">
      <alignment horizontal="center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4" fillId="9" fontId="5" numFmtId="2" xfId="0" applyAlignment="1" applyBorder="1" applyFont="1" applyNumberForma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7" numFmtId="2" xfId="0" applyAlignment="1" applyBorder="1" applyFont="1" applyNumberFormat="1">
      <alignment horizontal="center" shrinkToFit="0" vertical="center" wrapText="1"/>
    </xf>
    <xf borderId="4" fillId="0" fontId="8" numFmtId="2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2" xfId="0" applyAlignment="1" applyBorder="1" applyFont="1" applyNumberFormat="1">
      <alignment horizontal="center" shrinkToFit="0" vertical="center" wrapText="1"/>
    </xf>
    <xf borderId="4" fillId="10" fontId="4" numFmtId="0" xfId="0" applyAlignment="1" applyBorder="1" applyFill="1" applyFont="1">
      <alignment horizontal="center" readingOrder="0" shrinkToFit="0" vertical="center" wrapText="1"/>
    </xf>
    <xf borderId="4" fillId="10" fontId="4" numFmtId="0" xfId="0" applyAlignment="1" applyBorder="1" applyFont="1">
      <alignment horizontal="center" shrinkToFit="0" vertical="center" wrapText="1"/>
    </xf>
    <xf borderId="4" fillId="10" fontId="4" numFmtId="0" xfId="0" applyAlignment="1" applyBorder="1" applyFont="1">
      <alignment horizontal="center" shrinkToFit="0" wrapText="1"/>
    </xf>
    <xf borderId="13" fillId="0" fontId="3" numFmtId="0" xfId="0" applyBorder="1" applyFont="1"/>
    <xf borderId="0" fillId="0" fontId="5" numFmtId="2" xfId="0" applyAlignment="1" applyFont="1" applyNumberFormat="1">
      <alignment horizontal="center" shrinkToFit="0" vertical="center" wrapText="1"/>
    </xf>
    <xf borderId="5" fillId="7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shrinkToFit="0" wrapText="1"/>
    </xf>
    <xf borderId="0" fillId="6" fontId="4" numFmtId="0" xfId="0" applyAlignment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0" fontId="4" numFmtId="167" xfId="0" applyAlignment="1" applyBorder="1" applyFont="1" applyNumberFormat="1">
      <alignment horizontal="center" shrinkToFit="0" vertical="center" wrapText="1"/>
    </xf>
    <xf borderId="5" fillId="0" fontId="4" numFmtId="167" xfId="0" applyAlignment="1" applyBorder="1" applyFont="1" applyNumberFormat="1">
      <alignment horizontal="center" readingOrder="0" shrinkToFit="0" vertical="center" wrapText="1"/>
    </xf>
    <xf borderId="4" fillId="0" fontId="4" numFmtId="167" xfId="0" applyAlignment="1" applyBorder="1" applyFont="1" applyNumberFormat="1">
      <alignment horizontal="center" readingOrder="0" shrinkToFit="0" vertical="center" wrapText="1"/>
    </xf>
    <xf borderId="11" fillId="0" fontId="4" numFmtId="167" xfId="0" applyAlignment="1" applyBorder="1" applyFont="1" applyNumberForma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7" fillId="0" fontId="4" numFmtId="167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wrapText="1"/>
    </xf>
    <xf borderId="4" fillId="4" fontId="5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readingOrder="0" shrinkToFit="0" vertical="center" wrapText="1"/>
    </xf>
    <xf borderId="9" fillId="0" fontId="4" numFmtId="167" xfId="0" applyAlignment="1" applyBorder="1" applyFont="1" applyNumberForma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3" fillId="0" fontId="4" numFmtId="167" xfId="0" applyAlignment="1" applyBorder="1" applyFont="1" applyNumberFormat="1">
      <alignment horizontal="center" readingOrder="0" shrinkToFit="0" vertical="center" wrapText="1"/>
    </xf>
    <xf borderId="12" fillId="0" fontId="4" numFmtId="167" xfId="0" applyAlignment="1" applyBorder="1" applyFont="1" applyNumberForma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12" fontId="4" numFmtId="0" xfId="0" applyAlignment="1" applyFill="1" applyFont="1">
      <alignment horizontal="center" readingOrder="0" shrinkToFit="0" vertical="center" wrapText="1"/>
    </xf>
    <xf borderId="4" fillId="13" fontId="4" numFmtId="0" xfId="0" applyAlignment="1" applyBorder="1" applyFill="1" applyFont="1">
      <alignment horizontal="center" readingOrder="0" shrinkToFit="0" vertical="center" wrapText="1"/>
    </xf>
    <xf borderId="4" fillId="14" fontId="4" numFmtId="0" xfId="0" applyAlignment="1" applyBorder="1" applyFill="1" applyFont="1">
      <alignment horizontal="center" readingOrder="0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4" fillId="4" fontId="6" numFmtId="2" xfId="0" applyAlignment="1" applyBorder="1" applyFont="1" applyNumberFormat="1">
      <alignment horizontal="center" readingOrder="0" shrinkToFit="0" vertical="center" wrapText="1"/>
    </xf>
    <xf borderId="4" fillId="0" fontId="6" numFmtId="2" xfId="0" applyAlignment="1" applyBorder="1" applyFont="1" applyNumberFormat="1">
      <alignment horizontal="center" readingOrder="0" shrinkToFit="0" vertical="center" wrapText="1"/>
    </xf>
    <xf borderId="4" fillId="0" fontId="4" numFmtId="168" xfId="0" applyAlignment="1" applyBorder="1" applyFont="1" applyNumberForma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8.png"/><Relationship Id="rId5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9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38</xdr:row>
      <xdr:rowOff>171450</xdr:rowOff>
    </xdr:from>
    <xdr:ext cx="4362450" cy="1181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447675</xdr:colOff>
      <xdr:row>36</xdr:row>
      <xdr:rowOff>590550</xdr:rowOff>
    </xdr:from>
    <xdr:ext cx="2628900" cy="2695575"/>
    <xdr:grpSp>
      <xdr:nvGrpSpPr>
        <xdr:cNvPr id="2" name="Shape 2" title="Desenho"/>
        <xdr:cNvGrpSpPr/>
      </xdr:nvGrpSpPr>
      <xdr:grpSpPr>
        <a:xfrm>
          <a:off x="-218425" y="2978500"/>
          <a:ext cx="4199700" cy="2640950"/>
          <a:chOff x="-218425" y="2978500"/>
          <a:chExt cx="4199700" cy="2640950"/>
        </a:xfrm>
      </xdr:grpSpPr>
      <xdr:cxnSp>
        <xdr:nvCxnSpPr>
          <xdr:cNvPr id="3" name="Shape 3"/>
          <xdr:cNvCxnSpPr/>
        </xdr:nvCxnSpPr>
        <xdr:spPr>
          <a:xfrm>
            <a:off x="-218425" y="2978500"/>
            <a:ext cx="4199700" cy="1980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" name="Shape 4"/>
          <xdr:cNvCxnSpPr/>
        </xdr:nvCxnSpPr>
        <xdr:spPr>
          <a:xfrm rot="10800000">
            <a:off x="3961400" y="2998350"/>
            <a:ext cx="0" cy="262110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962025</xdr:colOff>
      <xdr:row>26</xdr:row>
      <xdr:rowOff>19050</xdr:rowOff>
    </xdr:from>
    <xdr:ext cx="3819525" cy="64579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2</xdr:row>
      <xdr:rowOff>47625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68</xdr:row>
      <xdr:rowOff>9525</xdr:rowOff>
    </xdr:from>
    <xdr:ext cx="6753225" cy="3314700"/>
    <xdr:pic>
      <xdr:nvPicPr>
        <xdr:cNvPr id="0" name="image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409575</xdr:colOff>
      <xdr:row>47</xdr:row>
      <xdr:rowOff>142875</xdr:rowOff>
    </xdr:from>
    <xdr:ext cx="4371975" cy="44862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48</xdr:row>
      <xdr:rowOff>238125</xdr:rowOff>
    </xdr:from>
    <xdr:ext cx="4124325" cy="2886075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247650</xdr:colOff>
      <xdr:row>22</xdr:row>
      <xdr:rowOff>171450</xdr:rowOff>
    </xdr:from>
    <xdr:ext cx="3762375" cy="525780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685800</xdr:colOff>
      <xdr:row>24</xdr:row>
      <xdr:rowOff>9525</xdr:rowOff>
    </xdr:from>
    <xdr:ext cx="5829300" cy="218122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36</xdr:row>
      <xdr:rowOff>133350</xdr:rowOff>
    </xdr:from>
    <xdr:ext cx="10258425" cy="27717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561975</xdr:colOff>
      <xdr:row>37</xdr:row>
      <xdr:rowOff>257175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25</xdr:row>
      <xdr:rowOff>200025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904875</xdr:colOff>
      <xdr:row>0</xdr:row>
      <xdr:rowOff>200025</xdr:rowOff>
    </xdr:from>
    <xdr:ext cx="4724400" cy="506730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10</xdr:row>
      <xdr:rowOff>209550</xdr:rowOff>
    </xdr:from>
    <xdr:ext cx="5495925" cy="657225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0</xdr:row>
      <xdr:rowOff>200025</xdr:rowOff>
    </xdr:from>
    <xdr:ext cx="5495925" cy="971550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41</xdr:row>
      <xdr:rowOff>123825</xdr:rowOff>
    </xdr:from>
    <xdr:ext cx="10696575" cy="4010025"/>
    <xdr:pic>
      <xdr:nvPicPr>
        <xdr:cNvPr id="0" name="image5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15</xdr:row>
      <xdr:rowOff>114300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22</xdr:row>
      <xdr:rowOff>180975</xdr:rowOff>
    </xdr:from>
    <xdr:ext cx="7010400" cy="4391025"/>
    <xdr:pic>
      <xdr:nvPicPr>
        <xdr:cNvPr id="0" name="image10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88"/>
    <col customWidth="1" min="3" max="3" width="25.13"/>
    <col customWidth="1" min="4" max="5" width="12.63"/>
    <col customWidth="1" min="6" max="6" width="3.0"/>
    <col customWidth="1" min="7" max="7" width="18.88"/>
    <col customWidth="1" min="8" max="10" width="12.63"/>
    <col customWidth="1" min="11" max="11" width="3.25"/>
  </cols>
  <sheetData>
    <row r="1">
      <c r="A1" s="1"/>
      <c r="B1" s="2"/>
      <c r="C1" s="3"/>
      <c r="D1" s="2"/>
      <c r="E1" s="2"/>
      <c r="F1" s="1"/>
      <c r="G1" s="1"/>
      <c r="H1" s="1"/>
      <c r="I1" s="1"/>
      <c r="J1" s="2"/>
      <c r="K1" s="1"/>
    </row>
    <row r="2">
      <c r="A2" s="1"/>
      <c r="B2" s="4" t="s">
        <v>0</v>
      </c>
      <c r="C2" s="5"/>
      <c r="D2" s="5"/>
      <c r="E2" s="6"/>
      <c r="F2" s="1"/>
      <c r="G2" s="7"/>
      <c r="H2" s="5"/>
      <c r="I2" s="6"/>
      <c r="J2" s="8" t="s">
        <v>1</v>
      </c>
      <c r="K2" s="1"/>
    </row>
    <row r="3">
      <c r="A3" s="1"/>
      <c r="B3" s="9" t="s">
        <v>2</v>
      </c>
      <c r="C3" s="10" t="s">
        <v>3</v>
      </c>
      <c r="D3" s="9" t="s">
        <v>4</v>
      </c>
      <c r="E3" s="9" t="s">
        <v>5</v>
      </c>
      <c r="F3" s="1"/>
      <c r="G3" s="9" t="s">
        <v>6</v>
      </c>
      <c r="H3" s="8" t="s">
        <v>7</v>
      </c>
      <c r="I3" s="8" t="s">
        <v>8</v>
      </c>
      <c r="J3" s="11">
        <v>44562.0</v>
      </c>
      <c r="K3" s="1"/>
    </row>
    <row r="4">
      <c r="A4" s="1"/>
      <c r="B4" s="9" t="s">
        <v>9</v>
      </c>
      <c r="C4" s="12" t="s">
        <v>10</v>
      </c>
      <c r="D4" s="8">
        <v>2.0</v>
      </c>
      <c r="E4" s="8"/>
      <c r="F4" s="1"/>
      <c r="G4" s="9" t="s">
        <v>11</v>
      </c>
      <c r="H4" s="8" t="str">
        <f>D15 &amp; " m"</f>
        <v>56,01 m</v>
      </c>
      <c r="I4" s="8" t="s">
        <v>12</v>
      </c>
      <c r="J4" s="11">
        <v>44562.0</v>
      </c>
      <c r="K4" s="1"/>
    </row>
    <row r="5">
      <c r="A5" s="1"/>
      <c r="B5" s="9" t="s">
        <v>13</v>
      </c>
      <c r="C5" s="12" t="s">
        <v>10</v>
      </c>
      <c r="D5" s="8">
        <v>2.0</v>
      </c>
      <c r="E5" s="8" t="s">
        <v>14</v>
      </c>
      <c r="F5" s="1"/>
      <c r="G5" s="9" t="s">
        <v>15</v>
      </c>
      <c r="H5" s="8">
        <v>300.0</v>
      </c>
      <c r="I5" s="8" t="s">
        <v>16</v>
      </c>
      <c r="J5" s="8" t="s">
        <v>17</v>
      </c>
      <c r="K5" s="1"/>
    </row>
    <row r="6">
      <c r="A6" s="1"/>
      <c r="B6" s="9" t="s">
        <v>18</v>
      </c>
      <c r="C6" s="12" t="s">
        <v>10</v>
      </c>
      <c r="D6" s="8">
        <f>D4*D5*(17*6+5)</f>
        <v>428</v>
      </c>
      <c r="E6" s="8"/>
      <c r="F6" s="1"/>
      <c r="G6" s="2"/>
      <c r="H6" s="2"/>
      <c r="I6" s="1"/>
      <c r="J6" s="1"/>
      <c r="K6" s="1"/>
    </row>
    <row r="7">
      <c r="A7" s="1"/>
      <c r="B7" s="9" t="s">
        <v>19</v>
      </c>
      <c r="C7" s="12" t="s">
        <v>10</v>
      </c>
      <c r="D7" s="8">
        <v>17.0</v>
      </c>
      <c r="E7" s="8"/>
      <c r="F7" s="1"/>
      <c r="G7" s="9" t="s">
        <v>20</v>
      </c>
      <c r="H7" s="13" t="s">
        <v>21</v>
      </c>
      <c r="I7" s="5"/>
      <c r="J7" s="6"/>
      <c r="K7" s="1"/>
    </row>
    <row r="8">
      <c r="A8" s="1"/>
      <c r="B8" s="9" t="s">
        <v>22</v>
      </c>
      <c r="C8" s="12" t="s">
        <v>10</v>
      </c>
      <c r="D8" s="8">
        <v>200.0</v>
      </c>
      <c r="E8" s="8" t="s">
        <v>23</v>
      </c>
      <c r="F8" s="1"/>
      <c r="G8" s="14" t="s">
        <v>24</v>
      </c>
      <c r="H8" s="6"/>
      <c r="I8" s="8">
        <v>5490.54</v>
      </c>
      <c r="J8" s="8" t="s">
        <v>25</v>
      </c>
      <c r="K8" s="1"/>
    </row>
    <row r="9">
      <c r="A9" s="1"/>
      <c r="B9" s="9" t="s">
        <v>26</v>
      </c>
      <c r="C9" s="12" t="s">
        <v>10</v>
      </c>
      <c r="D9" s="8">
        <v>113.0</v>
      </c>
      <c r="E9" s="8" t="s">
        <v>27</v>
      </c>
      <c r="F9" s="1"/>
      <c r="G9" s="14" t="s">
        <v>28</v>
      </c>
      <c r="H9" s="6"/>
      <c r="I9" s="8">
        <v>18.0</v>
      </c>
      <c r="J9" s="8" t="s">
        <v>29</v>
      </c>
      <c r="K9" s="1"/>
    </row>
    <row r="10">
      <c r="A10" s="1"/>
      <c r="B10" s="9" t="s">
        <v>30</v>
      </c>
      <c r="C10" s="12" t="s">
        <v>10</v>
      </c>
      <c r="D10" s="8">
        <v>100.0</v>
      </c>
      <c r="E10" s="8" t="s">
        <v>23</v>
      </c>
      <c r="F10" s="1"/>
      <c r="G10" s="1"/>
      <c r="H10" s="1"/>
      <c r="I10" s="1"/>
      <c r="J10" s="1"/>
      <c r="K10" s="1"/>
    </row>
    <row r="11">
      <c r="A11" s="1"/>
      <c r="B11" s="9" t="s">
        <v>31</v>
      </c>
      <c r="C11" s="12" t="s">
        <v>10</v>
      </c>
      <c r="D11" s="15">
        <v>1546.54</v>
      </c>
      <c r="E11" s="8" t="s">
        <v>25</v>
      </c>
      <c r="F11" s="1"/>
      <c r="G11" s="16" t="s">
        <v>32</v>
      </c>
      <c r="H11" s="6"/>
      <c r="I11" s="17">
        <f>I9/3</f>
        <v>6</v>
      </c>
      <c r="J11" s="8" t="s">
        <v>29</v>
      </c>
      <c r="K11" s="1"/>
    </row>
    <row r="12">
      <c r="A12" s="1"/>
      <c r="B12" s="9" t="s">
        <v>33</v>
      </c>
      <c r="C12" s="12" t="s">
        <v>10</v>
      </c>
      <c r="D12" s="15">
        <v>108.33</v>
      </c>
      <c r="E12" s="8" t="s">
        <v>29</v>
      </c>
      <c r="F12" s="1"/>
      <c r="G12" s="18" t="s">
        <v>34</v>
      </c>
      <c r="H12" s="19" t="s">
        <v>35</v>
      </c>
      <c r="I12" s="20">
        <f>3.14159 * (3.17/2) ^2</f>
        <v>7.892380938</v>
      </c>
      <c r="J12" s="8" t="s">
        <v>25</v>
      </c>
      <c r="K12" s="1"/>
    </row>
    <row r="13">
      <c r="A13" s="1"/>
      <c r="B13" s="9" t="s">
        <v>36</v>
      </c>
      <c r="C13" s="12" t="s">
        <v>37</v>
      </c>
      <c r="D13" s="15">
        <v>305.03</v>
      </c>
      <c r="E13" s="8" t="s">
        <v>25</v>
      </c>
      <c r="F13" s="1"/>
      <c r="G13" s="18" t="s">
        <v>38</v>
      </c>
      <c r="H13" s="19" t="s">
        <v>39</v>
      </c>
      <c r="I13" s="20">
        <f>I11/I12</f>
        <v>0.7602268628</v>
      </c>
      <c r="J13" s="19" t="s">
        <v>40</v>
      </c>
      <c r="K13" s="1"/>
    </row>
    <row r="14">
      <c r="A14" s="1"/>
      <c r="B14" s="9" t="s">
        <v>36</v>
      </c>
      <c r="C14" s="12" t="s">
        <v>41</v>
      </c>
      <c r="D14" s="21">
        <f>D13*(D7+1)</f>
        <v>5490.54</v>
      </c>
      <c r="E14" s="8" t="s">
        <v>25</v>
      </c>
      <c r="F14" s="1"/>
      <c r="G14" s="22"/>
      <c r="H14" s="22"/>
      <c r="I14" s="22"/>
      <c r="J14" s="22"/>
      <c r="K14" s="1"/>
    </row>
    <row r="15">
      <c r="A15" s="1"/>
      <c r="B15" s="9" t="s">
        <v>42</v>
      </c>
      <c r="C15" s="12" t="s">
        <v>10</v>
      </c>
      <c r="D15" s="8">
        <v>56.01</v>
      </c>
      <c r="E15" s="8" t="s">
        <v>40</v>
      </c>
      <c r="F15" s="1"/>
      <c r="G15" s="23" t="s">
        <v>43</v>
      </c>
      <c r="H15" s="5"/>
      <c r="I15" s="5"/>
      <c r="J15" s="6"/>
      <c r="K15" s="1"/>
    </row>
    <row r="16">
      <c r="A16" s="1"/>
      <c r="B16" s="1"/>
      <c r="C16" s="24"/>
      <c r="D16" s="1"/>
      <c r="E16" s="1"/>
      <c r="F16" s="1"/>
      <c r="G16" s="9" t="s">
        <v>44</v>
      </c>
      <c r="H16" s="9" t="s">
        <v>3</v>
      </c>
      <c r="I16" s="9" t="s">
        <v>4</v>
      </c>
      <c r="J16" s="9" t="s">
        <v>5</v>
      </c>
      <c r="K16" s="1"/>
    </row>
    <row r="17">
      <c r="A17" s="1"/>
      <c r="B17" s="4" t="s">
        <v>45</v>
      </c>
      <c r="C17" s="5"/>
      <c r="D17" s="5"/>
      <c r="E17" s="6"/>
      <c r="F17" s="1"/>
      <c r="G17" s="9" t="s">
        <v>46</v>
      </c>
      <c r="H17" s="8" t="s">
        <v>47</v>
      </c>
      <c r="I17" s="21">
        <f>1.2*D31/1000</f>
        <v>102.72</v>
      </c>
      <c r="J17" s="8" t="s">
        <v>29</v>
      </c>
      <c r="K17" s="1"/>
    </row>
    <row r="18">
      <c r="A18" s="1"/>
      <c r="B18" s="9" t="s">
        <v>48</v>
      </c>
      <c r="C18" s="12" t="s">
        <v>49</v>
      </c>
      <c r="D18" s="21">
        <f>D11*1.5</f>
        <v>2319.81</v>
      </c>
      <c r="E18" s="8" t="s">
        <v>23</v>
      </c>
      <c r="F18" s="1"/>
      <c r="G18" s="9" t="s">
        <v>50</v>
      </c>
      <c r="H18" s="8" t="s">
        <v>51</v>
      </c>
      <c r="I18" s="25">
        <f>(0.8*D31)/1000+I9</f>
        <v>86.48</v>
      </c>
      <c r="J18" s="8" t="s">
        <v>29</v>
      </c>
      <c r="K18" s="1"/>
    </row>
    <row r="19">
      <c r="A19" s="1"/>
      <c r="B19" s="2"/>
      <c r="C19" s="24"/>
      <c r="D19" s="1"/>
      <c r="E19" s="2"/>
      <c r="F19" s="1"/>
      <c r="G19" s="9" t="s">
        <v>52</v>
      </c>
      <c r="H19" s="8" t="s">
        <v>53</v>
      </c>
      <c r="I19" s="25">
        <f>(0.8*D31)/1000</f>
        <v>68.48</v>
      </c>
      <c r="J19" s="8" t="s">
        <v>29</v>
      </c>
      <c r="K19" s="1"/>
    </row>
    <row r="20">
      <c r="A20" s="1"/>
      <c r="B20" s="9" t="s">
        <v>54</v>
      </c>
      <c r="C20" s="12" t="s">
        <v>55</v>
      </c>
      <c r="D20" s="25">
        <f>D12*(2/100)*1000</f>
        <v>2166.6</v>
      </c>
      <c r="E20" s="8" t="s">
        <v>23</v>
      </c>
      <c r="F20" s="1"/>
      <c r="G20" s="9" t="s">
        <v>56</v>
      </c>
      <c r="H20" s="8" t="s">
        <v>57</v>
      </c>
      <c r="I20" s="25">
        <f>60-I9</f>
        <v>42</v>
      </c>
      <c r="J20" s="8" t="s">
        <v>29</v>
      </c>
      <c r="K20" s="1"/>
    </row>
    <row r="21">
      <c r="A21" s="1"/>
      <c r="B21" s="1"/>
      <c r="C21" s="24"/>
      <c r="D21" s="1"/>
      <c r="E21" s="1"/>
      <c r="F21" s="1"/>
      <c r="G21" s="9" t="s">
        <v>58</v>
      </c>
      <c r="H21" s="8" t="s">
        <v>59</v>
      </c>
      <c r="I21" s="25">
        <f>I19-I20</f>
        <v>26.48</v>
      </c>
      <c r="J21" s="8" t="s">
        <v>29</v>
      </c>
      <c r="K21" s="1"/>
    </row>
    <row r="22">
      <c r="A22" s="1"/>
      <c r="B22" s="9" t="s">
        <v>60</v>
      </c>
      <c r="C22" s="12" t="s">
        <v>61</v>
      </c>
      <c r="D22" s="21">
        <f>D9*D10*(15/100)</f>
        <v>1695</v>
      </c>
      <c r="E22" s="8" t="s">
        <v>23</v>
      </c>
      <c r="F22" s="1"/>
      <c r="G22" s="9" t="s">
        <v>62</v>
      </c>
      <c r="H22" s="8" t="s">
        <v>63</v>
      </c>
      <c r="I22" s="25">
        <f>(I17+I21)</f>
        <v>129.2</v>
      </c>
      <c r="J22" s="8" t="s">
        <v>29</v>
      </c>
      <c r="K22" s="1"/>
    </row>
    <row r="23">
      <c r="A23" s="1"/>
      <c r="B23" s="1"/>
      <c r="C23" s="24"/>
      <c r="D23" s="1"/>
      <c r="E23" s="1"/>
      <c r="F23" s="1"/>
      <c r="G23" s="9" t="s">
        <v>64</v>
      </c>
      <c r="H23" s="8" t="s">
        <v>65</v>
      </c>
      <c r="I23" s="25">
        <v>60.0</v>
      </c>
      <c r="J23" s="8" t="s">
        <v>29</v>
      </c>
      <c r="K23" s="1"/>
    </row>
    <row r="24">
      <c r="A24" s="1"/>
      <c r="B24" s="9" t="s">
        <v>66</v>
      </c>
      <c r="C24" s="12" t="s">
        <v>67</v>
      </c>
      <c r="D24" s="21">
        <f>SUM(D18:D22)</f>
        <v>6181.41</v>
      </c>
      <c r="E24" s="8" t="s">
        <v>23</v>
      </c>
      <c r="F24" s="1"/>
      <c r="G24" s="9" t="s">
        <v>41</v>
      </c>
      <c r="H24" s="8" t="s">
        <v>68</v>
      </c>
      <c r="I24" s="15">
        <f>I23+I22</f>
        <v>189.2</v>
      </c>
      <c r="J24" s="8" t="s">
        <v>29</v>
      </c>
      <c r="K24" s="1"/>
    </row>
    <row r="25">
      <c r="A25" s="1"/>
      <c r="B25" s="1"/>
      <c r="C25" s="24"/>
      <c r="D25" s="1"/>
      <c r="E25" s="1"/>
      <c r="F25" s="1"/>
      <c r="G25" s="22"/>
      <c r="H25" s="22"/>
      <c r="I25" s="22"/>
      <c r="J25" s="22"/>
      <c r="K25" s="1"/>
    </row>
    <row r="26">
      <c r="A26" s="1"/>
      <c r="B26" s="4" t="s">
        <v>69</v>
      </c>
      <c r="C26" s="5"/>
      <c r="D26" s="5"/>
      <c r="E26" s="6"/>
      <c r="F26" s="1"/>
      <c r="G26" s="23" t="s">
        <v>70</v>
      </c>
      <c r="H26" s="5"/>
      <c r="I26" s="5"/>
      <c r="J26" s="6"/>
      <c r="K26" s="1"/>
    </row>
    <row r="27">
      <c r="A27" s="1"/>
      <c r="B27" s="9" t="s">
        <v>71</v>
      </c>
      <c r="C27" s="12" t="s">
        <v>72</v>
      </c>
      <c r="D27" s="8">
        <v>800.0</v>
      </c>
      <c r="E27" s="8" t="s">
        <v>23</v>
      </c>
      <c r="F27" s="1"/>
      <c r="G27" s="9" t="s">
        <v>44</v>
      </c>
      <c r="H27" s="9" t="s">
        <v>3</v>
      </c>
      <c r="I27" s="9" t="s">
        <v>4</v>
      </c>
      <c r="J27" s="9" t="s">
        <v>5</v>
      </c>
      <c r="K27" s="1"/>
    </row>
    <row r="28">
      <c r="A28" s="1"/>
      <c r="B28" s="9" t="s">
        <v>73</v>
      </c>
      <c r="C28" s="12" t="s">
        <v>74</v>
      </c>
      <c r="D28" s="8">
        <v>4000.0</v>
      </c>
      <c r="E28" s="8" t="s">
        <v>23</v>
      </c>
      <c r="F28" s="1"/>
      <c r="G28" s="26" t="s">
        <v>46</v>
      </c>
      <c r="H28" s="27" t="s">
        <v>75</v>
      </c>
      <c r="I28" s="28">
        <f>2*D35/1000</f>
        <v>2.5</v>
      </c>
      <c r="J28" s="27" t="s">
        <v>29</v>
      </c>
      <c r="K28" s="1"/>
    </row>
    <row r="29">
      <c r="A29" s="1"/>
      <c r="B29" s="9" t="s">
        <v>76</v>
      </c>
      <c r="C29" s="12" t="s">
        <v>77</v>
      </c>
      <c r="D29" s="8">
        <v>4800.0</v>
      </c>
      <c r="E29" s="8" t="s">
        <v>23</v>
      </c>
      <c r="F29" s="1"/>
      <c r="G29" s="29"/>
      <c r="H29" s="29"/>
      <c r="I29" s="30"/>
      <c r="J29" s="29"/>
      <c r="K29" s="1"/>
    </row>
    <row r="30">
      <c r="A30" s="1"/>
      <c r="B30" s="1"/>
      <c r="C30" s="24"/>
      <c r="D30" s="1"/>
      <c r="E30" s="1"/>
      <c r="F30" s="1"/>
      <c r="G30" s="31" t="s">
        <v>78</v>
      </c>
      <c r="H30" s="5"/>
      <c r="I30" s="5"/>
      <c r="J30" s="6"/>
      <c r="K30" s="1"/>
    </row>
    <row r="31">
      <c r="A31" s="1"/>
      <c r="B31" s="9" t="s">
        <v>79</v>
      </c>
      <c r="C31" s="12" t="s">
        <v>80</v>
      </c>
      <c r="D31" s="21">
        <f>D29*17+D28</f>
        <v>85600</v>
      </c>
      <c r="E31" s="8" t="s">
        <v>23</v>
      </c>
      <c r="F31" s="1"/>
      <c r="G31" s="32" t="s">
        <v>44</v>
      </c>
      <c r="H31" s="32" t="s">
        <v>3</v>
      </c>
      <c r="I31" s="33" t="s">
        <v>4</v>
      </c>
      <c r="J31" s="32" t="s">
        <v>5</v>
      </c>
      <c r="K31" s="1"/>
    </row>
    <row r="32">
      <c r="A32" s="1"/>
      <c r="B32" s="1"/>
      <c r="C32" s="24"/>
      <c r="D32" s="1"/>
      <c r="E32" s="1"/>
      <c r="F32" s="1"/>
      <c r="G32" s="32" t="s">
        <v>46</v>
      </c>
      <c r="H32" s="8" t="s">
        <v>81</v>
      </c>
      <c r="I32" s="25">
        <f>2*D37/1000</f>
        <v>1</v>
      </c>
      <c r="J32" s="34" t="s">
        <v>29</v>
      </c>
      <c r="K32" s="1"/>
    </row>
    <row r="33">
      <c r="A33" s="1"/>
      <c r="B33" s="9" t="s">
        <v>82</v>
      </c>
      <c r="C33" s="12" t="s">
        <v>83</v>
      </c>
      <c r="D33" s="21">
        <f>2*200</f>
        <v>400</v>
      </c>
      <c r="E33" s="8" t="s">
        <v>23</v>
      </c>
      <c r="F33" s="1"/>
      <c r="G33" s="2"/>
      <c r="H33" s="2"/>
      <c r="I33" s="35"/>
      <c r="J33" s="2"/>
      <c r="K33" s="1"/>
    </row>
    <row r="34">
      <c r="A34" s="1"/>
      <c r="B34" s="1"/>
      <c r="C34" s="24"/>
      <c r="D34" s="1"/>
      <c r="E34" s="1"/>
      <c r="F34" s="1"/>
      <c r="G34" s="31" t="s">
        <v>84</v>
      </c>
      <c r="H34" s="5"/>
      <c r="I34" s="5"/>
      <c r="J34" s="6"/>
      <c r="K34" s="1"/>
    </row>
    <row r="35">
      <c r="A35" s="1"/>
      <c r="B35" s="9" t="s">
        <v>85</v>
      </c>
      <c r="C35" s="12" t="s">
        <v>86</v>
      </c>
      <c r="D35" s="21">
        <f>50*25</f>
        <v>1250</v>
      </c>
      <c r="E35" s="8" t="s">
        <v>23</v>
      </c>
      <c r="F35" s="1"/>
      <c r="G35" s="32" t="s">
        <v>44</v>
      </c>
      <c r="H35" s="32" t="s">
        <v>3</v>
      </c>
      <c r="I35" s="33" t="s">
        <v>4</v>
      </c>
      <c r="J35" s="32" t="s">
        <v>5</v>
      </c>
      <c r="K35" s="1"/>
    </row>
    <row r="36">
      <c r="A36" s="1"/>
      <c r="B36" s="1"/>
      <c r="C36" s="24"/>
      <c r="D36" s="1"/>
      <c r="E36" s="1"/>
      <c r="F36" s="1"/>
      <c r="G36" s="36" t="s">
        <v>46</v>
      </c>
      <c r="H36" s="8" t="s">
        <v>87</v>
      </c>
      <c r="I36" s="21">
        <f>2*D33/1000</f>
        <v>0.8</v>
      </c>
      <c r="J36" s="21" t="s">
        <v>29</v>
      </c>
      <c r="K36" s="1"/>
    </row>
    <row r="37">
      <c r="A37" s="1"/>
      <c r="B37" s="9" t="s">
        <v>88</v>
      </c>
      <c r="C37" s="12" t="s">
        <v>10</v>
      </c>
      <c r="D37" s="8">
        <v>500.0</v>
      </c>
      <c r="E37" s="8" t="s">
        <v>23</v>
      </c>
      <c r="F37" s="1"/>
      <c r="G37" s="37"/>
      <c r="H37" s="37"/>
      <c r="I37" s="37"/>
      <c r="J37" s="37"/>
      <c r="K37" s="1"/>
    </row>
    <row r="38">
      <c r="A38" s="1"/>
      <c r="B38" s="1"/>
      <c r="C38" s="24"/>
      <c r="D38" s="1"/>
      <c r="E38" s="1"/>
      <c r="F38" s="1"/>
      <c r="G38" s="37"/>
      <c r="H38" s="37"/>
      <c r="I38" s="37"/>
      <c r="J38" s="37"/>
      <c r="K38" s="1"/>
    </row>
    <row r="39">
      <c r="A39" s="1"/>
      <c r="B39" s="9" t="s">
        <v>89</v>
      </c>
      <c r="C39" s="12" t="s">
        <v>90</v>
      </c>
      <c r="D39" s="21">
        <f>SUM(D31:D37)</f>
        <v>87750</v>
      </c>
      <c r="E39" s="8" t="s">
        <v>23</v>
      </c>
      <c r="F39" s="1"/>
      <c r="G39" s="37"/>
      <c r="H39" s="37"/>
      <c r="I39" s="37"/>
      <c r="J39" s="37"/>
      <c r="K39" s="1"/>
    </row>
    <row r="40">
      <c r="A40" s="1"/>
      <c r="B40" s="1"/>
      <c r="C40" s="24"/>
      <c r="D40" s="1"/>
      <c r="E40" s="1"/>
      <c r="F40" s="1"/>
      <c r="G40" s="37"/>
      <c r="H40" s="37"/>
      <c r="I40" s="37"/>
      <c r="J40" s="37"/>
      <c r="K40" s="1"/>
    </row>
    <row r="41">
      <c r="A41" s="1"/>
      <c r="B41" s="4" t="s">
        <v>91</v>
      </c>
      <c r="C41" s="5"/>
      <c r="D41" s="5"/>
      <c r="E41" s="6"/>
      <c r="F41" s="1"/>
      <c r="G41" s="37"/>
      <c r="H41" s="37"/>
      <c r="I41" s="37"/>
      <c r="J41" s="37"/>
      <c r="K41" s="1"/>
    </row>
    <row r="42">
      <c r="A42" s="1"/>
      <c r="B42" s="9" t="s">
        <v>92</v>
      </c>
      <c r="C42" s="12" t="s">
        <v>93</v>
      </c>
      <c r="D42" s="21">
        <f>D24+D39</f>
        <v>93931.41</v>
      </c>
      <c r="E42" s="8" t="s">
        <v>23</v>
      </c>
      <c r="F42" s="1"/>
      <c r="G42" s="37"/>
      <c r="H42" s="37"/>
      <c r="I42" s="37"/>
      <c r="J42" s="37"/>
      <c r="K42" s="1"/>
    </row>
    <row r="43">
      <c r="A43" s="1"/>
      <c r="B43" s="1"/>
      <c r="C43" s="24"/>
      <c r="D43" s="1"/>
      <c r="E43" s="1"/>
      <c r="F43" s="1"/>
      <c r="G43" s="37"/>
      <c r="H43" s="37"/>
      <c r="I43" s="37"/>
      <c r="J43" s="37"/>
      <c r="K43" s="1"/>
    </row>
    <row r="44">
      <c r="A44" s="1"/>
      <c r="B44" s="4" t="s">
        <v>94</v>
      </c>
      <c r="C44" s="5"/>
      <c r="D44" s="5"/>
      <c r="E44" s="6"/>
      <c r="F44" s="1"/>
      <c r="G44" s="37"/>
      <c r="H44" s="37"/>
      <c r="I44" s="37"/>
      <c r="J44" s="37"/>
      <c r="K44" s="1"/>
    </row>
    <row r="45">
      <c r="A45" s="1"/>
      <c r="B45" s="9" t="s">
        <v>95</v>
      </c>
      <c r="C45" s="12" t="s">
        <v>96</v>
      </c>
      <c r="D45" s="38">
        <f>(D42)/(24*60*60)</f>
        <v>1.087169097</v>
      </c>
      <c r="E45" s="8" t="s">
        <v>97</v>
      </c>
      <c r="F45" s="1"/>
      <c r="G45" s="37"/>
      <c r="H45" s="37"/>
      <c r="I45" s="37"/>
      <c r="J45" s="37"/>
      <c r="K45" s="1"/>
    </row>
    <row r="46">
      <c r="A46" s="1"/>
      <c r="B46" s="9" t="s">
        <v>95</v>
      </c>
      <c r="C46" s="12" t="s">
        <v>98</v>
      </c>
      <c r="D46" s="38">
        <f>(D42/1000)/(24)</f>
        <v>3.91380875</v>
      </c>
      <c r="E46" s="8" t="s">
        <v>99</v>
      </c>
      <c r="F46" s="1"/>
      <c r="G46" s="37"/>
      <c r="H46" s="37"/>
      <c r="I46" s="37"/>
      <c r="J46" s="37"/>
      <c r="K46" s="1"/>
    </row>
    <row r="47">
      <c r="A47" s="1"/>
      <c r="B47" s="1"/>
      <c r="C47" s="24"/>
      <c r="D47" s="1"/>
      <c r="E47" s="1"/>
      <c r="F47" s="1"/>
      <c r="G47" s="37"/>
      <c r="H47" s="37"/>
      <c r="I47" s="37"/>
      <c r="J47" s="37"/>
      <c r="K47" s="1"/>
    </row>
    <row r="48">
      <c r="A48" s="1"/>
      <c r="B48" s="4" t="s">
        <v>100</v>
      </c>
      <c r="C48" s="5"/>
      <c r="D48" s="5"/>
      <c r="E48" s="6"/>
      <c r="F48" s="1"/>
      <c r="G48" s="37"/>
      <c r="H48" s="37"/>
      <c r="I48" s="37"/>
      <c r="J48" s="37"/>
      <c r="K48" s="1"/>
    </row>
    <row r="49">
      <c r="A49" s="1"/>
      <c r="B49" s="9" t="s">
        <v>101</v>
      </c>
      <c r="C49" s="12" t="s">
        <v>102</v>
      </c>
      <c r="D49" s="39">
        <f>SQRT((4*D45*10^(-3))/(3.14159*1))*1000</f>
        <v>37.20521275</v>
      </c>
      <c r="E49" s="8" t="s">
        <v>103</v>
      </c>
      <c r="F49" s="1"/>
      <c r="G49" s="37"/>
      <c r="H49" s="37"/>
      <c r="I49" s="37"/>
      <c r="J49" s="37"/>
      <c r="K49" s="1"/>
    </row>
    <row r="50">
      <c r="A50" s="1"/>
      <c r="B50" s="9" t="s">
        <v>104</v>
      </c>
      <c r="C50" s="12"/>
      <c r="D50" s="8">
        <v>40.0</v>
      </c>
      <c r="E50" s="8" t="s">
        <v>103</v>
      </c>
      <c r="F50" s="1"/>
      <c r="G50" s="37"/>
      <c r="H50" s="37"/>
      <c r="I50" s="37"/>
      <c r="J50" s="37"/>
      <c r="K50" s="1"/>
    </row>
    <row r="51">
      <c r="A51" s="1"/>
      <c r="B51" s="9" t="s">
        <v>105</v>
      </c>
      <c r="C51" s="12" t="s">
        <v>106</v>
      </c>
      <c r="D51" s="40">
        <v>50.0</v>
      </c>
      <c r="E51" s="8" t="s">
        <v>103</v>
      </c>
      <c r="F51" s="1"/>
      <c r="G51" s="37"/>
      <c r="H51" s="37"/>
      <c r="I51" s="37"/>
      <c r="J51" s="37"/>
      <c r="K51" s="1"/>
    </row>
    <row r="52">
      <c r="A52" s="1"/>
      <c r="B52" s="1"/>
      <c r="C52" s="24"/>
      <c r="D52" s="1"/>
      <c r="E52" s="1"/>
      <c r="F52" s="1"/>
      <c r="G52" s="37"/>
      <c r="H52" s="37"/>
      <c r="I52" s="37"/>
      <c r="J52" s="37"/>
      <c r="K52" s="1"/>
    </row>
    <row r="53">
      <c r="A53" s="1"/>
      <c r="B53" s="4" t="s">
        <v>107</v>
      </c>
      <c r="C53" s="5"/>
      <c r="D53" s="5"/>
      <c r="E53" s="6"/>
      <c r="F53" s="1"/>
      <c r="G53" s="37"/>
      <c r="H53" s="37"/>
      <c r="I53" s="37"/>
      <c r="J53" s="37"/>
      <c r="K53" s="1"/>
    </row>
    <row r="54">
      <c r="A54" s="1"/>
      <c r="B54" s="9" t="s">
        <v>108</v>
      </c>
      <c r="C54" s="12" t="s">
        <v>95</v>
      </c>
      <c r="D54" s="41">
        <f>D46</f>
        <v>3.91380875</v>
      </c>
      <c r="E54" s="8" t="s">
        <v>99</v>
      </c>
      <c r="F54" s="1"/>
      <c r="G54" s="37"/>
      <c r="H54" s="37"/>
      <c r="I54" s="37"/>
      <c r="J54" s="37"/>
      <c r="K54" s="1"/>
    </row>
    <row r="55">
      <c r="A55" s="1"/>
      <c r="B55" s="9" t="s">
        <v>109</v>
      </c>
      <c r="C55" s="12" t="s">
        <v>110</v>
      </c>
      <c r="D55" s="41">
        <f>D54*1.5*1.2</f>
        <v>7.04485575</v>
      </c>
      <c r="E55" s="8" t="s">
        <v>99</v>
      </c>
      <c r="F55" s="1"/>
      <c r="G55" s="37"/>
      <c r="H55" s="37"/>
      <c r="I55" s="37"/>
      <c r="J55" s="37"/>
      <c r="K55" s="1"/>
    </row>
    <row r="56">
      <c r="A56" s="1"/>
      <c r="B56" s="9" t="s">
        <v>111</v>
      </c>
      <c r="C56" s="12" t="s">
        <v>112</v>
      </c>
      <c r="D56" s="41">
        <f>D55*30</f>
        <v>211.3456725</v>
      </c>
      <c r="E56" s="8" t="s">
        <v>99</v>
      </c>
      <c r="F56" s="1"/>
      <c r="G56" s="37"/>
      <c r="H56" s="37"/>
      <c r="I56" s="37"/>
      <c r="J56" s="37"/>
      <c r="K56" s="1"/>
    </row>
    <row r="57">
      <c r="A57" s="1"/>
      <c r="B57" s="1"/>
      <c r="C57" s="24"/>
      <c r="D57" s="1"/>
      <c r="E57" s="1"/>
      <c r="F57" s="1"/>
      <c r="G57" s="37"/>
      <c r="H57" s="37"/>
      <c r="I57" s="37"/>
      <c r="J57" s="37"/>
      <c r="K57" s="1"/>
    </row>
    <row r="58">
      <c r="A58" s="1"/>
      <c r="B58" s="4" t="s">
        <v>113</v>
      </c>
      <c r="C58" s="5"/>
      <c r="D58" s="5"/>
      <c r="E58" s="6"/>
      <c r="F58" s="1"/>
      <c r="G58" s="37"/>
      <c r="H58" s="37"/>
      <c r="I58" s="37"/>
      <c r="J58" s="37"/>
      <c r="K58" s="1"/>
    </row>
    <row r="59">
      <c r="A59" s="1"/>
      <c r="B59" s="9" t="s">
        <v>114</v>
      </c>
      <c r="C59" s="12" t="s">
        <v>115</v>
      </c>
      <c r="D59" s="41">
        <f>D42*30/1000</f>
        <v>2817.9423</v>
      </c>
      <c r="E59" s="8" t="s">
        <v>116</v>
      </c>
      <c r="F59" s="1"/>
      <c r="G59" s="37"/>
      <c r="H59" s="37"/>
      <c r="I59" s="37"/>
      <c r="J59" s="37"/>
      <c r="K59" s="1"/>
    </row>
    <row r="60">
      <c r="A60" s="1"/>
      <c r="B60" s="1"/>
      <c r="C60" s="24"/>
      <c r="D60" s="1"/>
      <c r="E60" s="1"/>
      <c r="F60" s="1"/>
      <c r="G60" s="37"/>
      <c r="H60" s="37"/>
      <c r="I60" s="37"/>
      <c r="J60" s="37"/>
      <c r="K60" s="1"/>
    </row>
    <row r="61">
      <c r="A61" s="1"/>
      <c r="B61" s="42" t="s">
        <v>117</v>
      </c>
      <c r="F61" s="1"/>
      <c r="G61" s="37"/>
      <c r="H61" s="37"/>
      <c r="I61" s="37"/>
      <c r="J61" s="37"/>
      <c r="K61" s="1"/>
    </row>
    <row r="62">
      <c r="A62" s="1"/>
      <c r="B62" s="9" t="s">
        <v>118</v>
      </c>
      <c r="C62" s="43" t="s">
        <v>119</v>
      </c>
      <c r="D62" s="8">
        <v>300.0</v>
      </c>
      <c r="E62" s="8" t="s">
        <v>29</v>
      </c>
      <c r="F62" s="1"/>
      <c r="G62" s="37"/>
      <c r="H62" s="37"/>
      <c r="I62" s="37"/>
      <c r="J62" s="37"/>
      <c r="K62" s="1"/>
    </row>
    <row r="63">
      <c r="A63" s="1"/>
      <c r="B63" s="9" t="s">
        <v>120</v>
      </c>
      <c r="C63" s="44"/>
      <c r="D63" s="8">
        <v>50.0</v>
      </c>
      <c r="E63" s="8" t="s">
        <v>103</v>
      </c>
      <c r="F63" s="1"/>
      <c r="G63" s="37"/>
      <c r="H63" s="37"/>
      <c r="I63" s="37"/>
      <c r="J63" s="37"/>
      <c r="K63" s="1"/>
    </row>
    <row r="64">
      <c r="A64" s="1"/>
      <c r="B64" s="1"/>
      <c r="C64" s="24"/>
      <c r="D64" s="1"/>
      <c r="E64" s="1"/>
      <c r="F64" s="1"/>
      <c r="G64" s="37"/>
      <c r="H64" s="37"/>
      <c r="I64" s="37"/>
      <c r="J64" s="37"/>
      <c r="K64" s="1"/>
    </row>
    <row r="65">
      <c r="A65" s="1"/>
      <c r="B65" s="4" t="s">
        <v>121</v>
      </c>
      <c r="C65" s="5"/>
      <c r="D65" s="5"/>
      <c r="E65" s="6"/>
      <c r="F65" s="1"/>
      <c r="G65" s="37"/>
      <c r="H65" s="37"/>
      <c r="I65" s="37"/>
      <c r="J65" s="37"/>
      <c r="K65" s="1"/>
    </row>
    <row r="66">
      <c r="A66" s="1"/>
      <c r="B66" s="9" t="s">
        <v>71</v>
      </c>
      <c r="C66" s="12" t="s">
        <v>122</v>
      </c>
      <c r="D66" s="21">
        <f>2*2*200</f>
        <v>800</v>
      </c>
      <c r="E66" s="8" t="s">
        <v>123</v>
      </c>
      <c r="F66" s="1"/>
      <c r="G66" s="37"/>
      <c r="H66" s="37"/>
      <c r="I66" s="37"/>
      <c r="J66" s="37"/>
      <c r="K66" s="1"/>
    </row>
    <row r="67">
      <c r="A67" s="1"/>
      <c r="B67" s="1"/>
      <c r="C67" s="24"/>
      <c r="D67" s="1"/>
      <c r="E67" s="1"/>
      <c r="F67" s="1"/>
      <c r="G67" s="37"/>
      <c r="H67" s="37"/>
      <c r="I67" s="37"/>
      <c r="J67" s="37"/>
      <c r="K67" s="1"/>
    </row>
    <row r="68">
      <c r="A68" s="1"/>
      <c r="B68" s="9" t="s">
        <v>124</v>
      </c>
      <c r="C68" s="12" t="s">
        <v>125</v>
      </c>
      <c r="D68" s="38">
        <f>(D66/1000)/(24)</f>
        <v>0.03333333333</v>
      </c>
      <c r="E68" s="8" t="s">
        <v>99</v>
      </c>
      <c r="F68" s="1"/>
      <c r="G68" s="37"/>
      <c r="H68" s="37"/>
      <c r="I68" s="37"/>
      <c r="J68" s="37"/>
      <c r="K68" s="1"/>
    </row>
    <row r="69">
      <c r="A69" s="1"/>
      <c r="B69" s="9" t="s">
        <v>118</v>
      </c>
      <c r="C69" s="12" t="s">
        <v>126</v>
      </c>
      <c r="D69" s="21">
        <f>D68*1.5*1.2</f>
        <v>0.06</v>
      </c>
      <c r="E69" s="8" t="s">
        <v>99</v>
      </c>
      <c r="F69" s="1"/>
      <c r="G69" s="37"/>
      <c r="H69" s="37"/>
      <c r="I69" s="37"/>
      <c r="J69" s="37"/>
      <c r="K69" s="1"/>
    </row>
    <row r="70">
      <c r="A70" s="1"/>
      <c r="B70" s="9" t="s">
        <v>127</v>
      </c>
      <c r="C70" s="12" t="s">
        <v>128</v>
      </c>
      <c r="D70" s="21">
        <f>(D66/1000)*30</f>
        <v>24</v>
      </c>
      <c r="E70" s="8" t="s">
        <v>29</v>
      </c>
      <c r="F70" s="1"/>
      <c r="G70" s="37"/>
      <c r="H70" s="37"/>
      <c r="I70" s="37"/>
      <c r="J70" s="37"/>
      <c r="K70" s="1"/>
    </row>
    <row r="71">
      <c r="A71" s="1"/>
      <c r="B71" s="1"/>
      <c r="C71" s="24"/>
      <c r="D71" s="1"/>
      <c r="E71" s="1"/>
      <c r="F71" s="1"/>
      <c r="G71" s="37"/>
      <c r="H71" s="37"/>
      <c r="I71" s="37"/>
      <c r="J71" s="37"/>
      <c r="K71" s="1"/>
    </row>
    <row r="72">
      <c r="A72" s="1"/>
      <c r="B72" s="9" t="s">
        <v>129</v>
      </c>
      <c r="C72" s="43" t="s">
        <v>130</v>
      </c>
      <c r="D72" s="8">
        <v>1.5</v>
      </c>
      <c r="E72" s="8" t="s">
        <v>99</v>
      </c>
      <c r="F72" s="1"/>
      <c r="G72" s="37"/>
      <c r="H72" s="37"/>
      <c r="I72" s="37"/>
      <c r="J72" s="37"/>
      <c r="K72" s="1"/>
    </row>
    <row r="73">
      <c r="A73" s="1"/>
      <c r="B73" s="9" t="s">
        <v>131</v>
      </c>
      <c r="C73" s="44"/>
      <c r="D73" s="8">
        <v>20.0</v>
      </c>
      <c r="E73" s="8" t="s">
        <v>103</v>
      </c>
      <c r="F73" s="1"/>
      <c r="G73" s="37"/>
      <c r="H73" s="37"/>
      <c r="I73" s="37"/>
      <c r="J73" s="37"/>
      <c r="K73" s="1"/>
    </row>
    <row r="74">
      <c r="A74" s="1"/>
      <c r="B74" s="9" t="s">
        <v>132</v>
      </c>
      <c r="C74" s="12" t="s">
        <v>133</v>
      </c>
      <c r="D74" s="40">
        <f>D51</f>
        <v>50</v>
      </c>
      <c r="E74" s="8" t="s">
        <v>103</v>
      </c>
      <c r="F74" s="1"/>
      <c r="G74" s="37"/>
      <c r="H74" s="37"/>
      <c r="I74" s="37"/>
      <c r="J74" s="37"/>
      <c r="K74" s="1"/>
    </row>
    <row r="75">
      <c r="A75" s="1"/>
      <c r="B75" s="1"/>
      <c r="C75" s="3" t="s">
        <v>134</v>
      </c>
      <c r="D75" s="1"/>
      <c r="E75" s="1"/>
      <c r="F75" s="1"/>
      <c r="G75" s="37"/>
      <c r="H75" s="37"/>
      <c r="I75" s="37"/>
      <c r="J75" s="37"/>
      <c r="K75" s="1"/>
    </row>
  </sheetData>
  <mergeCells count="21">
    <mergeCell ref="B2:E2"/>
    <mergeCell ref="G2:I2"/>
    <mergeCell ref="H7:J7"/>
    <mergeCell ref="G8:H8"/>
    <mergeCell ref="G9:H9"/>
    <mergeCell ref="G11:H11"/>
    <mergeCell ref="G15:J15"/>
    <mergeCell ref="B48:E48"/>
    <mergeCell ref="B53:E53"/>
    <mergeCell ref="B58:E58"/>
    <mergeCell ref="B61:E61"/>
    <mergeCell ref="C62:C63"/>
    <mergeCell ref="B65:E65"/>
    <mergeCell ref="C72:C73"/>
    <mergeCell ref="B17:E17"/>
    <mergeCell ref="B26:E26"/>
    <mergeCell ref="G26:J26"/>
    <mergeCell ref="G30:J30"/>
    <mergeCell ref="G34:J34"/>
    <mergeCell ref="B41:E41"/>
    <mergeCell ref="B44:E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15" width="12.63"/>
    <col customWidth="1" min="16" max="17" width="12.38"/>
    <col customWidth="1" min="18" max="18" width="3.25"/>
  </cols>
  <sheetData>
    <row r="1">
      <c r="A1" s="24"/>
      <c r="B1" s="24"/>
      <c r="C1" s="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>
      <c r="A2" s="24"/>
      <c r="B2" s="45" t="s">
        <v>135</v>
      </c>
      <c r="C2" s="5"/>
      <c r="D2" s="5"/>
      <c r="E2" s="6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>
      <c r="A3" s="24"/>
      <c r="B3" s="10" t="s">
        <v>136</v>
      </c>
      <c r="C3" s="12" t="s">
        <v>67</v>
      </c>
      <c r="D3" s="46">
        <v>85600.0</v>
      </c>
      <c r="E3" s="12" t="s">
        <v>23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>
      <c r="A4" s="24"/>
      <c r="B4" s="47" t="s">
        <v>137</v>
      </c>
      <c r="C4" s="48" t="s">
        <v>138</v>
      </c>
      <c r="D4" s="48">
        <v>16200.0</v>
      </c>
      <c r="E4" s="48" t="s">
        <v>139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>
      <c r="A5" s="24"/>
      <c r="B5" s="49"/>
      <c r="C5" s="49"/>
      <c r="D5" s="49"/>
      <c r="E5" s="49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>
      <c r="A6" s="24"/>
      <c r="B6" s="47" t="s">
        <v>140</v>
      </c>
      <c r="C6" s="48" t="s">
        <v>141</v>
      </c>
      <c r="D6" s="50">
        <f>((D3/1000)/D4)</f>
        <v>0.005283950617</v>
      </c>
      <c r="E6" s="48" t="s">
        <v>142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ht="30.0" customHeight="1">
      <c r="A7" s="24"/>
      <c r="B7" s="47" t="s">
        <v>143</v>
      </c>
      <c r="C7" s="51" t="s">
        <v>144</v>
      </c>
      <c r="D7" s="52">
        <f>1.3*((4.5/24)^(1/4))*(D6^(1/2))</f>
        <v>0.06218319684</v>
      </c>
      <c r="E7" s="48" t="s">
        <v>40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30.0" customHeight="1">
      <c r="A8" s="24"/>
      <c r="B8" s="47" t="s">
        <v>145</v>
      </c>
      <c r="C8" s="44"/>
      <c r="D8" s="48">
        <v>75.0</v>
      </c>
      <c r="E8" s="48" t="s">
        <v>103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>
      <c r="A9" s="24"/>
      <c r="B9" s="47" t="s">
        <v>146</v>
      </c>
      <c r="C9" s="48" t="s">
        <v>147</v>
      </c>
      <c r="D9" s="48">
        <v>90.0</v>
      </c>
      <c r="E9" s="48" t="s">
        <v>103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>
      <c r="A10" s="24"/>
      <c r="B10" s="49"/>
      <c r="C10" s="49"/>
      <c r="D10" s="53"/>
      <c r="E10" s="5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>
      <c r="A11" s="24"/>
      <c r="B11" s="47" t="s">
        <v>140</v>
      </c>
      <c r="C11" s="48" t="s">
        <v>10</v>
      </c>
      <c r="D11" s="55">
        <f>D6*60*60</f>
        <v>19.02222222</v>
      </c>
      <c r="E11" s="48" t="s">
        <v>99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</row>
    <row r="12">
      <c r="A12" s="24"/>
      <c r="B12" s="24"/>
      <c r="C12" s="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>
      <c r="A13" s="24"/>
      <c r="B13" s="56" t="s">
        <v>148</v>
      </c>
      <c r="C13" s="45" t="s">
        <v>149</v>
      </c>
      <c r="D13" s="5"/>
      <c r="E13" s="5"/>
      <c r="F13" s="5"/>
      <c r="G13" s="5"/>
      <c r="H13" s="5"/>
      <c r="I13" s="6"/>
      <c r="J13" s="45" t="s">
        <v>150</v>
      </c>
      <c r="K13" s="5"/>
      <c r="L13" s="5"/>
      <c r="M13" s="5"/>
      <c r="N13" s="5"/>
      <c r="O13" s="6"/>
      <c r="P13" s="24"/>
      <c r="Q13" s="24"/>
      <c r="R13" s="24"/>
    </row>
    <row r="14">
      <c r="A14" s="24"/>
      <c r="B14" s="44"/>
      <c r="C14" s="10" t="s">
        <v>151</v>
      </c>
      <c r="D14" s="10" t="s">
        <v>152</v>
      </c>
      <c r="E14" s="10" t="s">
        <v>153</v>
      </c>
      <c r="F14" s="10" t="s">
        <v>154</v>
      </c>
      <c r="G14" s="10" t="s">
        <v>155</v>
      </c>
      <c r="H14" s="10" t="s">
        <v>156</v>
      </c>
      <c r="I14" s="10" t="s">
        <v>157</v>
      </c>
      <c r="J14" s="10" t="s">
        <v>158</v>
      </c>
      <c r="K14" s="10" t="s">
        <v>159</v>
      </c>
      <c r="L14" s="10" t="s">
        <v>160</v>
      </c>
      <c r="M14" s="10" t="s">
        <v>161</v>
      </c>
      <c r="N14" s="10" t="s">
        <v>162</v>
      </c>
      <c r="O14" s="10" t="s">
        <v>163</v>
      </c>
      <c r="P14" s="24"/>
      <c r="Q14" s="24"/>
      <c r="R14" s="24"/>
    </row>
    <row r="15">
      <c r="A15" s="24"/>
      <c r="B15" s="57" t="s">
        <v>164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4"/>
      <c r="Q15" s="24"/>
      <c r="R15" s="24"/>
    </row>
    <row r="16">
      <c r="A16" s="24"/>
      <c r="B16" s="10" t="s">
        <v>165</v>
      </c>
      <c r="C16" s="12">
        <v>8.3</v>
      </c>
      <c r="D16" s="12">
        <v>2.2</v>
      </c>
      <c r="E16" s="12">
        <v>4.0</v>
      </c>
      <c r="F16" s="12">
        <v>3.9</v>
      </c>
      <c r="G16" s="12">
        <v>10.4</v>
      </c>
      <c r="H16" s="12">
        <v>16.0</v>
      </c>
      <c r="I16" s="12">
        <v>1.0</v>
      </c>
      <c r="J16" s="12">
        <v>4.3</v>
      </c>
      <c r="K16" s="12">
        <v>1.9</v>
      </c>
      <c r="L16" s="12">
        <v>1.6</v>
      </c>
      <c r="M16" s="12">
        <v>1.0</v>
      </c>
      <c r="N16" s="12">
        <v>2.6</v>
      </c>
      <c r="O16" s="12">
        <v>8.3</v>
      </c>
      <c r="P16" s="24"/>
      <c r="Q16" s="24"/>
      <c r="R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>
      <c r="A18" s="24"/>
      <c r="B18" s="10" t="s">
        <v>166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3.0</v>
      </c>
      <c r="J18" s="12">
        <v>5.0</v>
      </c>
      <c r="K18" s="12">
        <v>0.0</v>
      </c>
      <c r="L18" s="12">
        <v>0.0</v>
      </c>
      <c r="M18" s="12">
        <v>0.0</v>
      </c>
      <c r="N18" s="12">
        <v>6.0</v>
      </c>
      <c r="O18" s="12">
        <v>1.0</v>
      </c>
      <c r="P18" s="12" t="s">
        <v>167</v>
      </c>
      <c r="Q18" s="12" t="s">
        <v>168</v>
      </c>
      <c r="R18" s="24"/>
    </row>
    <row r="19">
      <c r="A19" s="24"/>
      <c r="B19" s="10" t="s">
        <v>169</v>
      </c>
      <c r="C19" s="58">
        <f t="shared" ref="C19:O19" si="1">C18*C16</f>
        <v>0</v>
      </c>
      <c r="D19" s="58">
        <f t="shared" si="1"/>
        <v>0</v>
      </c>
      <c r="E19" s="58">
        <f t="shared" si="1"/>
        <v>0</v>
      </c>
      <c r="F19" s="58">
        <f t="shared" si="1"/>
        <v>0</v>
      </c>
      <c r="G19" s="58">
        <f t="shared" si="1"/>
        <v>0</v>
      </c>
      <c r="H19" s="58">
        <f t="shared" si="1"/>
        <v>0</v>
      </c>
      <c r="I19" s="58">
        <f t="shared" si="1"/>
        <v>3</v>
      </c>
      <c r="J19" s="58">
        <f t="shared" si="1"/>
        <v>21.5</v>
      </c>
      <c r="K19" s="58">
        <f t="shared" si="1"/>
        <v>0</v>
      </c>
      <c r="L19" s="58">
        <f t="shared" si="1"/>
        <v>0</v>
      </c>
      <c r="M19" s="58">
        <f t="shared" si="1"/>
        <v>0</v>
      </c>
      <c r="N19" s="58">
        <f t="shared" si="1"/>
        <v>15.6</v>
      </c>
      <c r="O19" s="58">
        <f t="shared" si="1"/>
        <v>8.3</v>
      </c>
      <c r="P19" s="58">
        <f>SUM(C19:O19)</f>
        <v>48.4</v>
      </c>
      <c r="Q19" s="12">
        <v>29.47</v>
      </c>
      <c r="R19" s="24"/>
    </row>
    <row r="20">
      <c r="A20" s="24"/>
      <c r="B20" s="49"/>
      <c r="C20" s="4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3"/>
      <c r="R20" s="24"/>
    </row>
    <row r="21">
      <c r="A21" s="24"/>
      <c r="B21" s="59" t="s">
        <v>170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24"/>
      <c r="Q21" s="3"/>
      <c r="R21" s="24"/>
    </row>
    <row r="22">
      <c r="A22" s="24"/>
      <c r="B22" s="10" t="s">
        <v>171</v>
      </c>
      <c r="C22" s="12">
        <v>8.0</v>
      </c>
      <c r="D22" s="12">
        <v>2.0</v>
      </c>
      <c r="E22" s="12">
        <v>3.7</v>
      </c>
      <c r="F22" s="12">
        <v>3.7</v>
      </c>
      <c r="G22" s="12">
        <v>9.3</v>
      </c>
      <c r="H22" s="12">
        <v>14.2</v>
      </c>
      <c r="I22" s="12">
        <v>0.9</v>
      </c>
      <c r="J22" s="12">
        <v>3.9</v>
      </c>
      <c r="K22" s="12">
        <v>1.8</v>
      </c>
      <c r="L22" s="12">
        <v>1.5</v>
      </c>
      <c r="M22" s="12">
        <v>0.9</v>
      </c>
      <c r="N22" s="12">
        <v>2.5</v>
      </c>
      <c r="O22" s="12">
        <v>8.0</v>
      </c>
      <c r="P22" s="24"/>
      <c r="Q22" s="24"/>
      <c r="R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>
      <c r="A24" s="24"/>
      <c r="B24" s="10" t="s">
        <v>172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2.0</v>
      </c>
      <c r="J24" s="12">
        <v>11.0</v>
      </c>
      <c r="K24" s="12">
        <v>0.0</v>
      </c>
      <c r="L24" s="12">
        <v>0.0</v>
      </c>
      <c r="M24" s="12">
        <v>0.0</v>
      </c>
      <c r="N24" s="12">
        <v>1.0</v>
      </c>
      <c r="O24" s="12">
        <v>1.0</v>
      </c>
      <c r="P24" s="12" t="s">
        <v>173</v>
      </c>
      <c r="Q24" s="12" t="s">
        <v>174</v>
      </c>
      <c r="R24" s="24"/>
    </row>
    <row r="25">
      <c r="A25" s="24"/>
      <c r="B25" s="10" t="s">
        <v>175</v>
      </c>
      <c r="C25" s="58">
        <f t="shared" ref="C25:O25" si="2">C24*C22</f>
        <v>0</v>
      </c>
      <c r="D25" s="58">
        <f t="shared" si="2"/>
        <v>0</v>
      </c>
      <c r="E25" s="58">
        <f t="shared" si="2"/>
        <v>0</v>
      </c>
      <c r="F25" s="58">
        <f t="shared" si="2"/>
        <v>0</v>
      </c>
      <c r="G25" s="58">
        <f t="shared" si="2"/>
        <v>0</v>
      </c>
      <c r="H25" s="58">
        <f t="shared" si="2"/>
        <v>0</v>
      </c>
      <c r="I25" s="58">
        <f t="shared" si="2"/>
        <v>1.8</v>
      </c>
      <c r="J25" s="58">
        <f t="shared" si="2"/>
        <v>42.9</v>
      </c>
      <c r="K25" s="58">
        <f t="shared" si="2"/>
        <v>0</v>
      </c>
      <c r="L25" s="58">
        <f t="shared" si="2"/>
        <v>0</v>
      </c>
      <c r="M25" s="58">
        <f t="shared" si="2"/>
        <v>0</v>
      </c>
      <c r="N25" s="58">
        <f t="shared" si="2"/>
        <v>2.5</v>
      </c>
      <c r="O25" s="58">
        <f t="shared" si="2"/>
        <v>8</v>
      </c>
      <c r="P25" s="58">
        <f>SUM(C25:O25)</f>
        <v>55.2</v>
      </c>
      <c r="Q25" s="12">
        <f>0.19+1.0733+4.37+4.603+0.6+33.404+2.096+1.33+60.04+2.6168+5.0315+1.57</f>
        <v>116.9246</v>
      </c>
      <c r="R25" s="24"/>
    </row>
    <row r="26">
      <c r="A26" s="24"/>
      <c r="B26" s="49"/>
      <c r="C26" s="49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"/>
      <c r="R26" s="24"/>
    </row>
    <row r="27">
      <c r="A27" s="24"/>
      <c r="B27" s="45" t="s">
        <v>176</v>
      </c>
      <c r="C27" s="5"/>
      <c r="D27" s="5"/>
      <c r="E27" s="6"/>
      <c r="F27" s="24"/>
      <c r="G27" s="45" t="s">
        <v>177</v>
      </c>
      <c r="H27" s="5"/>
      <c r="I27" s="5"/>
      <c r="J27" s="6"/>
      <c r="K27" s="24"/>
      <c r="L27" s="49"/>
      <c r="M27" s="49"/>
      <c r="N27" s="49"/>
      <c r="O27" s="49"/>
      <c r="P27" s="24"/>
      <c r="Q27" s="22"/>
      <c r="R27" s="22"/>
    </row>
    <row r="28">
      <c r="A28" s="24"/>
      <c r="B28" s="10" t="s">
        <v>2</v>
      </c>
      <c r="C28" s="10" t="s">
        <v>3</v>
      </c>
      <c r="D28" s="10" t="s">
        <v>4</v>
      </c>
      <c r="E28" s="10" t="s">
        <v>5</v>
      </c>
      <c r="F28" s="24"/>
      <c r="G28" s="10" t="s">
        <v>2</v>
      </c>
      <c r="H28" s="10" t="s">
        <v>3</v>
      </c>
      <c r="I28" s="10" t="s">
        <v>4</v>
      </c>
      <c r="J28" s="10" t="s">
        <v>5</v>
      </c>
      <c r="K28" s="24"/>
      <c r="L28" s="49"/>
      <c r="M28" s="49"/>
      <c r="N28" s="49"/>
      <c r="O28" s="49"/>
      <c r="P28" s="24"/>
      <c r="Q28" s="22"/>
      <c r="R28" s="22"/>
    </row>
    <row r="29">
      <c r="A29" s="24"/>
      <c r="B29" s="10" t="s">
        <v>178</v>
      </c>
      <c r="C29" s="12" t="s">
        <v>179</v>
      </c>
      <c r="D29" s="60">
        <v>0.02</v>
      </c>
      <c r="E29" s="12" t="s">
        <v>10</v>
      </c>
      <c r="F29" s="24"/>
      <c r="G29" s="10" t="s">
        <v>178</v>
      </c>
      <c r="H29" s="12" t="s">
        <v>179</v>
      </c>
      <c r="I29" s="12">
        <v>0.02</v>
      </c>
      <c r="J29" s="12" t="s">
        <v>10</v>
      </c>
      <c r="K29" s="24"/>
      <c r="L29" s="49"/>
      <c r="M29" s="49"/>
      <c r="N29" s="49"/>
      <c r="O29" s="49"/>
      <c r="P29" s="24"/>
      <c r="Q29" s="22"/>
      <c r="R29" s="22"/>
    </row>
    <row r="30">
      <c r="A30" s="24"/>
      <c r="B30" s="10" t="s">
        <v>180</v>
      </c>
      <c r="C30" s="12" t="s">
        <v>181</v>
      </c>
      <c r="D30" s="60">
        <f>Q19</f>
        <v>29.47</v>
      </c>
      <c r="E30" s="12" t="s">
        <v>40</v>
      </c>
      <c r="F30" s="24"/>
      <c r="G30" s="10" t="s">
        <v>180</v>
      </c>
      <c r="H30" s="12" t="s">
        <v>181</v>
      </c>
      <c r="I30" s="12">
        <f>Q25</f>
        <v>116.9246</v>
      </c>
      <c r="J30" s="12" t="s">
        <v>40</v>
      </c>
      <c r="K30" s="24"/>
      <c r="L30" s="49"/>
      <c r="M30" s="49"/>
      <c r="N30" s="49"/>
      <c r="O30" s="49"/>
      <c r="P30" s="24"/>
      <c r="Q30" s="22"/>
      <c r="R30" s="22"/>
    </row>
    <row r="31">
      <c r="A31" s="24"/>
      <c r="B31" s="10" t="s">
        <v>182</v>
      </c>
      <c r="C31" s="12" t="s">
        <v>183</v>
      </c>
      <c r="D31" s="60">
        <v>1.0</v>
      </c>
      <c r="E31" s="12" t="s">
        <v>184</v>
      </c>
      <c r="F31" s="24"/>
      <c r="G31" s="10" t="s">
        <v>182</v>
      </c>
      <c r="H31" s="12" t="s">
        <v>183</v>
      </c>
      <c r="I31" s="12">
        <v>1.0</v>
      </c>
      <c r="J31" s="12" t="s">
        <v>184</v>
      </c>
      <c r="K31" s="24"/>
      <c r="L31" s="49"/>
      <c r="M31" s="49"/>
      <c r="N31" s="49"/>
      <c r="O31" s="49"/>
      <c r="P31" s="24"/>
      <c r="Q31" s="49"/>
      <c r="R31" s="49"/>
    </row>
    <row r="32">
      <c r="A32" s="24"/>
      <c r="B32" s="10" t="s">
        <v>185</v>
      </c>
      <c r="C32" s="12" t="s">
        <v>186</v>
      </c>
      <c r="D32" s="60">
        <f>D9/1000</f>
        <v>0.09</v>
      </c>
      <c r="E32" s="12" t="s">
        <v>40</v>
      </c>
      <c r="F32" s="24"/>
      <c r="G32" s="10" t="s">
        <v>185</v>
      </c>
      <c r="H32" s="12" t="s">
        <v>186</v>
      </c>
      <c r="I32" s="61">
        <f>D7</f>
        <v>0.06218319684</v>
      </c>
      <c r="J32" s="12" t="s">
        <v>40</v>
      </c>
      <c r="K32" s="24"/>
      <c r="L32" s="49"/>
      <c r="M32" s="49"/>
      <c r="N32" s="49"/>
      <c r="O32" s="49"/>
      <c r="P32" s="24"/>
      <c r="Q32" s="49"/>
      <c r="R32" s="49"/>
    </row>
    <row r="33">
      <c r="A33" s="24"/>
      <c r="B33" s="10" t="s">
        <v>187</v>
      </c>
      <c r="C33" s="12" t="s">
        <v>188</v>
      </c>
      <c r="D33" s="60">
        <v>9.81</v>
      </c>
      <c r="E33" s="12" t="s">
        <v>184</v>
      </c>
      <c r="F33" s="24"/>
      <c r="G33" s="10" t="s">
        <v>187</v>
      </c>
      <c r="H33" s="12" t="s">
        <v>188</v>
      </c>
      <c r="I33" s="12">
        <v>9.81</v>
      </c>
      <c r="J33" s="12" t="s">
        <v>184</v>
      </c>
      <c r="K33" s="24"/>
      <c r="L33" s="49"/>
      <c r="M33" s="49"/>
      <c r="N33" s="49"/>
      <c r="O33" s="49"/>
      <c r="P33" s="24"/>
      <c r="Q33" s="49"/>
      <c r="R33" s="49"/>
    </row>
    <row r="34">
      <c r="A34" s="24"/>
      <c r="B34" s="10" t="s">
        <v>189</v>
      </c>
      <c r="C34" s="12" t="s">
        <v>190</v>
      </c>
      <c r="D34" s="62">
        <f>(D30/D29)*((D31^2)/(2*D33))</f>
        <v>75.1019368</v>
      </c>
      <c r="E34" s="12" t="s">
        <v>40</v>
      </c>
      <c r="F34" s="24"/>
      <c r="G34" s="10" t="s">
        <v>189</v>
      </c>
      <c r="H34" s="12" t="s">
        <v>190</v>
      </c>
      <c r="I34" s="62">
        <f>(I30/I29)*((I31^2)/(2*I33))</f>
        <v>297.9729867</v>
      </c>
      <c r="J34" s="12" t="s">
        <v>40</v>
      </c>
      <c r="K34" s="24"/>
      <c r="L34" s="49"/>
      <c r="M34" s="49"/>
      <c r="N34" s="49"/>
      <c r="O34" s="49"/>
      <c r="P34" s="24"/>
      <c r="Q34" s="24"/>
      <c r="R34" s="24"/>
    </row>
    <row r="35">
      <c r="A35" s="24"/>
      <c r="B35" s="10" t="s">
        <v>191</v>
      </c>
      <c r="C35" s="12" t="s">
        <v>190</v>
      </c>
      <c r="D35" s="62">
        <f>8.69*(10^6)*(((D6*1000)^1.75)/((D32*1000)^4.75))</f>
        <v>0.08347293218</v>
      </c>
      <c r="E35" s="12" t="s">
        <v>192</v>
      </c>
      <c r="F35" s="24"/>
      <c r="G35" s="10" t="s">
        <v>193</v>
      </c>
      <c r="H35" s="12" t="s">
        <v>190</v>
      </c>
      <c r="I35" s="63">
        <f>8.69*(10^6)*(((D6*1000)^1.75)/((I32*1000)^4.75))</f>
        <v>0.4833376471</v>
      </c>
      <c r="J35" s="12" t="s">
        <v>192</v>
      </c>
      <c r="K35" s="24"/>
      <c r="L35" s="49"/>
      <c r="M35" s="49"/>
      <c r="N35" s="49"/>
      <c r="O35" s="49"/>
      <c r="P35" s="24"/>
      <c r="Q35" s="24"/>
      <c r="R35" s="24"/>
    </row>
    <row r="36">
      <c r="A36" s="24"/>
      <c r="B36" s="10" t="s">
        <v>191</v>
      </c>
      <c r="C36" s="12" t="s">
        <v>190</v>
      </c>
      <c r="D36" s="62">
        <f>D35*0.1</f>
        <v>0.008347293218</v>
      </c>
      <c r="E36" s="12" t="s">
        <v>194</v>
      </c>
      <c r="F36" s="24"/>
      <c r="G36" s="10" t="s">
        <v>193</v>
      </c>
      <c r="H36" s="12" t="s">
        <v>190</v>
      </c>
      <c r="I36" s="63">
        <f>I35*0.1</f>
        <v>0.04833376471</v>
      </c>
      <c r="J36" s="12" t="s">
        <v>194</v>
      </c>
      <c r="K36" s="24"/>
      <c r="L36" s="49"/>
      <c r="M36" s="49"/>
      <c r="N36" s="49"/>
      <c r="O36" s="49"/>
      <c r="P36" s="22"/>
      <c r="Q36" s="22"/>
      <c r="R36" s="22"/>
    </row>
    <row r="37">
      <c r="A37" s="24"/>
      <c r="B37" s="10" t="s">
        <v>195</v>
      </c>
      <c r="C37" s="12" t="s">
        <v>196</v>
      </c>
      <c r="D37" s="62">
        <f>D36*D30</f>
        <v>0.2459947311</v>
      </c>
      <c r="E37" s="12" t="s">
        <v>197</v>
      </c>
      <c r="F37" s="24"/>
      <c r="G37" s="10" t="s">
        <v>195</v>
      </c>
      <c r="H37" s="12" t="s">
        <v>196</v>
      </c>
      <c r="I37" s="62">
        <f>I36*I30</f>
        <v>5.651406105</v>
      </c>
      <c r="J37" s="12" t="s">
        <v>197</v>
      </c>
      <c r="K37" s="24"/>
      <c r="L37" s="49"/>
      <c r="M37" s="49"/>
      <c r="N37" s="49"/>
      <c r="O37" s="49"/>
      <c r="P37" s="24"/>
      <c r="Q37" s="22"/>
      <c r="R37" s="22"/>
    </row>
    <row r="38">
      <c r="A38" s="24"/>
      <c r="B38" s="24"/>
      <c r="C38" s="24"/>
      <c r="D38" s="64"/>
      <c r="E38" s="24"/>
      <c r="F38" s="24"/>
      <c r="G38" s="49"/>
      <c r="H38" s="49"/>
      <c r="I38" s="49"/>
      <c r="J38" s="49"/>
      <c r="K38" s="24"/>
      <c r="L38" s="49"/>
      <c r="M38" s="49"/>
      <c r="N38" s="49"/>
      <c r="O38" s="49"/>
      <c r="P38" s="24"/>
      <c r="Q38" s="22"/>
      <c r="R38" s="22"/>
    </row>
    <row r="39">
      <c r="A39" s="24"/>
      <c r="B39" s="65" t="s">
        <v>198</v>
      </c>
      <c r="C39" s="66" t="s">
        <v>199</v>
      </c>
      <c r="D39" s="67">
        <v>0.5032</v>
      </c>
      <c r="E39" s="66" t="s">
        <v>40</v>
      </c>
      <c r="F39" s="24"/>
      <c r="G39" s="45" t="s">
        <v>200</v>
      </c>
      <c r="H39" s="5"/>
      <c r="I39" s="5"/>
      <c r="J39" s="6"/>
      <c r="K39" s="24"/>
      <c r="L39" s="49"/>
      <c r="M39" s="49"/>
      <c r="N39" s="49"/>
      <c r="O39" s="49"/>
      <c r="P39" s="24"/>
      <c r="Q39" s="22"/>
      <c r="R39" s="22"/>
    </row>
    <row r="40">
      <c r="A40" s="24"/>
      <c r="B40" s="65" t="s">
        <v>201</v>
      </c>
      <c r="C40" s="66" t="s">
        <v>202</v>
      </c>
      <c r="D40" s="67">
        <v>60.9363</v>
      </c>
      <c r="E40" s="66" t="s">
        <v>40</v>
      </c>
      <c r="F40" s="24"/>
      <c r="G40" s="10" t="s">
        <v>2</v>
      </c>
      <c r="H40" s="10" t="s">
        <v>3</v>
      </c>
      <c r="I40" s="10" t="s">
        <v>4</v>
      </c>
      <c r="J40" s="10" t="s">
        <v>5</v>
      </c>
      <c r="K40" s="24"/>
      <c r="L40" s="49"/>
      <c r="M40" s="49"/>
      <c r="N40" s="49"/>
      <c r="O40" s="49"/>
      <c r="P40" s="24"/>
      <c r="Q40" s="22"/>
      <c r="R40" s="22"/>
    </row>
    <row r="41">
      <c r="A41" s="24"/>
      <c r="B41" s="68" t="s">
        <v>203</v>
      </c>
      <c r="C41" s="69" t="s">
        <v>204</v>
      </c>
      <c r="D41" s="70">
        <f>-D39+D40</f>
        <v>60.4331</v>
      </c>
      <c r="E41" s="69" t="s">
        <v>40</v>
      </c>
      <c r="F41" s="24"/>
      <c r="G41" s="10" t="s">
        <v>205</v>
      </c>
      <c r="H41" s="12" t="s">
        <v>206</v>
      </c>
      <c r="I41" s="61">
        <f>1000*0.06/(60*60)</f>
        <v>0.01666666667</v>
      </c>
      <c r="J41" s="12" t="s">
        <v>97</v>
      </c>
      <c r="K41" s="24"/>
      <c r="L41" s="49"/>
      <c r="M41" s="49"/>
      <c r="N41" s="49"/>
      <c r="O41" s="49"/>
      <c r="P41" s="24"/>
      <c r="Q41" s="24"/>
      <c r="R41" s="24"/>
    </row>
    <row r="42">
      <c r="A42" s="24"/>
      <c r="B42" s="65" t="s">
        <v>207</v>
      </c>
      <c r="C42" s="66" t="s">
        <v>208</v>
      </c>
      <c r="D42" s="71">
        <f>D36*(Q19+P19)</f>
        <v>0.6500037229</v>
      </c>
      <c r="E42" s="66" t="s">
        <v>209</v>
      </c>
      <c r="F42" s="24"/>
      <c r="G42" s="10" t="s">
        <v>118</v>
      </c>
      <c r="H42" s="12" t="s">
        <v>129</v>
      </c>
      <c r="I42" s="12">
        <v>1.5</v>
      </c>
      <c r="J42" s="12" t="s">
        <v>99</v>
      </c>
      <c r="K42" s="24"/>
      <c r="L42" s="49"/>
      <c r="M42" s="49"/>
      <c r="N42" s="49"/>
      <c r="O42" s="49"/>
      <c r="P42" s="24"/>
      <c r="Q42" s="24"/>
      <c r="R42" s="24"/>
    </row>
    <row r="43">
      <c r="A43" s="24"/>
      <c r="B43" s="65" t="s">
        <v>210</v>
      </c>
      <c r="C43" s="66" t="s">
        <v>211</v>
      </c>
      <c r="D43" s="71">
        <f>I36*(Q25+P25)</f>
        <v>8.319429917</v>
      </c>
      <c r="E43" s="66" t="s">
        <v>209</v>
      </c>
      <c r="F43" s="24"/>
      <c r="G43" s="10" t="s">
        <v>212</v>
      </c>
      <c r="H43" s="12" t="s">
        <v>213</v>
      </c>
      <c r="I43" s="62">
        <f>((36*I41)^2)*(I42^(-2))</f>
        <v>0.16</v>
      </c>
      <c r="J43" s="12" t="s">
        <v>214</v>
      </c>
      <c r="K43" s="24"/>
      <c r="L43" s="49"/>
      <c r="M43" s="49"/>
      <c r="N43" s="49"/>
      <c r="O43" s="49"/>
      <c r="P43" s="24"/>
      <c r="Q43" s="24"/>
      <c r="R43" s="24"/>
    </row>
    <row r="44">
      <c r="A44" s="24"/>
      <c r="B44" s="65" t="s">
        <v>215</v>
      </c>
      <c r="C44" s="66" t="s">
        <v>216</v>
      </c>
      <c r="D44" s="71">
        <f>D42+D43</f>
        <v>8.96943364</v>
      </c>
      <c r="E44" s="66" t="s">
        <v>209</v>
      </c>
      <c r="F44" s="24"/>
      <c r="G44" s="49"/>
      <c r="H44" s="49"/>
      <c r="I44" s="49"/>
      <c r="J44" s="49"/>
      <c r="K44" s="24"/>
      <c r="L44" s="24"/>
      <c r="M44" s="24"/>
      <c r="N44" s="24"/>
      <c r="O44" s="24"/>
      <c r="P44" s="24"/>
      <c r="Q44" s="24"/>
      <c r="R44" s="24"/>
    </row>
    <row r="45">
      <c r="A45" s="24"/>
      <c r="B45" s="24"/>
      <c r="C45" s="24"/>
      <c r="D45" s="64"/>
      <c r="E45" s="24"/>
      <c r="F45" s="24"/>
      <c r="G45" s="47" t="s">
        <v>95</v>
      </c>
      <c r="H45" s="46"/>
      <c r="I45" s="55">
        <v>1.0871690972222223</v>
      </c>
      <c r="J45" s="12" t="s">
        <v>97</v>
      </c>
      <c r="K45" s="24"/>
      <c r="L45" s="24"/>
      <c r="M45" s="24"/>
      <c r="N45" s="24"/>
      <c r="O45" s="24"/>
      <c r="P45" s="24"/>
      <c r="Q45" s="24"/>
      <c r="R45" s="24"/>
    </row>
    <row r="46">
      <c r="A46" s="24"/>
      <c r="B46" s="68" t="s">
        <v>217</v>
      </c>
      <c r="C46" s="69" t="s">
        <v>218</v>
      </c>
      <c r="D46" s="70">
        <f>D41+D44</f>
        <v>69.40253364</v>
      </c>
      <c r="E46" s="69" t="s">
        <v>197</v>
      </c>
      <c r="F46" s="24"/>
      <c r="G46" s="49"/>
      <c r="H46" s="49"/>
      <c r="I46" s="49"/>
      <c r="J46" s="49"/>
      <c r="K46" s="24"/>
      <c r="L46" s="49"/>
      <c r="M46" s="49"/>
      <c r="N46" s="49"/>
      <c r="O46" s="49"/>
      <c r="P46" s="24"/>
      <c r="Q46" s="24"/>
      <c r="R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49"/>
      <c r="M47" s="49"/>
      <c r="N47" s="49"/>
      <c r="O47" s="49"/>
      <c r="P47" s="24"/>
      <c r="Q47" s="24"/>
      <c r="R47" s="24"/>
    </row>
    <row r="48">
      <c r="A48" s="24"/>
      <c r="B48" s="72" t="s">
        <v>219</v>
      </c>
      <c r="C48" s="6"/>
      <c r="D48" s="10" t="s">
        <v>220</v>
      </c>
      <c r="E48" s="49"/>
      <c r="F48" s="24"/>
      <c r="G48" s="24"/>
      <c r="H48" s="24"/>
      <c r="I48" s="24"/>
      <c r="J48" s="24"/>
      <c r="K48" s="24"/>
      <c r="L48" s="22"/>
      <c r="M48" s="22"/>
      <c r="N48" s="22"/>
      <c r="O48" s="49"/>
      <c r="P48" s="24"/>
      <c r="Q48" s="24"/>
      <c r="R48" s="24"/>
    </row>
    <row r="49">
      <c r="A49" s="24"/>
      <c r="B49" s="10" t="s">
        <v>221</v>
      </c>
      <c r="C49" s="12">
        <v>3500.0</v>
      </c>
      <c r="D49" s="12" t="s">
        <v>222</v>
      </c>
      <c r="E49" s="49"/>
      <c r="F49" s="24"/>
      <c r="G49" s="24"/>
      <c r="H49" s="24"/>
      <c r="I49" s="24"/>
      <c r="J49" s="24"/>
      <c r="K49" s="24"/>
      <c r="L49" s="22"/>
      <c r="M49" s="22"/>
      <c r="N49" s="22"/>
      <c r="O49" s="24"/>
      <c r="P49" s="24"/>
      <c r="Q49" s="24"/>
      <c r="R49" s="24"/>
    </row>
    <row r="50">
      <c r="A50" s="24"/>
      <c r="B50" s="10" t="s">
        <v>205</v>
      </c>
      <c r="C50" s="12" t="s">
        <v>223</v>
      </c>
      <c r="D50" s="12" t="s">
        <v>99</v>
      </c>
      <c r="E50" s="49"/>
      <c r="F50" s="24"/>
      <c r="G50" s="24"/>
      <c r="H50" s="24"/>
      <c r="I50" s="24"/>
      <c r="J50" s="24"/>
      <c r="K50" s="24"/>
      <c r="L50" s="22"/>
      <c r="M50" s="22"/>
      <c r="N50" s="22"/>
      <c r="O50" s="24"/>
      <c r="P50" s="24"/>
      <c r="Q50" s="24"/>
      <c r="R50" s="24"/>
    </row>
    <row r="51">
      <c r="A51" s="24"/>
      <c r="B51" s="10" t="s">
        <v>224</v>
      </c>
      <c r="C51" s="12" t="s">
        <v>225</v>
      </c>
      <c r="D51" s="12" t="s">
        <v>40</v>
      </c>
      <c r="E51" s="49"/>
      <c r="F51" s="24"/>
      <c r="G51" s="24"/>
      <c r="H51" s="24"/>
      <c r="I51" s="24"/>
      <c r="J51" s="24"/>
      <c r="K51" s="24"/>
      <c r="L51" s="22"/>
      <c r="M51" s="22"/>
      <c r="N51" s="22"/>
      <c r="O51" s="24"/>
      <c r="P51" s="24"/>
      <c r="Q51" s="24"/>
      <c r="R51" s="24"/>
    </row>
    <row r="52">
      <c r="A52" s="24"/>
      <c r="B52" s="49"/>
      <c r="C52" s="49"/>
      <c r="D52" s="49"/>
      <c r="E52" s="49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>
      <c r="A53" s="24"/>
      <c r="B53" s="73" t="s">
        <v>226</v>
      </c>
      <c r="C53" s="6"/>
      <c r="D53" s="48" t="s">
        <v>227</v>
      </c>
      <c r="E53" s="49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>
      <c r="A54" s="24"/>
      <c r="B54" s="47" t="s">
        <v>228</v>
      </c>
      <c r="C54" s="48">
        <v>7.5</v>
      </c>
      <c r="D54" s="48" t="s">
        <v>229</v>
      </c>
      <c r="E54" s="49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>
      <c r="A55" s="24"/>
      <c r="B55" s="73" t="s">
        <v>230</v>
      </c>
      <c r="C55" s="6"/>
      <c r="D55" s="48">
        <v>3.0</v>
      </c>
      <c r="E55" s="49"/>
      <c r="F55" s="49"/>
      <c r="G55" s="49"/>
      <c r="H55" s="49"/>
      <c r="I55" s="49"/>
      <c r="J55" s="49"/>
      <c r="K55" s="24"/>
      <c r="L55" s="24"/>
      <c r="M55" s="24"/>
      <c r="N55" s="24"/>
      <c r="O55" s="24"/>
      <c r="P55" s="24"/>
      <c r="Q55" s="24"/>
      <c r="R55" s="24"/>
    </row>
    <row r="56">
      <c r="A56" s="24"/>
      <c r="B56" s="47" t="s">
        <v>217</v>
      </c>
      <c r="C56" s="48">
        <v>70.0</v>
      </c>
      <c r="D56" s="48" t="s">
        <v>40</v>
      </c>
      <c r="E56" s="49"/>
      <c r="F56" s="49"/>
      <c r="G56" s="49"/>
      <c r="H56" s="49"/>
      <c r="I56" s="49"/>
      <c r="J56" s="49"/>
      <c r="K56" s="24"/>
      <c r="L56" s="24"/>
      <c r="M56" s="24"/>
      <c r="N56" s="24"/>
      <c r="O56" s="24"/>
      <c r="P56" s="24"/>
      <c r="Q56" s="24"/>
      <c r="R56" s="24"/>
    </row>
    <row r="57">
      <c r="A57" s="24"/>
      <c r="B57" s="47" t="s">
        <v>140</v>
      </c>
      <c r="C57" s="48">
        <v>15.5</v>
      </c>
      <c r="D57" s="12" t="s">
        <v>99</v>
      </c>
      <c r="E57" s="49"/>
      <c r="F57" s="49"/>
      <c r="G57" s="49"/>
      <c r="H57" s="49"/>
      <c r="I57" s="49"/>
      <c r="J57" s="49"/>
      <c r="K57" s="24"/>
      <c r="L57" s="24"/>
      <c r="M57" s="24"/>
      <c r="N57" s="24"/>
      <c r="O57" s="24"/>
      <c r="P57" s="24"/>
      <c r="Q57" s="24"/>
      <c r="R57" s="24"/>
    </row>
    <row r="58">
      <c r="A58" s="24"/>
      <c r="B58" s="49"/>
      <c r="C58" s="49"/>
      <c r="D58" s="49"/>
      <c r="E58" s="49"/>
      <c r="F58" s="49"/>
      <c r="G58" s="49"/>
      <c r="H58" s="49"/>
      <c r="I58" s="49"/>
      <c r="J58" s="49"/>
      <c r="K58" s="24"/>
      <c r="L58" s="24"/>
      <c r="M58" s="24"/>
      <c r="N58" s="24"/>
      <c r="O58" s="24"/>
      <c r="P58" s="24"/>
      <c r="Q58" s="24"/>
      <c r="R58" s="24"/>
    </row>
    <row r="59">
      <c r="A59" s="24"/>
      <c r="B59" s="47" t="s">
        <v>231</v>
      </c>
      <c r="C59" s="48">
        <v>10.33</v>
      </c>
      <c r="D59" s="48" t="s">
        <v>197</v>
      </c>
      <c r="E59" s="49"/>
      <c r="F59" s="49"/>
      <c r="G59" s="49"/>
      <c r="H59" s="49"/>
      <c r="I59" s="49"/>
      <c r="J59" s="49"/>
      <c r="K59" s="24"/>
      <c r="L59" s="24"/>
      <c r="M59" s="24"/>
      <c r="N59" s="24"/>
      <c r="O59" s="24"/>
      <c r="P59" s="24"/>
      <c r="Q59" s="24"/>
      <c r="R59" s="24"/>
    </row>
    <row r="60">
      <c r="A60" s="24"/>
      <c r="B60" s="49"/>
      <c r="C60" s="49"/>
      <c r="D60" s="49"/>
      <c r="E60" s="49"/>
      <c r="F60" s="49"/>
      <c r="G60" s="49"/>
      <c r="H60" s="49"/>
      <c r="I60" s="49"/>
      <c r="J60" s="49"/>
      <c r="K60" s="24"/>
      <c r="L60" s="24"/>
      <c r="M60" s="24"/>
      <c r="N60" s="24"/>
      <c r="O60" s="24"/>
      <c r="P60" s="24"/>
      <c r="Q60" s="24"/>
      <c r="R60" s="24"/>
    </row>
    <row r="61">
      <c r="A61" s="24"/>
      <c r="B61" s="47" t="s">
        <v>232</v>
      </c>
      <c r="C61" s="48" t="s">
        <v>233</v>
      </c>
      <c r="D61" s="55">
        <f>C59-(D39+0.433+D42)</f>
        <v>8.743796277</v>
      </c>
      <c r="E61" s="48" t="s">
        <v>197</v>
      </c>
      <c r="F61" s="49"/>
      <c r="G61" s="49"/>
      <c r="H61" s="49"/>
      <c r="I61" s="49"/>
      <c r="J61" s="49"/>
      <c r="K61" s="24"/>
      <c r="L61" s="24"/>
      <c r="M61" s="24"/>
      <c r="N61" s="24"/>
      <c r="O61" s="24"/>
      <c r="P61" s="24"/>
      <c r="Q61" s="24"/>
      <c r="R61" s="24"/>
    </row>
    <row r="62">
      <c r="A62" s="24"/>
      <c r="B62" s="47" t="s">
        <v>234</v>
      </c>
      <c r="C62" s="48" t="s">
        <v>235</v>
      </c>
      <c r="D62" s="48">
        <v>1.2</v>
      </c>
      <c r="E62" s="48" t="s">
        <v>40</v>
      </c>
      <c r="F62" s="49"/>
      <c r="G62" s="49"/>
      <c r="H62" s="49"/>
      <c r="I62" s="49"/>
      <c r="J62" s="49"/>
      <c r="K62" s="24"/>
      <c r="L62" s="24"/>
      <c r="M62" s="24"/>
      <c r="N62" s="24"/>
      <c r="O62" s="24"/>
      <c r="P62" s="24"/>
      <c r="Q62" s="24"/>
      <c r="R62" s="24"/>
    </row>
    <row r="63">
      <c r="A63" s="24"/>
      <c r="B63" s="73" t="s">
        <v>236</v>
      </c>
      <c r="C63" s="5"/>
      <c r="D63" s="5"/>
      <c r="E63" s="6"/>
      <c r="F63" s="49"/>
      <c r="G63" s="49"/>
      <c r="H63" s="49"/>
      <c r="I63" s="49"/>
      <c r="J63" s="49"/>
      <c r="K63" s="24"/>
      <c r="L63" s="24"/>
      <c r="M63" s="24"/>
      <c r="N63" s="24"/>
      <c r="O63" s="24"/>
      <c r="P63" s="24"/>
      <c r="Q63" s="24"/>
      <c r="R63" s="24"/>
    </row>
    <row r="64">
      <c r="A64" s="24"/>
      <c r="C64" s="49"/>
      <c r="D64" s="49"/>
      <c r="E64" s="49"/>
      <c r="F64" s="49"/>
      <c r="G64" s="49"/>
      <c r="H64" s="49"/>
      <c r="I64" s="49"/>
      <c r="J64" s="49"/>
      <c r="K64" s="24"/>
      <c r="L64" s="24"/>
      <c r="M64" s="24"/>
      <c r="N64" s="24"/>
      <c r="O64" s="24"/>
      <c r="P64" s="24"/>
      <c r="Q64" s="24"/>
      <c r="R64" s="24"/>
    </row>
    <row r="65">
      <c r="A65" s="24"/>
      <c r="B65" s="74" t="s">
        <v>237</v>
      </c>
      <c r="C65" s="48" t="s">
        <v>238</v>
      </c>
      <c r="D65" s="48">
        <v>85.0</v>
      </c>
      <c r="E65" s="48" t="s">
        <v>103</v>
      </c>
      <c r="F65" s="49"/>
      <c r="G65" s="49"/>
      <c r="H65" s="49"/>
      <c r="I65" s="49"/>
      <c r="J65" s="49"/>
      <c r="K65" s="24"/>
      <c r="L65" s="24"/>
      <c r="M65" s="24"/>
      <c r="N65" s="24"/>
      <c r="O65" s="24"/>
      <c r="P65" s="24"/>
      <c r="Q65" s="24"/>
      <c r="R65" s="24"/>
    </row>
    <row r="66">
      <c r="A66" s="24"/>
      <c r="B66" s="44"/>
      <c r="C66" s="48" t="s">
        <v>239</v>
      </c>
      <c r="D66" s="48">
        <v>60.0</v>
      </c>
      <c r="E66" s="48" t="s">
        <v>103</v>
      </c>
      <c r="F66" s="49"/>
      <c r="G66" s="49"/>
      <c r="H66" s="49"/>
      <c r="I66" s="49"/>
      <c r="J66" s="49"/>
      <c r="K66" s="24"/>
      <c r="L66" s="24"/>
      <c r="M66" s="24"/>
      <c r="N66" s="24"/>
      <c r="O66" s="24"/>
      <c r="P66" s="24"/>
      <c r="Q66" s="24"/>
      <c r="R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</sheetData>
  <mergeCells count="15">
    <mergeCell ref="B27:E27"/>
    <mergeCell ref="G27:J27"/>
    <mergeCell ref="G39:J39"/>
    <mergeCell ref="B48:C48"/>
    <mergeCell ref="B53:C53"/>
    <mergeCell ref="B55:C55"/>
    <mergeCell ref="B63:E63"/>
    <mergeCell ref="B65:B66"/>
    <mergeCell ref="B2:E2"/>
    <mergeCell ref="C7:C8"/>
    <mergeCell ref="B13:B14"/>
    <mergeCell ref="C13:I13"/>
    <mergeCell ref="J13:O13"/>
    <mergeCell ref="B15:O15"/>
    <mergeCell ref="B21:O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2" width="12.63"/>
    <col customWidth="1" min="25" max="25" width="3.25"/>
  </cols>
  <sheetData>
    <row r="1">
      <c r="A1" s="22"/>
      <c r="B1" s="37"/>
      <c r="C1" s="37"/>
      <c r="D1" s="37"/>
      <c r="E1" s="37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2"/>
      <c r="B2" s="75" t="s">
        <v>240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22"/>
    </row>
    <row r="3">
      <c r="A3" s="22"/>
      <c r="B3" s="23" t="s">
        <v>241</v>
      </c>
      <c r="C3" s="5"/>
      <c r="D3" s="5"/>
      <c r="E3" s="5"/>
      <c r="F3" s="6"/>
      <c r="G3" s="22"/>
      <c r="H3" s="23" t="s">
        <v>242</v>
      </c>
      <c r="I3" s="5"/>
      <c r="J3" s="5"/>
      <c r="K3" s="5"/>
      <c r="L3" s="6"/>
      <c r="M3" s="22"/>
      <c r="N3" s="23" t="s">
        <v>243</v>
      </c>
      <c r="O3" s="5"/>
      <c r="P3" s="5"/>
      <c r="Q3" s="5"/>
      <c r="R3" s="6"/>
      <c r="S3" s="22"/>
      <c r="T3" s="23" t="s">
        <v>244</v>
      </c>
      <c r="U3" s="5"/>
      <c r="V3" s="5"/>
      <c r="W3" s="5"/>
      <c r="X3" s="6"/>
      <c r="Y3" s="22"/>
    </row>
    <row r="4">
      <c r="A4" s="22"/>
      <c r="B4" s="18" t="s">
        <v>245</v>
      </c>
      <c r="C4" s="19" t="s">
        <v>246</v>
      </c>
      <c r="D4" s="19" t="s">
        <v>247</v>
      </c>
      <c r="E4" s="19" t="s">
        <v>248</v>
      </c>
      <c r="F4" s="19" t="s">
        <v>249</v>
      </c>
      <c r="G4" s="22"/>
      <c r="H4" s="18" t="s">
        <v>245</v>
      </c>
      <c r="I4" s="19" t="s">
        <v>246</v>
      </c>
      <c r="J4" s="19" t="s">
        <v>247</v>
      </c>
      <c r="K4" s="19" t="s">
        <v>248</v>
      </c>
      <c r="L4" s="19" t="s">
        <v>249</v>
      </c>
      <c r="M4" s="22"/>
      <c r="N4" s="18" t="s">
        <v>245</v>
      </c>
      <c r="O4" s="19" t="s">
        <v>246</v>
      </c>
      <c r="P4" s="19" t="s">
        <v>247</v>
      </c>
      <c r="Q4" s="19" t="s">
        <v>248</v>
      </c>
      <c r="R4" s="19" t="s">
        <v>249</v>
      </c>
      <c r="S4" s="22"/>
      <c r="T4" s="76" t="s">
        <v>245</v>
      </c>
      <c r="U4" s="19" t="s">
        <v>246</v>
      </c>
      <c r="V4" s="19" t="s">
        <v>247</v>
      </c>
      <c r="W4" s="19" t="s">
        <v>248</v>
      </c>
      <c r="X4" s="19" t="s">
        <v>249</v>
      </c>
      <c r="Y4" s="22"/>
    </row>
    <row r="5">
      <c r="A5" s="22"/>
      <c r="B5" s="18" t="s">
        <v>250</v>
      </c>
      <c r="C5" s="19" t="s">
        <v>251</v>
      </c>
      <c r="D5" s="19">
        <v>0.15</v>
      </c>
      <c r="E5" s="19">
        <v>0.3</v>
      </c>
      <c r="F5" s="19">
        <v>1.0</v>
      </c>
      <c r="G5" s="22"/>
      <c r="H5" s="18" t="s">
        <v>250</v>
      </c>
      <c r="I5" s="19" t="s">
        <v>251</v>
      </c>
      <c r="J5" s="19">
        <v>0.15</v>
      </c>
      <c r="K5" s="19">
        <v>0.3</v>
      </c>
      <c r="L5" s="19">
        <v>1.0</v>
      </c>
      <c r="M5" s="22"/>
      <c r="N5" s="18" t="s">
        <v>250</v>
      </c>
      <c r="O5" s="19" t="s">
        <v>251</v>
      </c>
      <c r="P5" s="19">
        <v>0.15</v>
      </c>
      <c r="Q5" s="19">
        <v>0.3</v>
      </c>
      <c r="R5" s="19">
        <v>0.0</v>
      </c>
      <c r="S5" s="22"/>
      <c r="T5" s="76" t="s">
        <v>250</v>
      </c>
      <c r="U5" s="19" t="s">
        <v>251</v>
      </c>
      <c r="V5" s="19">
        <v>0.15</v>
      </c>
      <c r="W5" s="19">
        <v>0.3</v>
      </c>
      <c r="X5" s="19">
        <v>0.0</v>
      </c>
      <c r="Y5" s="22"/>
    </row>
    <row r="6">
      <c r="A6" s="22"/>
      <c r="B6" s="18" t="s">
        <v>252</v>
      </c>
      <c r="C6" s="19" t="s">
        <v>253</v>
      </c>
      <c r="D6" s="19">
        <v>0.2</v>
      </c>
      <c r="E6" s="19">
        <v>0.4</v>
      </c>
      <c r="F6" s="19">
        <v>1.0</v>
      </c>
      <c r="G6" s="22"/>
      <c r="H6" s="18" t="s">
        <v>252</v>
      </c>
      <c r="I6" s="19" t="s">
        <v>253</v>
      </c>
      <c r="J6" s="19">
        <v>0.2</v>
      </c>
      <c r="K6" s="19">
        <v>0.4</v>
      </c>
      <c r="L6" s="19">
        <v>2.0</v>
      </c>
      <c r="M6" s="22"/>
      <c r="N6" s="18" t="s">
        <v>252</v>
      </c>
      <c r="O6" s="19" t="s">
        <v>253</v>
      </c>
      <c r="P6" s="19">
        <v>0.2</v>
      </c>
      <c r="Q6" s="19">
        <v>0.4</v>
      </c>
      <c r="R6" s="19">
        <v>0.0</v>
      </c>
      <c r="S6" s="22"/>
      <c r="T6" s="76" t="s">
        <v>252</v>
      </c>
      <c r="U6" s="19" t="s">
        <v>253</v>
      </c>
      <c r="V6" s="19">
        <v>0.2</v>
      </c>
      <c r="W6" s="19">
        <v>0.4</v>
      </c>
      <c r="X6" s="19">
        <v>0.0</v>
      </c>
      <c r="Y6" s="22"/>
    </row>
    <row r="7">
      <c r="A7" s="22"/>
      <c r="B7" s="16" t="s">
        <v>254</v>
      </c>
      <c r="C7" s="6"/>
      <c r="D7" s="19">
        <v>0.1</v>
      </c>
      <c r="E7" s="19">
        <v>0.1</v>
      </c>
      <c r="F7" s="19">
        <v>1.0</v>
      </c>
      <c r="G7" s="22"/>
      <c r="H7" s="16" t="s">
        <v>254</v>
      </c>
      <c r="I7" s="6"/>
      <c r="J7" s="19">
        <v>0.1</v>
      </c>
      <c r="K7" s="19">
        <v>0.1</v>
      </c>
      <c r="L7" s="19">
        <v>2.0</v>
      </c>
      <c r="M7" s="22"/>
      <c r="N7" s="16" t="s">
        <v>254</v>
      </c>
      <c r="O7" s="6"/>
      <c r="P7" s="19">
        <v>0.1</v>
      </c>
      <c r="Q7" s="19">
        <v>0.1</v>
      </c>
      <c r="R7" s="19">
        <v>0.0</v>
      </c>
      <c r="S7" s="22"/>
      <c r="T7" s="77" t="s">
        <v>254</v>
      </c>
      <c r="U7" s="6"/>
      <c r="V7" s="19">
        <v>0.1</v>
      </c>
      <c r="W7" s="19">
        <v>0.1</v>
      </c>
      <c r="X7" s="19">
        <v>0.0</v>
      </c>
      <c r="Y7" s="22"/>
    </row>
    <row r="8">
      <c r="A8" s="22"/>
      <c r="B8" s="18" t="s">
        <v>255</v>
      </c>
      <c r="C8" s="19" t="s">
        <v>256</v>
      </c>
      <c r="D8" s="19">
        <v>0.3</v>
      </c>
      <c r="E8" s="19">
        <v>1.0</v>
      </c>
      <c r="F8" s="19">
        <v>0.0</v>
      </c>
      <c r="G8" s="22"/>
      <c r="H8" s="18" t="s">
        <v>255</v>
      </c>
      <c r="I8" s="19" t="s">
        <v>256</v>
      </c>
      <c r="J8" s="19">
        <v>0.3</v>
      </c>
      <c r="K8" s="19">
        <v>1.0</v>
      </c>
      <c r="L8" s="19">
        <v>0.0</v>
      </c>
      <c r="M8" s="22"/>
      <c r="N8" s="18" t="s">
        <v>255</v>
      </c>
      <c r="O8" s="19" t="s">
        <v>256</v>
      </c>
      <c r="P8" s="19">
        <v>0.3</v>
      </c>
      <c r="Q8" s="19">
        <v>1.0</v>
      </c>
      <c r="R8" s="19">
        <v>2.0</v>
      </c>
      <c r="S8" s="22"/>
      <c r="T8" s="76" t="s">
        <v>255</v>
      </c>
      <c r="U8" s="19" t="s">
        <v>256</v>
      </c>
      <c r="V8" s="19">
        <v>0.3</v>
      </c>
      <c r="W8" s="19">
        <v>1.0</v>
      </c>
      <c r="X8" s="19">
        <v>0.0</v>
      </c>
      <c r="Y8" s="22"/>
    </row>
    <row r="9" ht="31.5" customHeight="1">
      <c r="A9" s="22"/>
      <c r="B9" s="18" t="s">
        <v>257</v>
      </c>
      <c r="C9" s="78" t="s">
        <v>258</v>
      </c>
      <c r="D9" s="19">
        <v>0.15</v>
      </c>
      <c r="E9" s="19">
        <v>0.3</v>
      </c>
      <c r="F9" s="19">
        <v>1.0</v>
      </c>
      <c r="G9" s="22"/>
      <c r="H9" s="18" t="s">
        <v>257</v>
      </c>
      <c r="I9" s="78" t="s">
        <v>258</v>
      </c>
      <c r="J9" s="19">
        <v>0.15</v>
      </c>
      <c r="K9" s="19">
        <v>0.3</v>
      </c>
      <c r="L9" s="19">
        <v>1.0</v>
      </c>
      <c r="M9" s="22"/>
      <c r="N9" s="18" t="s">
        <v>257</v>
      </c>
      <c r="O9" s="78" t="s">
        <v>258</v>
      </c>
      <c r="P9" s="19">
        <v>0.15</v>
      </c>
      <c r="Q9" s="19">
        <v>0.3</v>
      </c>
      <c r="R9" s="19">
        <v>0.0</v>
      </c>
      <c r="S9" s="22"/>
      <c r="T9" s="76" t="s">
        <v>257</v>
      </c>
      <c r="U9" s="78" t="s">
        <v>258</v>
      </c>
      <c r="V9" s="19">
        <v>0.15</v>
      </c>
      <c r="W9" s="19">
        <v>0.3</v>
      </c>
      <c r="X9" s="19">
        <v>0.0</v>
      </c>
      <c r="Y9" s="22"/>
    </row>
    <row r="10" ht="30.0" customHeight="1">
      <c r="A10" s="22"/>
      <c r="B10" s="18" t="s">
        <v>259</v>
      </c>
      <c r="C10" s="44"/>
      <c r="D10" s="19">
        <v>0.25</v>
      </c>
      <c r="E10" s="19">
        <v>0.7</v>
      </c>
      <c r="F10" s="19">
        <v>0.0</v>
      </c>
      <c r="G10" s="22"/>
      <c r="H10" s="18" t="s">
        <v>259</v>
      </c>
      <c r="I10" s="44"/>
      <c r="J10" s="19">
        <v>0.25</v>
      </c>
      <c r="K10" s="19">
        <v>0.7</v>
      </c>
      <c r="L10" s="19">
        <v>0.0</v>
      </c>
      <c r="M10" s="22"/>
      <c r="N10" s="18" t="s">
        <v>259</v>
      </c>
      <c r="O10" s="44"/>
      <c r="P10" s="19">
        <v>0.25</v>
      </c>
      <c r="Q10" s="19">
        <v>0.7</v>
      </c>
      <c r="R10" s="19">
        <v>2.0</v>
      </c>
      <c r="S10" s="22"/>
      <c r="T10" s="76" t="s">
        <v>259</v>
      </c>
      <c r="U10" s="44"/>
      <c r="V10" s="19">
        <v>0.25</v>
      </c>
      <c r="W10" s="19">
        <v>0.7</v>
      </c>
      <c r="X10" s="19">
        <v>1.0</v>
      </c>
      <c r="Y10" s="22"/>
    </row>
    <row r="11">
      <c r="A11" s="22"/>
      <c r="B11" s="16" t="s">
        <v>260</v>
      </c>
      <c r="C11" s="5"/>
      <c r="D11" s="6"/>
      <c r="E11" s="79">
        <f>(E5*F5)+(E6*F6)+(E7*F7)+(E8*F8)+(E9*F9)+(E10*F10)</f>
        <v>1.1</v>
      </c>
      <c r="F11" s="6"/>
      <c r="G11" s="22"/>
      <c r="H11" s="16" t="s">
        <v>260</v>
      </c>
      <c r="I11" s="5"/>
      <c r="J11" s="6"/>
      <c r="K11" s="79">
        <f>(K5*M5)+(K6*L6)+(K7*L7)+(K8*L8)+(K9*L9)+(K10*L10)</f>
        <v>1.3</v>
      </c>
      <c r="L11" s="6"/>
      <c r="M11" s="22"/>
      <c r="N11" s="16" t="s">
        <v>260</v>
      </c>
      <c r="O11" s="5"/>
      <c r="P11" s="6"/>
      <c r="Q11" s="79">
        <f>(Q5*S5)+(Q6*R6)+(Q7*R7)+(Q8*R8)+(Q9*R9)+(Q10*R10)</f>
        <v>3.4</v>
      </c>
      <c r="R11" s="6"/>
      <c r="S11" s="22"/>
      <c r="T11" s="77" t="s">
        <v>260</v>
      </c>
      <c r="U11" s="5"/>
      <c r="V11" s="6"/>
      <c r="W11" s="79">
        <f>(W5*Y5)+(W6*X6)+(W7*X7)+(W8*X8)+(W9*X9)+(W10*X10)</f>
        <v>0.7</v>
      </c>
      <c r="X11" s="6"/>
      <c r="Y11" s="22"/>
    </row>
    <row r="12">
      <c r="A12" s="22"/>
      <c r="B12" s="37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37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22"/>
      <c r="B13" s="23" t="s">
        <v>261</v>
      </c>
      <c r="C13" s="5"/>
      <c r="D13" s="5"/>
      <c r="E13" s="5"/>
      <c r="F13" s="6"/>
      <c r="G13" s="22"/>
      <c r="H13" s="23" t="s">
        <v>262</v>
      </c>
      <c r="I13" s="5"/>
      <c r="J13" s="5"/>
      <c r="K13" s="5"/>
      <c r="L13" s="6"/>
      <c r="M13" s="22"/>
      <c r="N13" s="23" t="s">
        <v>263</v>
      </c>
      <c r="O13" s="5"/>
      <c r="P13" s="5"/>
      <c r="Q13" s="5"/>
      <c r="R13" s="6"/>
      <c r="S13" s="22"/>
      <c r="T13" s="22"/>
      <c r="U13" s="22"/>
      <c r="V13" s="22"/>
      <c r="W13" s="22"/>
      <c r="X13" s="22"/>
      <c r="Y13" s="22"/>
    </row>
    <row r="14">
      <c r="A14" s="22"/>
      <c r="B14" s="18" t="s">
        <v>245</v>
      </c>
      <c r="C14" s="19" t="s">
        <v>246</v>
      </c>
      <c r="D14" s="19" t="s">
        <v>247</v>
      </c>
      <c r="E14" s="19" t="s">
        <v>248</v>
      </c>
      <c r="F14" s="19" t="s">
        <v>249</v>
      </c>
      <c r="G14" s="22"/>
      <c r="H14" s="18" t="s">
        <v>245</v>
      </c>
      <c r="I14" s="19" t="s">
        <v>246</v>
      </c>
      <c r="J14" s="19" t="s">
        <v>247</v>
      </c>
      <c r="K14" s="19" t="s">
        <v>248</v>
      </c>
      <c r="L14" s="19" t="s">
        <v>249</v>
      </c>
      <c r="M14" s="22"/>
      <c r="N14" s="18" t="s">
        <v>245</v>
      </c>
      <c r="O14" s="19" t="s">
        <v>246</v>
      </c>
      <c r="P14" s="19" t="s">
        <v>247</v>
      </c>
      <c r="Q14" s="19" t="s">
        <v>248</v>
      </c>
      <c r="R14" s="19" t="s">
        <v>249</v>
      </c>
      <c r="S14" s="22"/>
      <c r="T14" s="22"/>
      <c r="U14" s="22"/>
      <c r="V14" s="22"/>
      <c r="W14" s="22"/>
      <c r="X14" s="22"/>
      <c r="Y14" s="22"/>
    </row>
    <row r="15">
      <c r="A15" s="22"/>
      <c r="B15" s="18" t="s">
        <v>250</v>
      </c>
      <c r="C15" s="19" t="s">
        <v>251</v>
      </c>
      <c r="D15" s="19">
        <v>0.15</v>
      </c>
      <c r="E15" s="19">
        <v>0.3</v>
      </c>
      <c r="F15" s="19">
        <v>2.0</v>
      </c>
      <c r="G15" s="22"/>
      <c r="H15" s="18" t="s">
        <v>250</v>
      </c>
      <c r="I15" s="19" t="s">
        <v>251</v>
      </c>
      <c r="J15" s="19">
        <v>0.15</v>
      </c>
      <c r="K15" s="19">
        <v>0.3</v>
      </c>
      <c r="L15" s="19">
        <v>1.0</v>
      </c>
      <c r="M15" s="22"/>
      <c r="N15" s="18" t="s">
        <v>250</v>
      </c>
      <c r="O15" s="19" t="s">
        <v>251</v>
      </c>
      <c r="P15" s="19">
        <v>0.15</v>
      </c>
      <c r="Q15" s="19">
        <v>0.3</v>
      </c>
      <c r="R15" s="19">
        <v>0.0</v>
      </c>
      <c r="S15" s="22"/>
      <c r="T15" s="22"/>
      <c r="U15" s="22"/>
      <c r="V15" s="22"/>
      <c r="W15" s="22"/>
      <c r="X15" s="22"/>
      <c r="Y15" s="22"/>
    </row>
    <row r="16">
      <c r="A16" s="22"/>
      <c r="B16" s="18" t="s">
        <v>252</v>
      </c>
      <c r="C16" s="19" t="s">
        <v>253</v>
      </c>
      <c r="D16" s="19">
        <v>0.2</v>
      </c>
      <c r="E16" s="19">
        <v>0.4</v>
      </c>
      <c r="F16" s="19">
        <v>1.0</v>
      </c>
      <c r="G16" s="22"/>
      <c r="H16" s="18" t="s">
        <v>252</v>
      </c>
      <c r="I16" s="19" t="s">
        <v>253</v>
      </c>
      <c r="J16" s="19">
        <v>0.2</v>
      </c>
      <c r="K16" s="19">
        <v>0.4</v>
      </c>
      <c r="L16" s="19">
        <v>1.0</v>
      </c>
      <c r="M16" s="22"/>
      <c r="N16" s="18" t="s">
        <v>252</v>
      </c>
      <c r="O16" s="19" t="s">
        <v>253</v>
      </c>
      <c r="P16" s="19">
        <v>0.2</v>
      </c>
      <c r="Q16" s="19">
        <v>0.4</v>
      </c>
      <c r="R16" s="19">
        <v>0.0</v>
      </c>
      <c r="S16" s="22"/>
      <c r="T16" s="22"/>
      <c r="U16" s="22"/>
      <c r="V16" s="22"/>
      <c r="W16" s="22"/>
      <c r="X16" s="22"/>
      <c r="Y16" s="22"/>
    </row>
    <row r="17">
      <c r="A17" s="22"/>
      <c r="B17" s="16" t="s">
        <v>254</v>
      </c>
      <c r="C17" s="6"/>
      <c r="D17" s="19">
        <v>0.1</v>
      </c>
      <c r="E17" s="19">
        <v>0.1</v>
      </c>
      <c r="F17" s="19">
        <v>2.0</v>
      </c>
      <c r="G17" s="22"/>
      <c r="H17" s="16" t="s">
        <v>254</v>
      </c>
      <c r="I17" s="6"/>
      <c r="J17" s="19">
        <v>0.1</v>
      </c>
      <c r="K17" s="19">
        <v>0.1</v>
      </c>
      <c r="L17" s="19">
        <v>1.0</v>
      </c>
      <c r="M17" s="22"/>
      <c r="N17" s="16" t="s">
        <v>254</v>
      </c>
      <c r="O17" s="6"/>
      <c r="P17" s="19">
        <v>0.1</v>
      </c>
      <c r="Q17" s="19">
        <v>0.1</v>
      </c>
      <c r="R17" s="19">
        <v>0.0</v>
      </c>
      <c r="S17" s="22"/>
      <c r="T17" s="22"/>
      <c r="U17" s="22"/>
      <c r="V17" s="22"/>
      <c r="W17" s="22"/>
      <c r="X17" s="22"/>
      <c r="Y17" s="22"/>
    </row>
    <row r="18">
      <c r="A18" s="22"/>
      <c r="B18" s="18" t="s">
        <v>255</v>
      </c>
      <c r="C18" s="19" t="s">
        <v>256</v>
      </c>
      <c r="D18" s="19">
        <v>0.3</v>
      </c>
      <c r="E18" s="19">
        <v>1.0</v>
      </c>
      <c r="F18" s="19">
        <v>0.0</v>
      </c>
      <c r="G18" s="22"/>
      <c r="H18" s="18" t="s">
        <v>255</v>
      </c>
      <c r="I18" s="19" t="s">
        <v>256</v>
      </c>
      <c r="J18" s="19">
        <v>0.3</v>
      </c>
      <c r="K18" s="19">
        <v>1.0</v>
      </c>
      <c r="L18" s="19">
        <v>0.0</v>
      </c>
      <c r="M18" s="22"/>
      <c r="N18" s="18" t="s">
        <v>255</v>
      </c>
      <c r="O18" s="19" t="s">
        <v>256</v>
      </c>
      <c r="P18" s="19">
        <v>0.3</v>
      </c>
      <c r="Q18" s="19">
        <v>1.0</v>
      </c>
      <c r="R18" s="19">
        <v>0.0</v>
      </c>
      <c r="S18" s="22"/>
      <c r="T18" s="22"/>
      <c r="U18" s="22"/>
      <c r="V18" s="22"/>
      <c r="W18" s="22"/>
      <c r="X18" s="22"/>
      <c r="Y18" s="22"/>
    </row>
    <row r="19" ht="29.25" customHeight="1">
      <c r="A19" s="22"/>
      <c r="B19" s="18" t="s">
        <v>257</v>
      </c>
      <c r="C19" s="78" t="s">
        <v>258</v>
      </c>
      <c r="D19" s="19">
        <v>0.15</v>
      </c>
      <c r="E19" s="19">
        <v>0.3</v>
      </c>
      <c r="F19" s="19">
        <v>5.0</v>
      </c>
      <c r="G19" s="22"/>
      <c r="H19" s="18" t="s">
        <v>257</v>
      </c>
      <c r="I19" s="78" t="s">
        <v>258</v>
      </c>
      <c r="J19" s="19">
        <v>0.15</v>
      </c>
      <c r="K19" s="19">
        <v>0.3</v>
      </c>
      <c r="L19" s="19">
        <v>1.0</v>
      </c>
      <c r="M19" s="22"/>
      <c r="N19" s="18" t="s">
        <v>257</v>
      </c>
      <c r="O19" s="78" t="s">
        <v>258</v>
      </c>
      <c r="P19" s="19">
        <v>0.15</v>
      </c>
      <c r="Q19" s="19">
        <v>0.3</v>
      </c>
      <c r="R19" s="19">
        <v>0.0</v>
      </c>
      <c r="S19" s="22"/>
      <c r="T19" s="22"/>
      <c r="U19" s="22"/>
      <c r="V19" s="22"/>
      <c r="W19" s="22"/>
      <c r="X19" s="22"/>
      <c r="Y19" s="22"/>
    </row>
    <row r="20" ht="27.0" customHeight="1">
      <c r="A20" s="22"/>
      <c r="B20" s="18" t="s">
        <v>259</v>
      </c>
      <c r="C20" s="44"/>
      <c r="D20" s="19">
        <v>0.25</v>
      </c>
      <c r="E20" s="19">
        <v>0.7</v>
      </c>
      <c r="F20" s="19">
        <v>0.0</v>
      </c>
      <c r="G20" s="22"/>
      <c r="H20" s="18" t="s">
        <v>259</v>
      </c>
      <c r="I20" s="44"/>
      <c r="J20" s="19">
        <v>0.25</v>
      </c>
      <c r="K20" s="19">
        <v>0.7</v>
      </c>
      <c r="L20" s="19">
        <v>0.0</v>
      </c>
      <c r="M20" s="22"/>
      <c r="N20" s="18" t="s">
        <v>259</v>
      </c>
      <c r="O20" s="44"/>
      <c r="P20" s="19">
        <v>0.25</v>
      </c>
      <c r="Q20" s="19">
        <v>0.7</v>
      </c>
      <c r="R20" s="19">
        <v>1.0</v>
      </c>
      <c r="S20" s="22"/>
      <c r="T20" s="22"/>
      <c r="U20" s="22"/>
      <c r="V20" s="22"/>
      <c r="W20" s="22"/>
      <c r="X20" s="22"/>
      <c r="Y20" s="22"/>
    </row>
    <row r="21">
      <c r="A21" s="22"/>
      <c r="B21" s="16" t="s">
        <v>260</v>
      </c>
      <c r="C21" s="5"/>
      <c r="D21" s="6"/>
      <c r="E21" s="79">
        <f>(E15*G15)+(E16*F16)+(E17*F17)+(E18*F18)+(E19*F19)+(E20*F20)</f>
        <v>2.1</v>
      </c>
      <c r="F21" s="6"/>
      <c r="G21" s="22"/>
      <c r="H21" s="16" t="s">
        <v>260</v>
      </c>
      <c r="I21" s="5"/>
      <c r="J21" s="6"/>
      <c r="K21" s="79">
        <f>(K15*M15)+(K16*L16)+(K17*L17)+(K18*L18)+(K19*L19)+(K20*L20)</f>
        <v>0.8</v>
      </c>
      <c r="L21" s="6"/>
      <c r="M21" s="22"/>
      <c r="N21" s="16" t="s">
        <v>260</v>
      </c>
      <c r="O21" s="5"/>
      <c r="P21" s="6"/>
      <c r="Q21" s="79">
        <f>(Q15*S15)+(Q16*R16)+(Q17*R17)+(Q18*R18)+(Q19*R19)+(Q20*R20)</f>
        <v>0.7</v>
      </c>
      <c r="R21" s="6"/>
      <c r="S21" s="22"/>
      <c r="T21" s="22"/>
      <c r="U21" s="22"/>
      <c r="V21" s="22"/>
      <c r="W21" s="22"/>
      <c r="X21" s="22"/>
      <c r="Y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2"/>
      <c r="B23" s="23" t="s">
        <v>264</v>
      </c>
      <c r="C23" s="5"/>
      <c r="D23" s="5"/>
      <c r="E23" s="5"/>
      <c r="F23" s="6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22"/>
      <c r="B24" s="80"/>
      <c r="C24" s="81" t="s">
        <v>265</v>
      </c>
      <c r="D24" s="19" t="s">
        <v>266</v>
      </c>
      <c r="E24" s="22"/>
      <c r="F24" s="37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22"/>
      <c r="B25" s="82" t="s">
        <v>267</v>
      </c>
      <c r="C25" s="20">
        <f>0.3*SQRT(E11)</f>
        <v>0.3146426545</v>
      </c>
      <c r="D25" s="20">
        <f>0.3*SQRT(Q11)</f>
        <v>0.5531726674</v>
      </c>
      <c r="E25" s="19" t="s">
        <v>97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2"/>
      <c r="B26" s="18" t="s">
        <v>268</v>
      </c>
      <c r="C26" s="20">
        <f>0.3*SQRT(K11)</f>
        <v>0.3420526275</v>
      </c>
      <c r="D26" s="20">
        <f>0.3*SQRT(W11)</f>
        <v>0.250998008</v>
      </c>
      <c r="E26" s="19" t="s">
        <v>97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22"/>
      <c r="B27" s="18" t="s">
        <v>269</v>
      </c>
      <c r="C27" s="20">
        <f>0.3*SQRT(E21)</f>
        <v>0.4347413024</v>
      </c>
      <c r="D27" s="83">
        <f>0.3*SQRT(Q21)</f>
        <v>0.250998008</v>
      </c>
      <c r="E27" s="19" t="s">
        <v>97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22"/>
      <c r="B28" s="18" t="s">
        <v>270</v>
      </c>
      <c r="C28" s="84">
        <f>0.3*SQRT(K21)</f>
        <v>0.2683281573</v>
      </c>
      <c r="D28" s="85">
        <v>0.0</v>
      </c>
      <c r="E28" s="19" t="s">
        <v>97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22"/>
      <c r="B30" s="23" t="s">
        <v>271</v>
      </c>
      <c r="C30" s="5"/>
      <c r="D30" s="5"/>
      <c r="E30" s="5"/>
      <c r="F30" s="6"/>
      <c r="G30" s="22"/>
      <c r="H30" s="23" t="s">
        <v>240</v>
      </c>
      <c r="I30" s="5"/>
      <c r="J30" s="6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22"/>
      <c r="B31" s="18" t="s">
        <v>272</v>
      </c>
      <c r="C31" s="18" t="s">
        <v>265</v>
      </c>
      <c r="D31" s="18" t="s">
        <v>266</v>
      </c>
      <c r="E31" s="18" t="s">
        <v>273</v>
      </c>
      <c r="F31" s="18" t="s">
        <v>274</v>
      </c>
      <c r="G31" s="22"/>
      <c r="H31" s="18" t="s">
        <v>272</v>
      </c>
      <c r="I31" s="17" t="str">
        <f t="shared" ref="I31:I35" si="1">F31</f>
        <v>Diâmetros Internos (mm)</v>
      </c>
      <c r="J31" s="86" t="s">
        <v>275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22"/>
      <c r="B32" s="18" t="s">
        <v>267</v>
      </c>
      <c r="C32" s="20">
        <f>E11</f>
        <v>1.1</v>
      </c>
      <c r="D32" s="85">
        <f>Q11</f>
        <v>3.4</v>
      </c>
      <c r="E32" s="20">
        <f>D32+C32</f>
        <v>4.5</v>
      </c>
      <c r="F32" s="19">
        <v>25.0</v>
      </c>
      <c r="G32" s="22"/>
      <c r="H32" s="18" t="s">
        <v>267</v>
      </c>
      <c r="I32" s="17">
        <f t="shared" si="1"/>
        <v>25</v>
      </c>
      <c r="J32" s="86">
        <v>32.0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>
      <c r="A33" s="22"/>
      <c r="B33" s="18" t="s">
        <v>268</v>
      </c>
      <c r="C33" s="20">
        <f>K11</f>
        <v>1.3</v>
      </c>
      <c r="D33" s="85">
        <f>W11</f>
        <v>0.7</v>
      </c>
      <c r="E33" s="20">
        <f t="shared" ref="E33:E35" si="2">C33+D33</f>
        <v>2</v>
      </c>
      <c r="F33" s="19">
        <v>25.0</v>
      </c>
      <c r="G33" s="22"/>
      <c r="H33" s="18" t="s">
        <v>268</v>
      </c>
      <c r="I33" s="17">
        <f t="shared" si="1"/>
        <v>25</v>
      </c>
      <c r="J33" s="86">
        <v>32.0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>
      <c r="A34" s="22"/>
      <c r="B34" s="18" t="s">
        <v>269</v>
      </c>
      <c r="C34" s="20">
        <f>E21</f>
        <v>2.1</v>
      </c>
      <c r="D34" s="20">
        <f>Q21</f>
        <v>0.7</v>
      </c>
      <c r="E34" s="20">
        <f t="shared" si="2"/>
        <v>2.8</v>
      </c>
      <c r="F34" s="19">
        <v>25.0</v>
      </c>
      <c r="G34" s="22"/>
      <c r="H34" s="18" t="s">
        <v>269</v>
      </c>
      <c r="I34" s="17">
        <f t="shared" si="1"/>
        <v>25</v>
      </c>
      <c r="J34" s="86">
        <v>32.0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>
      <c r="A35" s="22"/>
      <c r="B35" s="18" t="s">
        <v>270</v>
      </c>
      <c r="C35" s="20">
        <f>K21</f>
        <v>0.8</v>
      </c>
      <c r="D35" s="85">
        <v>0.0</v>
      </c>
      <c r="E35" s="20">
        <f t="shared" si="2"/>
        <v>0.8</v>
      </c>
      <c r="F35" s="19">
        <v>20.0</v>
      </c>
      <c r="G35" s="22"/>
      <c r="H35" s="18" t="s">
        <v>270</v>
      </c>
      <c r="I35" s="17">
        <f t="shared" si="1"/>
        <v>20</v>
      </c>
      <c r="J35" s="86">
        <v>25.0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22"/>
      <c r="B37" s="22"/>
      <c r="C37" s="22"/>
      <c r="D37" s="22"/>
      <c r="E37" s="37"/>
      <c r="F37" s="37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22"/>
      <c r="B38" s="22"/>
      <c r="C38" s="22"/>
      <c r="D38" s="22"/>
      <c r="E38" s="37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37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37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37"/>
      <c r="M50" s="37" t="s">
        <v>276</v>
      </c>
      <c r="N50" s="37" t="s">
        <v>277</v>
      </c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22"/>
      <c r="B54" s="87" t="s">
        <v>278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  <c r="W54" s="22"/>
      <c r="X54" s="22"/>
      <c r="Y54" s="22"/>
    </row>
    <row r="55">
      <c r="A55" s="22"/>
      <c r="B55" s="88" t="s">
        <v>279</v>
      </c>
      <c r="C55" s="88" t="s">
        <v>280</v>
      </c>
      <c r="D55" s="89" t="s">
        <v>272</v>
      </c>
      <c r="E55" s="90"/>
      <c r="F55" s="88" t="s">
        <v>281</v>
      </c>
      <c r="G55" s="88" t="s">
        <v>282</v>
      </c>
      <c r="H55" s="88" t="s">
        <v>283</v>
      </c>
      <c r="I55" s="88" t="s">
        <v>284</v>
      </c>
      <c r="J55" s="88" t="s">
        <v>190</v>
      </c>
      <c r="K55" s="88" t="s">
        <v>285</v>
      </c>
      <c r="L55" s="88" t="s">
        <v>286</v>
      </c>
      <c r="M55" s="91" t="s">
        <v>287</v>
      </c>
      <c r="N55" s="6"/>
      <c r="O55" s="91" t="s">
        <v>288</v>
      </c>
      <c r="P55" s="5"/>
      <c r="Q55" s="6"/>
      <c r="R55" s="88" t="s">
        <v>289</v>
      </c>
      <c r="S55" s="88" t="s">
        <v>290</v>
      </c>
      <c r="T55" s="88" t="s">
        <v>291</v>
      </c>
      <c r="U55" s="88" t="s">
        <v>279</v>
      </c>
      <c r="V55" s="88" t="s">
        <v>280</v>
      </c>
      <c r="W55" s="22"/>
      <c r="X55" s="22"/>
      <c r="Y55" s="22"/>
    </row>
    <row r="56">
      <c r="A56" s="22"/>
      <c r="B56" s="92"/>
      <c r="C56" s="92"/>
      <c r="D56" s="93"/>
      <c r="E56" s="94"/>
      <c r="F56" s="44"/>
      <c r="G56" s="44"/>
      <c r="H56" s="44"/>
      <c r="I56" s="44"/>
      <c r="J56" s="44"/>
      <c r="K56" s="44"/>
      <c r="L56" s="44"/>
      <c r="M56" s="95" t="s">
        <v>292</v>
      </c>
      <c r="N56" s="95" t="s">
        <v>293</v>
      </c>
      <c r="O56" s="95" t="s">
        <v>294</v>
      </c>
      <c r="P56" s="95" t="s">
        <v>295</v>
      </c>
      <c r="Q56" s="95" t="s">
        <v>41</v>
      </c>
      <c r="R56" s="44"/>
      <c r="S56" s="44"/>
      <c r="T56" s="44"/>
      <c r="U56" s="92"/>
      <c r="V56" s="92"/>
      <c r="W56" s="22"/>
      <c r="X56" s="22"/>
      <c r="Y56" s="22"/>
    </row>
    <row r="57">
      <c r="A57" s="22"/>
      <c r="B57" s="44"/>
      <c r="C57" s="44"/>
      <c r="D57" s="96" t="s">
        <v>296</v>
      </c>
      <c r="E57" s="97" t="s">
        <v>297</v>
      </c>
      <c r="F57" s="97" t="s">
        <v>298</v>
      </c>
      <c r="G57" s="98" t="s">
        <v>103</v>
      </c>
      <c r="H57" s="98" t="s">
        <v>103</v>
      </c>
      <c r="I57" s="97" t="s">
        <v>184</v>
      </c>
      <c r="J57" s="97" t="s">
        <v>194</v>
      </c>
      <c r="K57" s="97" t="s">
        <v>40</v>
      </c>
      <c r="L57" s="97" t="s">
        <v>40</v>
      </c>
      <c r="M57" s="97" t="s">
        <v>40</v>
      </c>
      <c r="N57" s="97" t="s">
        <v>40</v>
      </c>
      <c r="O57" s="99" t="s">
        <v>197</v>
      </c>
      <c r="P57" s="99" t="s">
        <v>197</v>
      </c>
      <c r="Q57" s="99" t="s">
        <v>197</v>
      </c>
      <c r="R57" s="97" t="s">
        <v>40</v>
      </c>
      <c r="S57" s="97" t="s">
        <v>40</v>
      </c>
      <c r="T57" s="98"/>
      <c r="U57" s="44"/>
      <c r="V57" s="44"/>
      <c r="W57" s="22"/>
      <c r="X57" s="22"/>
      <c r="Y57" s="22"/>
    </row>
    <row r="58">
      <c r="A58" s="22"/>
      <c r="B58" s="100" t="s">
        <v>299</v>
      </c>
      <c r="C58" s="95" t="s">
        <v>300</v>
      </c>
      <c r="D58" s="101">
        <f t="shared" ref="D58:D66" si="3">$E$11+$Q$11</f>
        <v>4.5</v>
      </c>
      <c r="E58" s="101">
        <f>($E$11+$Q$11)*3</f>
        <v>13.5</v>
      </c>
      <c r="F58" s="101">
        <f t="shared" ref="F58:F66" si="4">0.3*(E58^(1/2))</f>
        <v>1.102270384</v>
      </c>
      <c r="G58" s="102">
        <v>40.0</v>
      </c>
      <c r="H58" s="102">
        <v>32.0</v>
      </c>
      <c r="I58" s="101">
        <f t="shared" ref="I58:I66" si="5">(F58/1000)/(3.14159*(((H58/1000)/2)^2))</f>
        <v>1.370561941</v>
      </c>
      <c r="J58" s="103">
        <f t="shared" ref="J58:J66" si="6">(8.69*10^(6)*(((F58/3.6)^(1.75))/(H58^(4.75))))/10</f>
        <v>0.00776304755</v>
      </c>
      <c r="K58" s="104">
        <v>3.0</v>
      </c>
      <c r="L58" s="101">
        <f t="shared" ref="L58:L75" si="7">R59</f>
        <v>29.5747317</v>
      </c>
      <c r="M58" s="101">
        <f>Q100</f>
        <v>22.9204</v>
      </c>
      <c r="N58" s="101">
        <f>P100</f>
        <v>82.6</v>
      </c>
      <c r="O58" s="101">
        <f t="shared" ref="O58:O66" si="8">J58*(M58)</f>
        <v>0.1779321551</v>
      </c>
      <c r="P58" s="101">
        <f t="shared" ref="P58:P66" si="9">N58*J58</f>
        <v>0.6412277276</v>
      </c>
      <c r="Q58" s="101">
        <f t="shared" ref="Q58:Q66" si="10">O58+P58</f>
        <v>0.8191598827</v>
      </c>
      <c r="R58" s="105">
        <f t="shared" ref="R58:R66" si="11">L58-Q58+K58</f>
        <v>31.75557181</v>
      </c>
      <c r="S58" s="106">
        <v>2.0</v>
      </c>
      <c r="T58" s="107" t="str">
        <f t="shared" ref="T58:T66" si="12">IF(AND(40&gt;=R58, R58&gt;=S58), "OK", "NÃO OK!")</f>
        <v>OK</v>
      </c>
      <c r="U58" s="100" t="s">
        <v>299</v>
      </c>
      <c r="V58" s="95" t="s">
        <v>300</v>
      </c>
      <c r="W58" s="22"/>
      <c r="X58" s="22"/>
      <c r="Y58" s="22"/>
    </row>
    <row r="59">
      <c r="A59" s="22"/>
      <c r="B59" s="100">
        <v>1.0</v>
      </c>
      <c r="C59" s="95" t="s">
        <v>301</v>
      </c>
      <c r="D59" s="101">
        <f t="shared" si="3"/>
        <v>4.5</v>
      </c>
      <c r="E59" s="101">
        <f t="shared" ref="E59:E66" si="13">(($E$11+$Q$11)*3)+E58</f>
        <v>27</v>
      </c>
      <c r="F59" s="101">
        <f t="shared" si="4"/>
        <v>1.558845727</v>
      </c>
      <c r="G59" s="102">
        <v>40.0</v>
      </c>
      <c r="H59" s="102">
        <v>32.0</v>
      </c>
      <c r="I59" s="101">
        <f t="shared" si="5"/>
        <v>1.938267285</v>
      </c>
      <c r="J59" s="103">
        <f t="shared" si="6"/>
        <v>0.01423749198</v>
      </c>
      <c r="K59" s="104">
        <v>3.0</v>
      </c>
      <c r="L59" s="101">
        <f t="shared" si="7"/>
        <v>28.07707755</v>
      </c>
      <c r="M59" s="101">
        <f>Q100</f>
        <v>22.9204</v>
      </c>
      <c r="N59" s="101">
        <f>P100</f>
        <v>82.6</v>
      </c>
      <c r="O59" s="101">
        <f t="shared" si="8"/>
        <v>0.3263290112</v>
      </c>
      <c r="P59" s="101">
        <f t="shared" si="9"/>
        <v>1.176016838</v>
      </c>
      <c r="Q59" s="101">
        <f t="shared" si="10"/>
        <v>1.502345849</v>
      </c>
      <c r="R59" s="105">
        <f t="shared" si="11"/>
        <v>29.5747317</v>
      </c>
      <c r="S59" s="106">
        <v>2.0</v>
      </c>
      <c r="T59" s="107" t="str">
        <f t="shared" si="12"/>
        <v>OK</v>
      </c>
      <c r="U59" s="100">
        <v>1.0</v>
      </c>
      <c r="V59" s="95" t="s">
        <v>301</v>
      </c>
      <c r="W59" s="22"/>
      <c r="X59" s="22"/>
      <c r="Y59" s="22"/>
    </row>
    <row r="60">
      <c r="A60" s="22"/>
      <c r="B60" s="100">
        <v>2.0</v>
      </c>
      <c r="C60" s="95" t="s">
        <v>302</v>
      </c>
      <c r="D60" s="101">
        <f t="shared" si="3"/>
        <v>4.5</v>
      </c>
      <c r="E60" s="101">
        <f t="shared" si="13"/>
        <v>40.5</v>
      </c>
      <c r="F60" s="101">
        <f t="shared" si="4"/>
        <v>1.909188309</v>
      </c>
      <c r="G60" s="102">
        <v>50.0</v>
      </c>
      <c r="H60" s="102">
        <v>40.0</v>
      </c>
      <c r="I60" s="101">
        <f t="shared" si="5"/>
        <v>1.519285067</v>
      </c>
      <c r="J60" s="103">
        <f t="shared" si="6"/>
        <v>0.007033812422</v>
      </c>
      <c r="K60" s="104">
        <v>3.0</v>
      </c>
      <c r="L60" s="101">
        <f t="shared" si="7"/>
        <v>25.81928825</v>
      </c>
      <c r="M60" s="101">
        <f>Q100</f>
        <v>22.9204</v>
      </c>
      <c r="N60" s="101">
        <f>P100</f>
        <v>82.6</v>
      </c>
      <c r="O60" s="101">
        <f t="shared" si="8"/>
        <v>0.1612177942</v>
      </c>
      <c r="P60" s="101">
        <f t="shared" si="9"/>
        <v>0.5809929061</v>
      </c>
      <c r="Q60" s="101">
        <f t="shared" si="10"/>
        <v>0.7422107003</v>
      </c>
      <c r="R60" s="105">
        <f t="shared" si="11"/>
        <v>28.07707755</v>
      </c>
      <c r="S60" s="106">
        <v>2.0</v>
      </c>
      <c r="T60" s="107" t="str">
        <f t="shared" si="12"/>
        <v>OK</v>
      </c>
      <c r="U60" s="100">
        <v>2.0</v>
      </c>
      <c r="V60" s="95" t="s">
        <v>302</v>
      </c>
      <c r="W60" s="22"/>
      <c r="X60" s="22"/>
      <c r="Y60" s="22"/>
    </row>
    <row r="61">
      <c r="A61" s="22"/>
      <c r="B61" s="100">
        <v>3.0</v>
      </c>
      <c r="C61" s="95" t="s">
        <v>303</v>
      </c>
      <c r="D61" s="101">
        <f t="shared" si="3"/>
        <v>4.5</v>
      </c>
      <c r="E61" s="101">
        <f t="shared" si="13"/>
        <v>54</v>
      </c>
      <c r="F61" s="101">
        <f t="shared" si="4"/>
        <v>2.204540769</v>
      </c>
      <c r="G61" s="102">
        <v>50.0</v>
      </c>
      <c r="H61" s="102">
        <v>40.0</v>
      </c>
      <c r="I61" s="101">
        <f t="shared" si="5"/>
        <v>1.754319285</v>
      </c>
      <c r="J61" s="103">
        <f t="shared" si="6"/>
        <v>0.009047158041</v>
      </c>
      <c r="K61" s="104">
        <v>3.0</v>
      </c>
      <c r="L61" s="101">
        <f t="shared" si="7"/>
        <v>23.77394798</v>
      </c>
      <c r="M61" s="101">
        <f>Q100</f>
        <v>22.9204</v>
      </c>
      <c r="N61" s="101">
        <f>P100</f>
        <v>82.6</v>
      </c>
      <c r="O61" s="101">
        <f t="shared" si="8"/>
        <v>0.2073644812</v>
      </c>
      <c r="P61" s="101">
        <f t="shared" si="9"/>
        <v>0.7472952542</v>
      </c>
      <c r="Q61" s="101">
        <f t="shared" si="10"/>
        <v>0.9546597354</v>
      </c>
      <c r="R61" s="105">
        <f t="shared" si="11"/>
        <v>25.81928825</v>
      </c>
      <c r="S61" s="106">
        <v>2.0</v>
      </c>
      <c r="T61" s="107" t="str">
        <f t="shared" si="12"/>
        <v>OK</v>
      </c>
      <c r="U61" s="100">
        <v>3.0</v>
      </c>
      <c r="V61" s="95" t="s">
        <v>303</v>
      </c>
      <c r="W61" s="22"/>
      <c r="X61" s="22"/>
      <c r="Y61" s="22"/>
    </row>
    <row r="62">
      <c r="A62" s="22"/>
      <c r="B62" s="100">
        <v>4.0</v>
      </c>
      <c r="C62" s="95" t="s">
        <v>304</v>
      </c>
      <c r="D62" s="101">
        <f t="shared" si="3"/>
        <v>4.5</v>
      </c>
      <c r="E62" s="101">
        <f t="shared" si="13"/>
        <v>67.5</v>
      </c>
      <c r="F62" s="101">
        <f t="shared" si="4"/>
        <v>2.464751509</v>
      </c>
      <c r="G62" s="102">
        <v>50.0</v>
      </c>
      <c r="H62" s="102">
        <v>40.0</v>
      </c>
      <c r="I62" s="101">
        <f t="shared" si="5"/>
        <v>1.961388587</v>
      </c>
      <c r="J62" s="103">
        <f t="shared" si="6"/>
        <v>0.01099786637</v>
      </c>
      <c r="K62" s="104">
        <v>3.0</v>
      </c>
      <c r="L62" s="101">
        <f t="shared" si="7"/>
        <v>21.93444724</v>
      </c>
      <c r="M62" s="101">
        <f>Q100</f>
        <v>22.9204</v>
      </c>
      <c r="N62" s="101">
        <f>P100</f>
        <v>82.6</v>
      </c>
      <c r="O62" s="101">
        <f t="shared" si="8"/>
        <v>0.2520754962</v>
      </c>
      <c r="P62" s="101">
        <f t="shared" si="9"/>
        <v>0.9084237618</v>
      </c>
      <c r="Q62" s="101">
        <f t="shared" si="10"/>
        <v>1.160499258</v>
      </c>
      <c r="R62" s="105">
        <f t="shared" si="11"/>
        <v>23.77394798</v>
      </c>
      <c r="S62" s="106">
        <v>2.0</v>
      </c>
      <c r="T62" s="107" t="str">
        <f t="shared" si="12"/>
        <v>OK</v>
      </c>
      <c r="U62" s="100">
        <v>4.0</v>
      </c>
      <c r="V62" s="95" t="s">
        <v>304</v>
      </c>
      <c r="W62" s="22"/>
      <c r="X62" s="22"/>
      <c r="Y62" s="22"/>
    </row>
    <row r="63">
      <c r="A63" s="22"/>
      <c r="B63" s="100">
        <v>5.0</v>
      </c>
      <c r="C63" s="95" t="s">
        <v>305</v>
      </c>
      <c r="D63" s="101">
        <f t="shared" si="3"/>
        <v>4.5</v>
      </c>
      <c r="E63" s="101">
        <f t="shared" si="13"/>
        <v>81</v>
      </c>
      <c r="F63" s="101">
        <f t="shared" si="4"/>
        <v>2.7</v>
      </c>
      <c r="G63" s="102">
        <v>60.0</v>
      </c>
      <c r="H63" s="102">
        <v>50.0</v>
      </c>
      <c r="I63" s="101">
        <f t="shared" si="5"/>
        <v>1.37509987</v>
      </c>
      <c r="J63" s="103">
        <f t="shared" si="6"/>
        <v>0.00446960832</v>
      </c>
      <c r="K63" s="104">
        <v>3.0</v>
      </c>
      <c r="L63" s="101">
        <f t="shared" si="7"/>
        <v>19.4060821</v>
      </c>
      <c r="M63" s="101">
        <f>Q100</f>
        <v>22.9204</v>
      </c>
      <c r="N63" s="101">
        <f>P100</f>
        <v>82.6</v>
      </c>
      <c r="O63" s="101">
        <f t="shared" si="8"/>
        <v>0.1024452105</v>
      </c>
      <c r="P63" s="101">
        <f t="shared" si="9"/>
        <v>0.3691896472</v>
      </c>
      <c r="Q63" s="101">
        <f t="shared" si="10"/>
        <v>0.4716348578</v>
      </c>
      <c r="R63" s="105">
        <f t="shared" si="11"/>
        <v>21.93444724</v>
      </c>
      <c r="S63" s="106">
        <v>2.0</v>
      </c>
      <c r="T63" s="107" t="str">
        <f t="shared" si="12"/>
        <v>OK</v>
      </c>
      <c r="U63" s="100">
        <v>5.0</v>
      </c>
      <c r="V63" s="95" t="s">
        <v>305</v>
      </c>
      <c r="W63" s="22"/>
      <c r="X63" s="22"/>
      <c r="Y63" s="22"/>
    </row>
    <row r="64">
      <c r="A64" s="22"/>
      <c r="B64" s="100">
        <v>6.0</v>
      </c>
      <c r="C64" s="95" t="s">
        <v>306</v>
      </c>
      <c r="D64" s="101">
        <f t="shared" si="3"/>
        <v>4.5</v>
      </c>
      <c r="E64" s="101">
        <f t="shared" si="13"/>
        <v>94.5</v>
      </c>
      <c r="F64" s="101">
        <f t="shared" si="4"/>
        <v>2.916333314</v>
      </c>
      <c r="G64" s="102">
        <v>60.0</v>
      </c>
      <c r="H64" s="102">
        <v>50.0</v>
      </c>
      <c r="I64" s="101">
        <f t="shared" si="5"/>
        <v>1.485277615</v>
      </c>
      <c r="J64" s="103">
        <f t="shared" si="6"/>
        <v>0.005115026732</v>
      </c>
      <c r="K64" s="104">
        <v>3.0</v>
      </c>
      <c r="L64" s="101">
        <f t="shared" si="7"/>
        <v>16.94582176</v>
      </c>
      <c r="M64" s="101">
        <f>Q100</f>
        <v>22.9204</v>
      </c>
      <c r="N64" s="101">
        <f>P100</f>
        <v>82.6</v>
      </c>
      <c r="O64" s="101">
        <f t="shared" si="8"/>
        <v>0.1172384587</v>
      </c>
      <c r="P64" s="101">
        <f t="shared" si="9"/>
        <v>0.422501208</v>
      </c>
      <c r="Q64" s="101">
        <f t="shared" si="10"/>
        <v>0.5397396667</v>
      </c>
      <c r="R64" s="105">
        <f t="shared" si="11"/>
        <v>19.4060821</v>
      </c>
      <c r="S64" s="106">
        <v>2.0</v>
      </c>
      <c r="T64" s="107" t="str">
        <f t="shared" si="12"/>
        <v>OK</v>
      </c>
      <c r="U64" s="100">
        <v>6.0</v>
      </c>
      <c r="V64" s="95" t="s">
        <v>306</v>
      </c>
      <c r="W64" s="22"/>
      <c r="X64" s="22"/>
      <c r="Y64" s="22"/>
    </row>
    <row r="65">
      <c r="A65" s="22"/>
      <c r="B65" s="100">
        <v>7.0</v>
      </c>
      <c r="C65" s="95" t="s">
        <v>307</v>
      </c>
      <c r="D65" s="101">
        <f t="shared" si="3"/>
        <v>4.5</v>
      </c>
      <c r="E65" s="101">
        <f t="shared" si="13"/>
        <v>108</v>
      </c>
      <c r="F65" s="101">
        <f t="shared" si="4"/>
        <v>3.117691454</v>
      </c>
      <c r="G65" s="102">
        <v>60.0</v>
      </c>
      <c r="H65" s="102">
        <v>50.0</v>
      </c>
      <c r="I65" s="101">
        <f t="shared" si="5"/>
        <v>1.58782856</v>
      </c>
      <c r="J65" s="103">
        <f t="shared" si="6"/>
        <v>0.005748980841</v>
      </c>
      <c r="K65" s="104">
        <v>3.0</v>
      </c>
      <c r="L65" s="101">
        <f t="shared" si="7"/>
        <v>14.55245652</v>
      </c>
      <c r="M65" s="101">
        <f>Q100</f>
        <v>22.9204</v>
      </c>
      <c r="N65" s="101">
        <f>P100</f>
        <v>82.6</v>
      </c>
      <c r="O65" s="101">
        <f t="shared" si="8"/>
        <v>0.1317689405</v>
      </c>
      <c r="P65" s="101">
        <f t="shared" si="9"/>
        <v>0.4748658175</v>
      </c>
      <c r="Q65" s="101">
        <f t="shared" si="10"/>
        <v>0.6066347579</v>
      </c>
      <c r="R65" s="105">
        <f t="shared" si="11"/>
        <v>16.94582176</v>
      </c>
      <c r="S65" s="106">
        <v>2.0</v>
      </c>
      <c r="T65" s="107" t="str">
        <f t="shared" si="12"/>
        <v>OK</v>
      </c>
      <c r="U65" s="100">
        <v>7.0</v>
      </c>
      <c r="V65" s="95" t="s">
        <v>307</v>
      </c>
      <c r="W65" s="22"/>
      <c r="X65" s="22"/>
      <c r="Y65" s="22"/>
    </row>
    <row r="66">
      <c r="A66" s="22"/>
      <c r="B66" s="100">
        <v>8.0</v>
      </c>
      <c r="C66" s="95" t="s">
        <v>308</v>
      </c>
      <c r="D66" s="101">
        <f t="shared" si="3"/>
        <v>4.5</v>
      </c>
      <c r="E66" s="101">
        <f t="shared" si="13"/>
        <v>121.5</v>
      </c>
      <c r="F66" s="101">
        <f t="shared" si="4"/>
        <v>3.306811153</v>
      </c>
      <c r="G66" s="102">
        <v>60.0</v>
      </c>
      <c r="H66" s="102">
        <v>50.0</v>
      </c>
      <c r="I66" s="101">
        <f t="shared" si="5"/>
        <v>1.684146513</v>
      </c>
      <c r="J66" s="103">
        <f t="shared" si="6"/>
        <v>0.006373079242</v>
      </c>
      <c r="K66" s="104">
        <v>3.0</v>
      </c>
      <c r="L66" s="101">
        <f t="shared" si="7"/>
        <v>12.22494639</v>
      </c>
      <c r="M66" s="101">
        <f>Q100</f>
        <v>22.9204</v>
      </c>
      <c r="N66" s="101">
        <f>P100</f>
        <v>82.6</v>
      </c>
      <c r="O66" s="101">
        <f t="shared" si="8"/>
        <v>0.1460735255</v>
      </c>
      <c r="P66" s="101">
        <f t="shared" si="9"/>
        <v>0.5264163454</v>
      </c>
      <c r="Q66" s="101">
        <f t="shared" si="10"/>
        <v>0.6724898708</v>
      </c>
      <c r="R66" s="105">
        <f t="shared" si="11"/>
        <v>14.55245652</v>
      </c>
      <c r="S66" s="106">
        <v>2.0</v>
      </c>
      <c r="T66" s="107" t="str">
        <f t="shared" si="12"/>
        <v>OK</v>
      </c>
      <c r="U66" s="100">
        <v>8.0</v>
      </c>
      <c r="V66" s="95" t="s">
        <v>308</v>
      </c>
      <c r="W66" s="22"/>
      <c r="X66" s="22"/>
      <c r="Y66" s="22"/>
    </row>
    <row r="67">
      <c r="A67" s="22"/>
      <c r="B67" s="108" t="s">
        <v>309</v>
      </c>
      <c r="C67" s="6"/>
      <c r="D67" s="101"/>
      <c r="E67" s="104"/>
      <c r="F67" s="104"/>
      <c r="G67" s="102"/>
      <c r="H67" s="102"/>
      <c r="I67" s="101"/>
      <c r="J67" s="103"/>
      <c r="K67" s="104"/>
      <c r="L67" s="101">
        <f t="shared" si="7"/>
        <v>24.44989279</v>
      </c>
      <c r="M67" s="101"/>
      <c r="N67" s="101"/>
      <c r="O67" s="101"/>
      <c r="P67" s="101"/>
      <c r="Q67" s="101"/>
      <c r="R67" s="105">
        <f>(L67-Q67+K67)/2</f>
        <v>12.22494639</v>
      </c>
      <c r="S67" s="106"/>
      <c r="T67" s="107"/>
      <c r="U67" s="108" t="s">
        <v>309</v>
      </c>
      <c r="V67" s="6"/>
      <c r="W67" s="22"/>
      <c r="X67" s="22"/>
      <c r="Y67" s="22"/>
    </row>
    <row r="68">
      <c r="A68" s="22"/>
      <c r="B68" s="100">
        <v>9.0</v>
      </c>
      <c r="C68" s="95" t="s">
        <v>310</v>
      </c>
      <c r="D68" s="101">
        <f t="shared" ref="D68:D76" si="14">$E$11+$Q$11</f>
        <v>4.5</v>
      </c>
      <c r="E68" s="101">
        <f>(($E$11+$Q$11)*3)+E66</f>
        <v>135</v>
      </c>
      <c r="F68" s="101">
        <f t="shared" ref="F68:F76" si="15">0.3*(E68^(1/2))</f>
        <v>3.485685012</v>
      </c>
      <c r="G68" s="102">
        <v>60.0</v>
      </c>
      <c r="H68" s="102">
        <v>50.0</v>
      </c>
      <c r="I68" s="101">
        <f t="shared" ref="I68:I76" si="16">(F68/1000)/(3.14159*(((H68/1000)/2)^2))</f>
        <v>1.775246298</v>
      </c>
      <c r="J68" s="103">
        <f t="shared" ref="J68:J76" si="17">(8.69*10^(6)*(((F68/3.6)^(1.75))/(H68^(4.75))))/10</f>
        <v>0.00698855074</v>
      </c>
      <c r="K68" s="104">
        <v>3.0</v>
      </c>
      <c r="L68" s="101">
        <f t="shared" si="7"/>
        <v>22.18732746</v>
      </c>
      <c r="M68" s="101">
        <f>Q100</f>
        <v>22.9204</v>
      </c>
      <c r="N68" s="101">
        <f>P100</f>
        <v>82.6</v>
      </c>
      <c r="O68" s="101">
        <f t="shared" ref="O68:O76" si="18">J68*(M68)</f>
        <v>0.1601803784</v>
      </c>
      <c r="P68" s="101">
        <f t="shared" ref="P68:P76" si="19">N68*J68</f>
        <v>0.5772542911</v>
      </c>
      <c r="Q68" s="101">
        <f t="shared" ref="Q68:Q76" si="20">O68+P68</f>
        <v>0.7374346695</v>
      </c>
      <c r="R68" s="105">
        <f t="shared" ref="R68:R76" si="21">L68-Q68+K68</f>
        <v>24.44989279</v>
      </c>
      <c r="S68" s="106">
        <v>2.0</v>
      </c>
      <c r="T68" s="107" t="str">
        <f t="shared" ref="T68:T76" si="22">IF(AND(40&gt;=R68, R68&gt;=S68), "OK", "NÃO OK!")</f>
        <v>OK</v>
      </c>
      <c r="U68" s="100">
        <v>9.0</v>
      </c>
      <c r="V68" s="95" t="s">
        <v>310</v>
      </c>
      <c r="W68" s="22"/>
      <c r="X68" s="22"/>
      <c r="Y68" s="22"/>
    </row>
    <row r="69">
      <c r="A69" s="22"/>
      <c r="B69" s="100">
        <v>10.0</v>
      </c>
      <c r="C69" s="95" t="s">
        <v>311</v>
      </c>
      <c r="D69" s="101">
        <f t="shared" si="14"/>
        <v>4.5</v>
      </c>
      <c r="E69" s="101">
        <f t="shared" ref="E69:E76" si="23">(($E$11+$Q$11)*3)+E68</f>
        <v>148.5</v>
      </c>
      <c r="F69" s="101">
        <f t="shared" si="15"/>
        <v>3.655817282</v>
      </c>
      <c r="G69" s="102">
        <v>60.0</v>
      </c>
      <c r="H69" s="102">
        <v>50.0</v>
      </c>
      <c r="I69" s="101">
        <f t="shared" si="16"/>
        <v>1.861894025</v>
      </c>
      <c r="J69" s="103">
        <f t="shared" si="17"/>
        <v>0.007596363218</v>
      </c>
      <c r="K69" s="104">
        <v>3.0</v>
      </c>
      <c r="L69" s="101">
        <f t="shared" si="7"/>
        <v>19.98889874</v>
      </c>
      <c r="M69" s="101">
        <f>Q100</f>
        <v>22.9204</v>
      </c>
      <c r="N69" s="101">
        <f>P100</f>
        <v>82.6</v>
      </c>
      <c r="O69" s="101">
        <f t="shared" si="18"/>
        <v>0.1741116835</v>
      </c>
      <c r="P69" s="101">
        <f t="shared" si="19"/>
        <v>0.6274596018</v>
      </c>
      <c r="Q69" s="101">
        <f t="shared" si="20"/>
        <v>0.8015712853</v>
      </c>
      <c r="R69" s="105">
        <f t="shared" si="21"/>
        <v>22.18732746</v>
      </c>
      <c r="S69" s="106">
        <v>2.0</v>
      </c>
      <c r="T69" s="107" t="str">
        <f t="shared" si="22"/>
        <v>OK</v>
      </c>
      <c r="U69" s="100">
        <v>10.0</v>
      </c>
      <c r="V69" s="95" t="s">
        <v>311</v>
      </c>
      <c r="W69" s="22"/>
      <c r="X69" s="22"/>
      <c r="Y69" s="22"/>
    </row>
    <row r="70">
      <c r="A70" s="22"/>
      <c r="B70" s="100">
        <v>11.0</v>
      </c>
      <c r="C70" s="95" t="s">
        <v>312</v>
      </c>
      <c r="D70" s="101">
        <f t="shared" si="14"/>
        <v>4.5</v>
      </c>
      <c r="E70" s="101">
        <f t="shared" si="23"/>
        <v>162</v>
      </c>
      <c r="F70" s="101">
        <f t="shared" si="15"/>
        <v>3.818376618</v>
      </c>
      <c r="G70" s="102">
        <v>60.0</v>
      </c>
      <c r="H70" s="102">
        <v>50.0</v>
      </c>
      <c r="I70" s="101">
        <f t="shared" si="16"/>
        <v>1.944684886</v>
      </c>
      <c r="J70" s="103">
        <f t="shared" si="17"/>
        <v>0.008197297802</v>
      </c>
      <c r="K70" s="104">
        <v>3.0</v>
      </c>
      <c r="L70" s="101">
        <f t="shared" si="7"/>
        <v>17.85388088</v>
      </c>
      <c r="M70" s="101">
        <f>Q100</f>
        <v>22.9204</v>
      </c>
      <c r="N70" s="101">
        <f>P100</f>
        <v>82.6</v>
      </c>
      <c r="O70" s="101">
        <f t="shared" si="18"/>
        <v>0.1878853445</v>
      </c>
      <c r="P70" s="101">
        <f t="shared" si="19"/>
        <v>0.6770967985</v>
      </c>
      <c r="Q70" s="101">
        <f t="shared" si="20"/>
        <v>0.864982143</v>
      </c>
      <c r="R70" s="105">
        <f t="shared" si="21"/>
        <v>19.98889874</v>
      </c>
      <c r="S70" s="106">
        <v>2.0</v>
      </c>
      <c r="T70" s="107" t="str">
        <f t="shared" si="22"/>
        <v>OK</v>
      </c>
      <c r="U70" s="100">
        <v>11.0</v>
      </c>
      <c r="V70" s="95" t="s">
        <v>312</v>
      </c>
      <c r="W70" s="22"/>
      <c r="X70" s="22"/>
      <c r="Y70" s="22"/>
    </row>
    <row r="71">
      <c r="A71" s="22"/>
      <c r="B71" s="100">
        <v>12.0</v>
      </c>
      <c r="C71" s="95" t="s">
        <v>313</v>
      </c>
      <c r="D71" s="101">
        <f t="shared" si="14"/>
        <v>4.5</v>
      </c>
      <c r="E71" s="101">
        <f t="shared" si="23"/>
        <v>175.5</v>
      </c>
      <c r="F71" s="101">
        <f t="shared" si="15"/>
        <v>3.97429239</v>
      </c>
      <c r="G71" s="102">
        <v>60.0</v>
      </c>
      <c r="H71" s="102">
        <v>50.0</v>
      </c>
      <c r="I71" s="101">
        <f t="shared" si="16"/>
        <v>2.024092203</v>
      </c>
      <c r="J71" s="103">
        <f t="shared" si="17"/>
        <v>0.008791997501</v>
      </c>
      <c r="K71" s="104">
        <v>3.0</v>
      </c>
      <c r="L71" s="101">
        <f t="shared" si="7"/>
        <v>15.78161598</v>
      </c>
      <c r="M71" s="101">
        <f>Q100</f>
        <v>22.9204</v>
      </c>
      <c r="N71" s="101">
        <f>P100</f>
        <v>82.6</v>
      </c>
      <c r="O71" s="101">
        <f t="shared" si="18"/>
        <v>0.2015160995</v>
      </c>
      <c r="P71" s="101">
        <f t="shared" si="19"/>
        <v>0.7262189936</v>
      </c>
      <c r="Q71" s="101">
        <f t="shared" si="20"/>
        <v>0.9277350931</v>
      </c>
      <c r="R71" s="105">
        <f t="shared" si="21"/>
        <v>17.85388088</v>
      </c>
      <c r="S71" s="106">
        <v>2.0</v>
      </c>
      <c r="T71" s="107" t="str">
        <f t="shared" si="22"/>
        <v>OK</v>
      </c>
      <c r="U71" s="100">
        <v>12.0</v>
      </c>
      <c r="V71" s="95" t="s">
        <v>313</v>
      </c>
      <c r="W71" s="22"/>
      <c r="X71" s="22"/>
      <c r="Y71" s="22"/>
    </row>
    <row r="72">
      <c r="A72" s="22"/>
      <c r="B72" s="100">
        <v>13.0</v>
      </c>
      <c r="C72" s="95" t="s">
        <v>314</v>
      </c>
      <c r="D72" s="101">
        <f t="shared" si="14"/>
        <v>4.5</v>
      </c>
      <c r="E72" s="101">
        <f t="shared" si="23"/>
        <v>189</v>
      </c>
      <c r="F72" s="101">
        <f t="shared" si="15"/>
        <v>4.124318125</v>
      </c>
      <c r="G72" s="102">
        <v>60.0</v>
      </c>
      <c r="H72" s="102">
        <v>50.0</v>
      </c>
      <c r="I72" s="101">
        <f t="shared" si="16"/>
        <v>2.100499747</v>
      </c>
      <c r="J72" s="103">
        <f t="shared" si="17"/>
        <v>0.009381000388</v>
      </c>
      <c r="K72" s="104">
        <v>3.0</v>
      </c>
      <c r="L72" s="101">
        <f t="shared" si="7"/>
        <v>13.77150289</v>
      </c>
      <c r="M72" s="101">
        <f>Q100</f>
        <v>22.9204</v>
      </c>
      <c r="N72" s="101">
        <f>P100</f>
        <v>82.6</v>
      </c>
      <c r="O72" s="101">
        <f t="shared" si="18"/>
        <v>0.2150162813</v>
      </c>
      <c r="P72" s="101">
        <f t="shared" si="19"/>
        <v>0.774870632</v>
      </c>
      <c r="Q72" s="101">
        <f t="shared" si="20"/>
        <v>0.9898869133</v>
      </c>
      <c r="R72" s="105">
        <f t="shared" si="21"/>
        <v>15.78161598</v>
      </c>
      <c r="S72" s="106">
        <v>2.0</v>
      </c>
      <c r="T72" s="107" t="str">
        <f t="shared" si="22"/>
        <v>OK</v>
      </c>
      <c r="U72" s="100">
        <v>13.0</v>
      </c>
      <c r="V72" s="95" t="s">
        <v>314</v>
      </c>
      <c r="W72" s="22"/>
      <c r="X72" s="22"/>
      <c r="Y72" s="22"/>
    </row>
    <row r="73">
      <c r="A73" s="22"/>
      <c r="B73" s="100">
        <v>14.0</v>
      </c>
      <c r="C73" s="95" t="s">
        <v>315</v>
      </c>
      <c r="D73" s="101">
        <f t="shared" si="14"/>
        <v>4.5</v>
      </c>
      <c r="E73" s="101">
        <f t="shared" si="23"/>
        <v>202.5</v>
      </c>
      <c r="F73" s="101">
        <f t="shared" si="15"/>
        <v>4.269074841</v>
      </c>
      <c r="G73" s="102">
        <v>60.0</v>
      </c>
      <c r="H73" s="102">
        <v>50.0</v>
      </c>
      <c r="I73" s="101">
        <f t="shared" si="16"/>
        <v>2.174223799</v>
      </c>
      <c r="J73" s="103">
        <f t="shared" si="17"/>
        <v>0.009964763009</v>
      </c>
      <c r="K73" s="104">
        <v>3.0</v>
      </c>
      <c r="L73" s="101">
        <f t="shared" si="7"/>
        <v>11.82298867</v>
      </c>
      <c r="M73" s="101">
        <f>Q100</f>
        <v>22.9204</v>
      </c>
      <c r="N73" s="101">
        <f>P100</f>
        <v>82.6</v>
      </c>
      <c r="O73" s="101">
        <f t="shared" si="18"/>
        <v>0.2283963541</v>
      </c>
      <c r="P73" s="101">
        <f t="shared" si="19"/>
        <v>0.8230894245</v>
      </c>
      <c r="Q73" s="101">
        <f t="shared" si="20"/>
        <v>1.051485779</v>
      </c>
      <c r="R73" s="105">
        <f t="shared" si="21"/>
        <v>13.77150289</v>
      </c>
      <c r="S73" s="106">
        <v>2.0</v>
      </c>
      <c r="T73" s="107" t="str">
        <f t="shared" si="22"/>
        <v>OK</v>
      </c>
      <c r="U73" s="100">
        <v>14.0</v>
      </c>
      <c r="V73" s="95" t="s">
        <v>315</v>
      </c>
      <c r="W73" s="22"/>
      <c r="X73" s="22"/>
      <c r="Y73" s="22"/>
    </row>
    <row r="74">
      <c r="A74" s="22"/>
      <c r="B74" s="100">
        <v>15.0</v>
      </c>
      <c r="C74" s="95" t="s">
        <v>316</v>
      </c>
      <c r="D74" s="101">
        <f t="shared" si="14"/>
        <v>4.5</v>
      </c>
      <c r="E74" s="101">
        <f t="shared" si="23"/>
        <v>216</v>
      </c>
      <c r="F74" s="101">
        <f t="shared" si="15"/>
        <v>4.409081537</v>
      </c>
      <c r="G74" s="102">
        <v>75.0</v>
      </c>
      <c r="H74" s="102">
        <v>60.0</v>
      </c>
      <c r="I74" s="101">
        <f t="shared" si="16"/>
        <v>1.55939492</v>
      </c>
      <c r="J74" s="103">
        <f t="shared" si="17"/>
        <v>0.004434873012</v>
      </c>
      <c r="K74" s="104">
        <v>3.0</v>
      </c>
      <c r="L74" s="101">
        <f t="shared" si="7"/>
        <v>9.290958243</v>
      </c>
      <c r="M74" s="101">
        <f>Q100</f>
        <v>22.9204</v>
      </c>
      <c r="N74" s="101">
        <f>P100</f>
        <v>82.6</v>
      </c>
      <c r="O74" s="101">
        <f t="shared" si="18"/>
        <v>0.1016490634</v>
      </c>
      <c r="P74" s="101">
        <f t="shared" si="19"/>
        <v>0.3663205108</v>
      </c>
      <c r="Q74" s="101">
        <f t="shared" si="20"/>
        <v>0.4679695742</v>
      </c>
      <c r="R74" s="105">
        <f t="shared" si="21"/>
        <v>11.82298867</v>
      </c>
      <c r="S74" s="106">
        <v>2.0</v>
      </c>
      <c r="T74" s="107" t="str">
        <f t="shared" si="22"/>
        <v>OK</v>
      </c>
      <c r="U74" s="100">
        <v>15.0</v>
      </c>
      <c r="V74" s="95" t="s">
        <v>316</v>
      </c>
      <c r="W74" s="22"/>
      <c r="X74" s="22"/>
      <c r="Y74" s="22"/>
    </row>
    <row r="75">
      <c r="A75" s="22"/>
      <c r="B75" s="100">
        <v>16.0</v>
      </c>
      <c r="C75" s="95" t="s">
        <v>317</v>
      </c>
      <c r="D75" s="101">
        <f t="shared" si="14"/>
        <v>4.5</v>
      </c>
      <c r="E75" s="101">
        <f t="shared" si="23"/>
        <v>229.5</v>
      </c>
      <c r="F75" s="101">
        <f t="shared" si="15"/>
        <v>4.544777222</v>
      </c>
      <c r="G75" s="102">
        <v>75.0</v>
      </c>
      <c r="H75" s="102">
        <v>60.0</v>
      </c>
      <c r="I75" s="101">
        <f t="shared" si="16"/>
        <v>1.607387491</v>
      </c>
      <c r="J75" s="103">
        <f t="shared" si="17"/>
        <v>0.004676479234</v>
      </c>
      <c r="K75" s="104">
        <v>3.0</v>
      </c>
      <c r="L75" s="101">
        <f t="shared" si="7"/>
        <v>6.784422202</v>
      </c>
      <c r="M75" s="101">
        <f>Q100</f>
        <v>22.9204</v>
      </c>
      <c r="N75" s="101">
        <f>P100</f>
        <v>82.6</v>
      </c>
      <c r="O75" s="101">
        <f t="shared" si="18"/>
        <v>0.1071867746</v>
      </c>
      <c r="P75" s="101">
        <f t="shared" si="19"/>
        <v>0.3862771847</v>
      </c>
      <c r="Q75" s="101">
        <f t="shared" si="20"/>
        <v>0.4934639594</v>
      </c>
      <c r="R75" s="105">
        <f t="shared" si="21"/>
        <v>9.290958243</v>
      </c>
      <c r="S75" s="106">
        <v>2.0</v>
      </c>
      <c r="T75" s="107" t="str">
        <f t="shared" si="22"/>
        <v>OK</v>
      </c>
      <c r="U75" s="100">
        <v>16.0</v>
      </c>
      <c r="V75" s="95" t="s">
        <v>317</v>
      </c>
      <c r="W75" s="22"/>
      <c r="X75" s="22"/>
      <c r="Y75" s="22"/>
    </row>
    <row r="76">
      <c r="A76" s="22"/>
      <c r="B76" s="100">
        <v>17.0</v>
      </c>
      <c r="C76" s="95" t="s">
        <v>318</v>
      </c>
      <c r="D76" s="101">
        <f t="shared" si="14"/>
        <v>4.5</v>
      </c>
      <c r="E76" s="101">
        <f t="shared" si="23"/>
        <v>243</v>
      </c>
      <c r="F76" s="101">
        <f t="shared" si="15"/>
        <v>4.67653718</v>
      </c>
      <c r="G76" s="102">
        <v>75.0</v>
      </c>
      <c r="H76" s="102">
        <v>60.0</v>
      </c>
      <c r="I76" s="101">
        <f t="shared" si="16"/>
        <v>1.653988083</v>
      </c>
      <c r="J76" s="103">
        <f t="shared" si="17"/>
        <v>0.004916314372</v>
      </c>
      <c r="K76" s="104">
        <f>5.799+'Consumo Diário'!I13</f>
        <v>6.559226863</v>
      </c>
      <c r="L76" s="104">
        <v>0.8</v>
      </c>
      <c r="M76" s="101">
        <f>Q100+6.56+4.5524+0.285</f>
        <v>34.3178</v>
      </c>
      <c r="N76" s="101">
        <f>P100</f>
        <v>82.6</v>
      </c>
      <c r="O76" s="101">
        <f t="shared" si="18"/>
        <v>0.1687170934</v>
      </c>
      <c r="P76" s="101">
        <f t="shared" si="19"/>
        <v>0.4060875672</v>
      </c>
      <c r="Q76" s="101">
        <f t="shared" si="20"/>
        <v>0.5748046605</v>
      </c>
      <c r="R76" s="105">
        <f t="shared" si="21"/>
        <v>6.784422202</v>
      </c>
      <c r="S76" s="106">
        <v>2.0</v>
      </c>
      <c r="T76" s="107" t="str">
        <f t="shared" si="22"/>
        <v>OK</v>
      </c>
      <c r="U76" s="100">
        <v>17.0</v>
      </c>
      <c r="V76" s="95" t="s">
        <v>318</v>
      </c>
      <c r="W76" s="22"/>
      <c r="X76" s="22"/>
      <c r="Y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37"/>
      <c r="L77" s="37"/>
      <c r="M77" s="22"/>
      <c r="N77" s="109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>
      <c r="A78" s="22"/>
      <c r="B78" s="110" t="s">
        <v>319</v>
      </c>
      <c r="C78" s="111" t="s">
        <v>320</v>
      </c>
      <c r="D78" s="112">
        <f>F68*60</f>
        <v>209.1411007</v>
      </c>
      <c r="E78" s="111" t="s">
        <v>321</v>
      </c>
      <c r="F78" s="110" t="s">
        <v>322</v>
      </c>
      <c r="G78" s="111" t="s">
        <v>323</v>
      </c>
      <c r="H78" s="111" t="s">
        <v>324</v>
      </c>
      <c r="I78" s="113"/>
      <c r="J78" s="114"/>
      <c r="K78" s="113"/>
      <c r="L78" s="113"/>
      <c r="M78" s="114"/>
      <c r="N78" s="115"/>
      <c r="O78" s="114"/>
      <c r="P78" s="114"/>
      <c r="Q78" s="114"/>
      <c r="R78" s="114"/>
      <c r="S78" s="114"/>
      <c r="T78" s="114"/>
      <c r="U78" s="114"/>
      <c r="V78" s="114"/>
      <c r="W78" s="22"/>
      <c r="X78" s="22"/>
      <c r="Y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37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>
      <c r="A80" s="22"/>
      <c r="B80" s="87" t="s">
        <v>325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6"/>
      <c r="V80" s="22"/>
      <c r="W80" s="22"/>
      <c r="X80" s="22"/>
      <c r="Y80" s="22"/>
    </row>
    <row r="81">
      <c r="A81" s="22"/>
      <c r="B81" s="88" t="s">
        <v>279</v>
      </c>
      <c r="C81" s="88" t="s">
        <v>280</v>
      </c>
      <c r="D81" s="89" t="s">
        <v>272</v>
      </c>
      <c r="E81" s="88" t="s">
        <v>281</v>
      </c>
      <c r="F81" s="88" t="s">
        <v>282</v>
      </c>
      <c r="G81" s="88" t="s">
        <v>283</v>
      </c>
      <c r="H81" s="88" t="s">
        <v>284</v>
      </c>
      <c r="I81" s="88" t="s">
        <v>190</v>
      </c>
      <c r="J81" s="88" t="s">
        <v>285</v>
      </c>
      <c r="K81" s="88" t="s">
        <v>286</v>
      </c>
      <c r="L81" s="91" t="s">
        <v>287</v>
      </c>
      <c r="M81" s="6"/>
      <c r="N81" s="91" t="s">
        <v>288</v>
      </c>
      <c r="O81" s="5"/>
      <c r="P81" s="6"/>
      <c r="Q81" s="88" t="s">
        <v>289</v>
      </c>
      <c r="R81" s="88" t="s">
        <v>290</v>
      </c>
      <c r="S81" s="88" t="s">
        <v>291</v>
      </c>
      <c r="T81" s="88" t="s">
        <v>279</v>
      </c>
      <c r="U81" s="88" t="s">
        <v>280</v>
      </c>
      <c r="V81" s="22"/>
      <c r="W81" s="22"/>
      <c r="X81" s="22"/>
      <c r="Y81" s="22"/>
    </row>
    <row r="82">
      <c r="A82" s="22"/>
      <c r="B82" s="92"/>
      <c r="C82" s="92"/>
      <c r="D82" s="116"/>
      <c r="E82" s="44"/>
      <c r="F82" s="44"/>
      <c r="G82" s="44"/>
      <c r="H82" s="44"/>
      <c r="I82" s="44"/>
      <c r="J82" s="44"/>
      <c r="K82" s="44"/>
      <c r="L82" s="95" t="s">
        <v>292</v>
      </c>
      <c r="M82" s="95" t="s">
        <v>293</v>
      </c>
      <c r="N82" s="95" t="s">
        <v>294</v>
      </c>
      <c r="O82" s="95" t="s">
        <v>295</v>
      </c>
      <c r="P82" s="95" t="s">
        <v>41</v>
      </c>
      <c r="Q82" s="44"/>
      <c r="R82" s="44"/>
      <c r="S82" s="44"/>
      <c r="T82" s="92"/>
      <c r="U82" s="92"/>
      <c r="V82" s="22"/>
      <c r="W82" s="22"/>
      <c r="X82" s="22"/>
      <c r="Y82" s="22"/>
    </row>
    <row r="83">
      <c r="A83" s="22"/>
      <c r="B83" s="44"/>
      <c r="C83" s="44"/>
      <c r="D83" s="93"/>
      <c r="E83" s="97" t="s">
        <v>298</v>
      </c>
      <c r="F83" s="98" t="s">
        <v>103</v>
      </c>
      <c r="G83" s="98" t="s">
        <v>103</v>
      </c>
      <c r="H83" s="97" t="s">
        <v>184</v>
      </c>
      <c r="I83" s="97" t="s">
        <v>194</v>
      </c>
      <c r="J83" s="97" t="s">
        <v>40</v>
      </c>
      <c r="K83" s="97" t="s">
        <v>40</v>
      </c>
      <c r="L83" s="97" t="s">
        <v>40</v>
      </c>
      <c r="M83" s="97" t="s">
        <v>40</v>
      </c>
      <c r="N83" s="99" t="s">
        <v>197</v>
      </c>
      <c r="O83" s="99" t="s">
        <v>197</v>
      </c>
      <c r="P83" s="99" t="s">
        <v>197</v>
      </c>
      <c r="Q83" s="97" t="s">
        <v>40</v>
      </c>
      <c r="R83" s="97" t="s">
        <v>40</v>
      </c>
      <c r="S83" s="98"/>
      <c r="T83" s="44"/>
      <c r="U83" s="44"/>
      <c r="V83" s="22"/>
      <c r="W83" s="22"/>
      <c r="X83" s="22"/>
      <c r="Y83" s="22"/>
    </row>
    <row r="84">
      <c r="A84" s="22"/>
      <c r="B84" s="100" t="s">
        <v>326</v>
      </c>
      <c r="C84" s="100" t="s">
        <v>327</v>
      </c>
      <c r="D84" s="117"/>
      <c r="E84" s="117"/>
      <c r="F84" s="117"/>
      <c r="G84" s="117"/>
      <c r="H84" s="117"/>
      <c r="I84" s="117"/>
      <c r="J84" s="117"/>
      <c r="K84" s="104">
        <v>6.56</v>
      </c>
      <c r="L84" s="101"/>
      <c r="M84" s="101"/>
      <c r="N84" s="101"/>
      <c r="O84" s="101"/>
      <c r="P84" s="101"/>
      <c r="Q84" s="105">
        <f>K84</f>
        <v>6.56</v>
      </c>
      <c r="R84" s="101"/>
      <c r="S84" s="107"/>
      <c r="T84" s="100" t="s">
        <v>326</v>
      </c>
      <c r="U84" s="100" t="s">
        <v>327</v>
      </c>
      <c r="V84" s="22"/>
      <c r="W84" s="22"/>
      <c r="X84" s="22"/>
      <c r="Y84" s="22"/>
    </row>
    <row r="85">
      <c r="A85" s="22"/>
      <c r="B85" s="118">
        <v>17.0</v>
      </c>
      <c r="C85" s="95" t="s">
        <v>300</v>
      </c>
      <c r="D85" s="104">
        <f>(E11+Q11)*3</f>
        <v>13.5</v>
      </c>
      <c r="E85" s="101">
        <f>0.3*(D85^(1/2))</f>
        <v>1.102270384</v>
      </c>
      <c r="F85" s="102">
        <v>32.0</v>
      </c>
      <c r="G85" s="102">
        <f>F85-2.1*2</f>
        <v>27.8</v>
      </c>
      <c r="H85" s="101">
        <f>(E85/1000)/(3.14159*(((G85/1000)/2)^2))</f>
        <v>1.815971518</v>
      </c>
      <c r="I85" s="103">
        <f>(8.69*10^(6)*(((E85/3.6)^(1.75))/(G85^(4.75))))/10</f>
        <v>0.01514543888</v>
      </c>
      <c r="J85" s="104">
        <v>0.0</v>
      </c>
      <c r="K85" s="101">
        <f t="shared" ref="K85:K91" si="24">Q84</f>
        <v>6.56</v>
      </c>
      <c r="L85" s="104">
        <v>0.4</v>
      </c>
      <c r="M85" s="101">
        <f>P100</f>
        <v>82.6</v>
      </c>
      <c r="N85" s="103">
        <f>I85*(L85)</f>
        <v>0.006058175552</v>
      </c>
      <c r="O85" s="101">
        <f>M85*I85</f>
        <v>1.251013251</v>
      </c>
      <c r="P85" s="101">
        <f>N85+O85</f>
        <v>1.257071427</v>
      </c>
      <c r="Q85" s="105">
        <f>K85+J85-P85</f>
        <v>5.302928573</v>
      </c>
      <c r="R85" s="104">
        <v>2.0</v>
      </c>
      <c r="S85" s="107" t="str">
        <f>IF(AND(40&gt;=Q85, Q85&gt;=R85), "OK", "NÃO OK!")</f>
        <v>OK</v>
      </c>
      <c r="T85" s="118">
        <v>17.0</v>
      </c>
      <c r="U85" s="95" t="s">
        <v>300</v>
      </c>
      <c r="V85" s="22"/>
      <c r="W85" s="22"/>
      <c r="X85" s="22"/>
      <c r="Y85" s="22"/>
    </row>
    <row r="86">
      <c r="A86" s="22"/>
      <c r="B86" s="92"/>
      <c r="C86" s="95"/>
      <c r="D86" s="104"/>
      <c r="E86" s="101"/>
      <c r="F86" s="102"/>
      <c r="G86" s="102"/>
      <c r="H86" s="101"/>
      <c r="I86" s="103"/>
      <c r="J86" s="104"/>
      <c r="K86" s="101">
        <f t="shared" si="24"/>
        <v>5.302928573</v>
      </c>
      <c r="L86" s="104"/>
      <c r="M86" s="101"/>
      <c r="N86" s="103"/>
      <c r="O86" s="101"/>
      <c r="P86" s="101"/>
      <c r="Q86" s="105">
        <f>Q85+13</f>
        <v>18.30292857</v>
      </c>
      <c r="R86" s="104"/>
      <c r="S86" s="102"/>
      <c r="T86" s="92"/>
      <c r="U86" s="100" t="s">
        <v>328</v>
      </c>
      <c r="V86" s="37" t="s">
        <v>276</v>
      </c>
      <c r="W86" s="37" t="s">
        <v>329</v>
      </c>
      <c r="X86" s="22"/>
      <c r="Y86" s="22"/>
    </row>
    <row r="87">
      <c r="A87" s="22"/>
      <c r="B87" s="92"/>
      <c r="C87" s="95" t="s">
        <v>301</v>
      </c>
      <c r="D87" s="104">
        <f>D85/3</f>
        <v>4.5</v>
      </c>
      <c r="E87" s="101">
        <f t="shared" ref="E87:E91" si="25">0.3*(D87^(1/2))</f>
        <v>0.6363961031</v>
      </c>
      <c r="F87" s="102">
        <v>25.0</v>
      </c>
      <c r="G87" s="102">
        <f t="shared" ref="G87:G89" si="26">F87-2.1*2</f>
        <v>20.8</v>
      </c>
      <c r="H87" s="101">
        <f t="shared" ref="H87:H91" si="27">(E87/1000)/(3.14159*(((G87/1000)/2)^2))</f>
        <v>1.87288593</v>
      </c>
      <c r="I87" s="103">
        <f t="shared" ref="I87:I91" si="28">(8.69*10^(6)*(((E87/3.6)^(1.75))/(G87^(4.75))))/10</f>
        <v>0.02297273508</v>
      </c>
      <c r="J87" s="104">
        <f>1.449</f>
        <v>1.449</v>
      </c>
      <c r="K87" s="101">
        <f t="shared" si="24"/>
        <v>18.30292857</v>
      </c>
      <c r="L87" s="104">
        <f>1-L85+1.449+0.235+8.4475+7.4813-3.445</f>
        <v>14.7678</v>
      </c>
      <c r="M87" s="104">
        <f>M85-3*J97-L97</f>
        <v>69.4</v>
      </c>
      <c r="N87" s="103">
        <f t="shared" ref="N87:N91" si="29">I87*(L87)</f>
        <v>0.3392567571</v>
      </c>
      <c r="O87" s="101">
        <f t="shared" ref="O87:O91" si="30">M87*I87</f>
        <v>1.594307815</v>
      </c>
      <c r="P87" s="101">
        <f t="shared" ref="P87:P91" si="31">N87+O87</f>
        <v>1.933564572</v>
      </c>
      <c r="Q87" s="105">
        <f t="shared" ref="Q87:Q91" si="32">K87+J87-P87</f>
        <v>17.818364</v>
      </c>
      <c r="R87" s="104">
        <v>2.0</v>
      </c>
      <c r="S87" s="107" t="str">
        <f t="shared" ref="S87:S91" si="33">IF(AND(40&gt;=Q87, Q87&gt;=R87), "OK", "NÃO OK!")</f>
        <v>OK</v>
      </c>
      <c r="T87" s="92"/>
      <c r="U87" s="95" t="s">
        <v>301</v>
      </c>
      <c r="V87" s="22"/>
      <c r="W87" s="22"/>
      <c r="X87" s="22"/>
      <c r="Y87" s="22"/>
    </row>
    <row r="88">
      <c r="A88" s="22"/>
      <c r="B88" s="92"/>
      <c r="C88" s="95" t="s">
        <v>302</v>
      </c>
      <c r="D88" s="101">
        <f>D87-Q11</f>
        <v>1.1</v>
      </c>
      <c r="E88" s="101">
        <f t="shared" si="25"/>
        <v>0.3146426545</v>
      </c>
      <c r="F88" s="102">
        <v>25.0</v>
      </c>
      <c r="G88" s="102">
        <f t="shared" si="26"/>
        <v>20.8</v>
      </c>
      <c r="H88" s="101">
        <f t="shared" si="27"/>
        <v>0.9259795869</v>
      </c>
      <c r="I88" s="103">
        <f t="shared" si="28"/>
        <v>0.006696846651</v>
      </c>
      <c r="J88" s="104">
        <v>0.0</v>
      </c>
      <c r="K88" s="101">
        <f t="shared" si="24"/>
        <v>17.818364</v>
      </c>
      <c r="L88" s="119">
        <v>1.568</v>
      </c>
      <c r="M88" s="101">
        <f>M87-N97</f>
        <v>66.9</v>
      </c>
      <c r="N88" s="103">
        <f t="shared" si="29"/>
        <v>0.01050065555</v>
      </c>
      <c r="O88" s="101">
        <f t="shared" si="30"/>
        <v>0.448019041</v>
      </c>
      <c r="P88" s="101">
        <f t="shared" si="31"/>
        <v>0.4585196965</v>
      </c>
      <c r="Q88" s="105">
        <f t="shared" si="32"/>
        <v>17.3598443</v>
      </c>
      <c r="R88" s="104">
        <v>2.0</v>
      </c>
      <c r="S88" s="107" t="str">
        <f t="shared" si="33"/>
        <v>OK</v>
      </c>
      <c r="T88" s="92"/>
      <c r="U88" s="95" t="s">
        <v>302</v>
      </c>
      <c r="V88" s="22"/>
      <c r="W88" s="22"/>
      <c r="X88" s="22"/>
      <c r="Y88" s="22"/>
    </row>
    <row r="89">
      <c r="A89" s="22"/>
      <c r="B89" s="92"/>
      <c r="C89" s="100" t="s">
        <v>330</v>
      </c>
      <c r="D89" s="101">
        <f>E11</f>
        <v>1.1</v>
      </c>
      <c r="E89" s="101">
        <f t="shared" si="25"/>
        <v>0.3146426545</v>
      </c>
      <c r="F89" s="102">
        <v>25.0</v>
      </c>
      <c r="G89" s="102">
        <f t="shared" si="26"/>
        <v>20.8</v>
      </c>
      <c r="H89" s="101">
        <f t="shared" si="27"/>
        <v>0.9259795869</v>
      </c>
      <c r="I89" s="103">
        <f t="shared" si="28"/>
        <v>0.006696846651</v>
      </c>
      <c r="J89" s="104">
        <v>-2.1</v>
      </c>
      <c r="K89" s="101">
        <f t="shared" si="24"/>
        <v>17.3598443</v>
      </c>
      <c r="L89" s="119">
        <f>3.445-1.568+1.1</f>
        <v>2.977</v>
      </c>
      <c r="M89" s="101">
        <f>M88-N97-J97</f>
        <v>60.5</v>
      </c>
      <c r="N89" s="103">
        <f t="shared" si="29"/>
        <v>0.01993651248</v>
      </c>
      <c r="O89" s="101">
        <f t="shared" si="30"/>
        <v>0.4051592224</v>
      </c>
      <c r="P89" s="101">
        <f t="shared" si="31"/>
        <v>0.4250957349</v>
      </c>
      <c r="Q89" s="105">
        <f t="shared" si="32"/>
        <v>14.83474857</v>
      </c>
      <c r="R89" s="104">
        <v>2.0</v>
      </c>
      <c r="S89" s="107" t="str">
        <f t="shared" si="33"/>
        <v>OK</v>
      </c>
      <c r="T89" s="92"/>
      <c r="U89" s="100" t="s">
        <v>330</v>
      </c>
      <c r="V89" s="22"/>
      <c r="W89" s="22"/>
      <c r="X89" s="22"/>
      <c r="Y89" s="22"/>
    </row>
    <row r="90">
      <c r="A90" s="22"/>
      <c r="B90" s="92"/>
      <c r="C90" s="100" t="s">
        <v>303</v>
      </c>
      <c r="D90" s="101">
        <f>D89</f>
        <v>1.1</v>
      </c>
      <c r="E90" s="101">
        <f t="shared" si="25"/>
        <v>0.3146426545</v>
      </c>
      <c r="F90" s="102">
        <v>25.0</v>
      </c>
      <c r="G90" s="102">
        <f t="shared" ref="G90:G91" si="34">F90-1.7*2</f>
        <v>21.6</v>
      </c>
      <c r="H90" s="101">
        <f t="shared" si="27"/>
        <v>0.8586587116</v>
      </c>
      <c r="I90" s="103">
        <f t="shared" si="28"/>
        <v>0.005597780661</v>
      </c>
      <c r="J90" s="104">
        <v>0.0</v>
      </c>
      <c r="K90" s="101">
        <f t="shared" si="24"/>
        <v>14.83474857</v>
      </c>
      <c r="L90" s="119">
        <v>0.2</v>
      </c>
      <c r="M90" s="101">
        <f>M89-N97</f>
        <v>58</v>
      </c>
      <c r="N90" s="103">
        <f t="shared" si="29"/>
        <v>0.001119556132</v>
      </c>
      <c r="O90" s="101">
        <f t="shared" si="30"/>
        <v>0.3246712783</v>
      </c>
      <c r="P90" s="101">
        <f t="shared" si="31"/>
        <v>0.3257908345</v>
      </c>
      <c r="Q90" s="105">
        <f t="shared" si="32"/>
        <v>14.50895774</v>
      </c>
      <c r="R90" s="104">
        <v>2.0</v>
      </c>
      <c r="S90" s="107" t="str">
        <f t="shared" si="33"/>
        <v>OK</v>
      </c>
      <c r="T90" s="92"/>
      <c r="U90" s="100" t="s">
        <v>303</v>
      </c>
      <c r="V90" s="22"/>
      <c r="W90" s="22"/>
      <c r="X90" s="22"/>
      <c r="Y90" s="22"/>
    </row>
    <row r="91">
      <c r="A91" s="22"/>
      <c r="B91" s="44"/>
      <c r="C91" s="100" t="s">
        <v>304</v>
      </c>
      <c r="D91" s="101">
        <f>E6</f>
        <v>0.4</v>
      </c>
      <c r="E91" s="101">
        <f t="shared" si="25"/>
        <v>0.1897366596</v>
      </c>
      <c r="F91" s="102">
        <v>25.0</v>
      </c>
      <c r="G91" s="102">
        <f t="shared" si="34"/>
        <v>21.6</v>
      </c>
      <c r="H91" s="101">
        <f t="shared" si="27"/>
        <v>0.5177906853</v>
      </c>
      <c r="I91" s="103">
        <f t="shared" si="28"/>
        <v>0.002309935058</v>
      </c>
      <c r="J91" s="104">
        <v>-1.0</v>
      </c>
      <c r="K91" s="101">
        <f t="shared" si="24"/>
        <v>14.50895774</v>
      </c>
      <c r="L91" s="119">
        <v>1.0</v>
      </c>
      <c r="M91" s="101">
        <f>M90-O97</f>
        <v>50</v>
      </c>
      <c r="N91" s="103">
        <f t="shared" si="29"/>
        <v>0.002309935058</v>
      </c>
      <c r="O91" s="101">
        <f t="shared" si="30"/>
        <v>0.1154967529</v>
      </c>
      <c r="P91" s="101">
        <f t="shared" si="31"/>
        <v>0.117806688</v>
      </c>
      <c r="Q91" s="105">
        <f t="shared" si="32"/>
        <v>13.39115105</v>
      </c>
      <c r="R91" s="104">
        <v>2.0</v>
      </c>
      <c r="S91" s="107" t="str">
        <f t="shared" si="33"/>
        <v>OK</v>
      </c>
      <c r="T91" s="44"/>
      <c r="U91" s="100" t="s">
        <v>304</v>
      </c>
      <c r="V91" s="22"/>
      <c r="W91" s="22"/>
      <c r="X91" s="22"/>
      <c r="Y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>
      <c r="A94" s="22"/>
      <c r="B94" s="59" t="s">
        <v>331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6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>
      <c r="A95" s="22"/>
      <c r="B95" s="56" t="s">
        <v>148</v>
      </c>
      <c r="C95" s="45" t="s">
        <v>149</v>
      </c>
      <c r="D95" s="5"/>
      <c r="E95" s="5"/>
      <c r="F95" s="5"/>
      <c r="G95" s="5"/>
      <c r="H95" s="5"/>
      <c r="I95" s="6"/>
      <c r="J95" s="45" t="s">
        <v>150</v>
      </c>
      <c r="K95" s="5"/>
      <c r="L95" s="5"/>
      <c r="M95" s="5"/>
      <c r="N95" s="5"/>
      <c r="O95" s="6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>
      <c r="A96" s="22"/>
      <c r="B96" s="44"/>
      <c r="C96" s="10" t="s">
        <v>151</v>
      </c>
      <c r="D96" s="10" t="s">
        <v>152</v>
      </c>
      <c r="E96" s="10" t="s">
        <v>153</v>
      </c>
      <c r="F96" s="10" t="s">
        <v>154</v>
      </c>
      <c r="G96" s="10" t="s">
        <v>155</v>
      </c>
      <c r="H96" s="10" t="s">
        <v>156</v>
      </c>
      <c r="I96" s="10" t="s">
        <v>157</v>
      </c>
      <c r="J96" s="10" t="s">
        <v>158</v>
      </c>
      <c r="K96" s="10" t="s">
        <v>159</v>
      </c>
      <c r="L96" s="10" t="s">
        <v>160</v>
      </c>
      <c r="M96" s="10" t="s">
        <v>161</v>
      </c>
      <c r="N96" s="10" t="s">
        <v>162</v>
      </c>
      <c r="O96" s="10" t="s">
        <v>163</v>
      </c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>
      <c r="A97" s="22"/>
      <c r="B97" s="10" t="s">
        <v>171</v>
      </c>
      <c r="C97" s="12">
        <v>8.0</v>
      </c>
      <c r="D97" s="12">
        <v>2.0</v>
      </c>
      <c r="E97" s="12">
        <v>3.7</v>
      </c>
      <c r="F97" s="12">
        <v>3.7</v>
      </c>
      <c r="G97" s="12">
        <v>9.3</v>
      </c>
      <c r="H97" s="12">
        <v>14.2</v>
      </c>
      <c r="I97" s="12">
        <v>0.9</v>
      </c>
      <c r="J97" s="12">
        <v>3.9</v>
      </c>
      <c r="K97" s="12">
        <v>1.8</v>
      </c>
      <c r="L97" s="12">
        <v>1.5</v>
      </c>
      <c r="M97" s="12">
        <v>0.9</v>
      </c>
      <c r="N97" s="12">
        <v>2.5</v>
      </c>
      <c r="O97" s="12">
        <v>8.0</v>
      </c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>
      <c r="A98" s="22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>
      <c r="A99" s="22"/>
      <c r="B99" s="10" t="s">
        <v>172</v>
      </c>
      <c r="C99" s="12">
        <v>0.0</v>
      </c>
      <c r="D99" s="12">
        <v>0.0</v>
      </c>
      <c r="E99" s="12">
        <v>0.0</v>
      </c>
      <c r="F99" s="12">
        <v>0.0</v>
      </c>
      <c r="G99" s="12">
        <v>0.0</v>
      </c>
      <c r="H99" s="12">
        <v>0.0</v>
      </c>
      <c r="I99" s="12">
        <v>4.0</v>
      </c>
      <c r="J99" s="12">
        <v>10.0</v>
      </c>
      <c r="K99" s="12">
        <v>0.0</v>
      </c>
      <c r="L99" s="12">
        <v>1.0</v>
      </c>
      <c r="M99" s="12">
        <v>0.0</v>
      </c>
      <c r="N99" s="12">
        <v>9.0</v>
      </c>
      <c r="O99" s="12">
        <v>2.0</v>
      </c>
      <c r="P99" s="12" t="s">
        <v>332</v>
      </c>
      <c r="Q99" s="12" t="s">
        <v>333</v>
      </c>
      <c r="R99" s="22"/>
      <c r="S99" s="22"/>
      <c r="T99" s="22"/>
      <c r="U99" s="22"/>
      <c r="V99" s="22"/>
      <c r="W99" s="22"/>
      <c r="X99" s="22"/>
      <c r="Y99" s="22"/>
    </row>
    <row r="100">
      <c r="A100" s="22"/>
      <c r="B100" s="10" t="s">
        <v>175</v>
      </c>
      <c r="C100" s="58">
        <f t="shared" ref="C100:O100" si="35">C99*C97</f>
        <v>0</v>
      </c>
      <c r="D100" s="58">
        <f t="shared" si="35"/>
        <v>0</v>
      </c>
      <c r="E100" s="58">
        <f t="shared" si="35"/>
        <v>0</v>
      </c>
      <c r="F100" s="58">
        <f t="shared" si="35"/>
        <v>0</v>
      </c>
      <c r="G100" s="58">
        <f t="shared" si="35"/>
        <v>0</v>
      </c>
      <c r="H100" s="58">
        <f t="shared" si="35"/>
        <v>0</v>
      </c>
      <c r="I100" s="58">
        <f t="shared" si="35"/>
        <v>3.6</v>
      </c>
      <c r="J100" s="58">
        <f t="shared" si="35"/>
        <v>39</v>
      </c>
      <c r="K100" s="58">
        <f t="shared" si="35"/>
        <v>0</v>
      </c>
      <c r="L100" s="58">
        <f t="shared" si="35"/>
        <v>1.5</v>
      </c>
      <c r="M100" s="58">
        <f t="shared" si="35"/>
        <v>0</v>
      </c>
      <c r="N100" s="58">
        <f t="shared" si="35"/>
        <v>22.5</v>
      </c>
      <c r="O100" s="58">
        <f t="shared" si="35"/>
        <v>16</v>
      </c>
      <c r="P100" s="58">
        <f>SUM(C100:O100)</f>
        <v>82.6</v>
      </c>
      <c r="Q100" s="12">
        <f>0.2+0.2+0.35+0.35+0.9638+1.449+0.235+8.4475+7.4813+2.1+1.1438</f>
        <v>22.9204</v>
      </c>
      <c r="R100" s="22"/>
      <c r="S100" s="22"/>
      <c r="T100" s="22"/>
      <c r="U100" s="22"/>
      <c r="V100" s="22"/>
      <c r="W100" s="22"/>
      <c r="X100" s="22"/>
      <c r="Y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</sheetData>
  <mergeCells count="85">
    <mergeCell ref="E11:F11"/>
    <mergeCell ref="H11:J11"/>
    <mergeCell ref="B13:F13"/>
    <mergeCell ref="H13:L13"/>
    <mergeCell ref="B17:C17"/>
    <mergeCell ref="N17:O17"/>
    <mergeCell ref="O19:O20"/>
    <mergeCell ref="C19:C20"/>
    <mergeCell ref="B21:D21"/>
    <mergeCell ref="E21:F21"/>
    <mergeCell ref="B23:F23"/>
    <mergeCell ref="B30:F30"/>
    <mergeCell ref="H30:J30"/>
    <mergeCell ref="M50:M52"/>
    <mergeCell ref="B67:C67"/>
    <mergeCell ref="T55:T56"/>
    <mergeCell ref="U55:U57"/>
    <mergeCell ref="U67:V67"/>
    <mergeCell ref="J55:J56"/>
    <mergeCell ref="K55:K56"/>
    <mergeCell ref="L55:L56"/>
    <mergeCell ref="M55:N55"/>
    <mergeCell ref="O55:Q55"/>
    <mergeCell ref="R55:R56"/>
    <mergeCell ref="S55:S56"/>
    <mergeCell ref="H81:H82"/>
    <mergeCell ref="I81:I82"/>
    <mergeCell ref="B85:B91"/>
    <mergeCell ref="B94:O94"/>
    <mergeCell ref="B95:B96"/>
    <mergeCell ref="C95:I95"/>
    <mergeCell ref="J95:O95"/>
    <mergeCell ref="J81:J82"/>
    <mergeCell ref="K81:K82"/>
    <mergeCell ref="L81:M81"/>
    <mergeCell ref="N81:P81"/>
    <mergeCell ref="Q81:Q82"/>
    <mergeCell ref="R81:R82"/>
    <mergeCell ref="S81:S82"/>
    <mergeCell ref="T81:T83"/>
    <mergeCell ref="T85:T91"/>
    <mergeCell ref="B80:U80"/>
    <mergeCell ref="B81:B83"/>
    <mergeCell ref="C81:C83"/>
    <mergeCell ref="D81:D83"/>
    <mergeCell ref="E81:E82"/>
    <mergeCell ref="F81:F82"/>
    <mergeCell ref="G81:G82"/>
    <mergeCell ref="U81:U83"/>
    <mergeCell ref="B2:X2"/>
    <mergeCell ref="B3:F3"/>
    <mergeCell ref="H3:L3"/>
    <mergeCell ref="N3:R3"/>
    <mergeCell ref="T3:X3"/>
    <mergeCell ref="B7:C7"/>
    <mergeCell ref="H7:I7"/>
    <mergeCell ref="K11:L11"/>
    <mergeCell ref="N11:P11"/>
    <mergeCell ref="N13:R13"/>
    <mergeCell ref="Q11:R11"/>
    <mergeCell ref="T11:V11"/>
    <mergeCell ref="W11:X11"/>
    <mergeCell ref="N7:O7"/>
    <mergeCell ref="T7:U7"/>
    <mergeCell ref="C9:C10"/>
    <mergeCell ref="I9:I10"/>
    <mergeCell ref="O9:O10"/>
    <mergeCell ref="U9:U10"/>
    <mergeCell ref="B11:D11"/>
    <mergeCell ref="H17:I17"/>
    <mergeCell ref="I19:I20"/>
    <mergeCell ref="H21:J21"/>
    <mergeCell ref="K21:L21"/>
    <mergeCell ref="N21:P21"/>
    <mergeCell ref="Q21:R21"/>
    <mergeCell ref="N50:P52"/>
    <mergeCell ref="B54:V54"/>
    <mergeCell ref="B55:B57"/>
    <mergeCell ref="C55:C57"/>
    <mergeCell ref="D55:E56"/>
    <mergeCell ref="F55:F56"/>
    <mergeCell ref="G55:G56"/>
    <mergeCell ref="H55:H56"/>
    <mergeCell ref="I55:I56"/>
    <mergeCell ref="V55:V57"/>
  </mergeCells>
  <conditionalFormatting sqref="T58:T76">
    <cfRule type="cellIs" dxfId="0" priority="1" operator="equal">
      <formula>"OK"</formula>
    </cfRule>
  </conditionalFormatting>
  <conditionalFormatting sqref="T58:T76">
    <cfRule type="cellIs" dxfId="1" priority="2" operator="equal">
      <formula>"NÃO OK!"</formula>
    </cfRule>
  </conditionalFormatting>
  <conditionalFormatting sqref="S85:S91 U86">
    <cfRule type="cellIs" dxfId="0" priority="3" operator="equal">
      <formula>"OK"</formula>
    </cfRule>
  </conditionalFormatting>
  <conditionalFormatting sqref="S85:S91 U86">
    <cfRule type="cellIs" dxfId="1" priority="4" operator="equal">
      <formula>"NÃO OK!"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0" width="12.63"/>
  </cols>
  <sheetData>
    <row r="1">
      <c r="A1" s="22"/>
      <c r="B1" s="37"/>
      <c r="C1" s="37"/>
      <c r="D1" s="37"/>
      <c r="E1" s="37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>
      <c r="A2" s="22"/>
      <c r="B2" s="120" t="s">
        <v>334</v>
      </c>
      <c r="O2" s="37"/>
      <c r="P2" s="37"/>
      <c r="Q2" s="37"/>
      <c r="R2" s="37"/>
      <c r="S2" s="37"/>
      <c r="T2" s="37"/>
    </row>
    <row r="3">
      <c r="A3" s="22"/>
      <c r="B3" s="23" t="s">
        <v>335</v>
      </c>
      <c r="C3" s="5"/>
      <c r="D3" s="5"/>
      <c r="E3" s="5"/>
      <c r="F3" s="5"/>
      <c r="G3" s="6"/>
      <c r="H3" s="22"/>
      <c r="I3" s="23" t="s">
        <v>242</v>
      </c>
      <c r="J3" s="5"/>
      <c r="K3" s="5"/>
      <c r="L3" s="5"/>
      <c r="M3" s="5"/>
      <c r="N3" s="6"/>
      <c r="O3" s="22"/>
      <c r="P3" s="22"/>
      <c r="Q3" s="22"/>
      <c r="R3" s="22"/>
      <c r="S3" s="22"/>
      <c r="T3" s="22"/>
    </row>
    <row r="4">
      <c r="A4" s="22"/>
      <c r="B4" s="121" t="s">
        <v>336</v>
      </c>
      <c r="C4" s="16" t="s">
        <v>337</v>
      </c>
      <c r="D4" s="6"/>
      <c r="E4" s="121" t="s">
        <v>249</v>
      </c>
      <c r="F4" s="121" t="s">
        <v>338</v>
      </c>
      <c r="G4" s="121" t="s">
        <v>275</v>
      </c>
      <c r="H4" s="22"/>
      <c r="I4" s="121" t="s">
        <v>336</v>
      </c>
      <c r="J4" s="16" t="s">
        <v>337</v>
      </c>
      <c r="K4" s="6"/>
      <c r="L4" s="121" t="s">
        <v>249</v>
      </c>
      <c r="M4" s="121" t="s">
        <v>338</v>
      </c>
      <c r="N4" s="121" t="s">
        <v>275</v>
      </c>
      <c r="O4" s="22"/>
      <c r="P4" s="22"/>
      <c r="Q4" s="22"/>
      <c r="R4" s="22"/>
      <c r="S4" s="22"/>
      <c r="T4" s="22"/>
    </row>
    <row r="5">
      <c r="A5" s="22"/>
      <c r="B5" s="44"/>
      <c r="C5" s="18" t="s">
        <v>339</v>
      </c>
      <c r="D5" s="18" t="s">
        <v>340</v>
      </c>
      <c r="E5" s="44"/>
      <c r="F5" s="44"/>
      <c r="G5" s="44"/>
      <c r="H5" s="22"/>
      <c r="I5" s="44"/>
      <c r="J5" s="18" t="s">
        <v>339</v>
      </c>
      <c r="K5" s="18" t="s">
        <v>340</v>
      </c>
      <c r="L5" s="44"/>
      <c r="M5" s="44"/>
      <c r="N5" s="44"/>
      <c r="O5" s="22"/>
      <c r="P5" s="22"/>
      <c r="Q5" s="22"/>
      <c r="R5" s="22"/>
      <c r="S5" s="22"/>
      <c r="T5" s="22"/>
    </row>
    <row r="6">
      <c r="A6" s="22"/>
      <c r="B6" s="122" t="s">
        <v>341</v>
      </c>
      <c r="C6" s="17">
        <v>15.0</v>
      </c>
      <c r="D6" s="123">
        <v>46054.0</v>
      </c>
      <c r="E6" s="79">
        <v>1.0</v>
      </c>
      <c r="F6" s="124">
        <f t="shared" ref="F6:F8" si="1">IF(E6="-","-",D6)</f>
        <v>46054</v>
      </c>
      <c r="G6" s="78">
        <v>20.0</v>
      </c>
      <c r="H6" s="22"/>
      <c r="I6" s="122" t="s">
        <v>341</v>
      </c>
      <c r="J6" s="17">
        <v>15.0</v>
      </c>
      <c r="K6" s="123">
        <v>46054.0</v>
      </c>
      <c r="L6" s="79">
        <v>1.0</v>
      </c>
      <c r="M6" s="124">
        <f t="shared" ref="M6:M8" si="2">IF(L6="-","-",K6)</f>
        <v>46054</v>
      </c>
      <c r="N6" s="78">
        <v>20.0</v>
      </c>
      <c r="O6" s="22"/>
      <c r="P6" s="22"/>
      <c r="Q6" s="22"/>
      <c r="R6" s="22"/>
      <c r="S6" s="22"/>
      <c r="T6" s="22"/>
    </row>
    <row r="7">
      <c r="A7" s="22"/>
      <c r="B7" s="47" t="s">
        <v>252</v>
      </c>
      <c r="C7" s="19">
        <v>20.0</v>
      </c>
      <c r="D7" s="125">
        <v>46115.0</v>
      </c>
      <c r="E7" s="79">
        <v>1.0</v>
      </c>
      <c r="F7" s="126">
        <f t="shared" si="1"/>
        <v>46115</v>
      </c>
      <c r="G7" s="127">
        <v>25.0</v>
      </c>
      <c r="H7" s="37"/>
      <c r="I7" s="47" t="s">
        <v>252</v>
      </c>
      <c r="J7" s="19">
        <v>20.0</v>
      </c>
      <c r="K7" s="125">
        <v>46115.0</v>
      </c>
      <c r="L7" s="79">
        <v>2.0</v>
      </c>
      <c r="M7" s="126">
        <f t="shared" si="2"/>
        <v>46115</v>
      </c>
      <c r="N7" s="127">
        <v>25.0</v>
      </c>
      <c r="O7" s="22"/>
      <c r="P7" s="22"/>
      <c r="Q7" s="22"/>
      <c r="R7" s="22"/>
      <c r="S7" s="22"/>
      <c r="T7" s="22"/>
    </row>
    <row r="8">
      <c r="A8" s="22"/>
      <c r="B8" s="47" t="s">
        <v>257</v>
      </c>
      <c r="C8" s="19">
        <v>15.0</v>
      </c>
      <c r="D8" s="125">
        <v>46054.0</v>
      </c>
      <c r="E8" s="79">
        <v>1.0</v>
      </c>
      <c r="F8" s="128">
        <f t="shared" si="1"/>
        <v>46054</v>
      </c>
      <c r="G8" s="129">
        <v>20.0</v>
      </c>
      <c r="H8" s="37"/>
      <c r="I8" s="47" t="s">
        <v>257</v>
      </c>
      <c r="J8" s="19">
        <v>15.0</v>
      </c>
      <c r="K8" s="125">
        <v>46054.0</v>
      </c>
      <c r="L8" s="79">
        <v>1.0</v>
      </c>
      <c r="M8" s="128">
        <f t="shared" si="2"/>
        <v>46054</v>
      </c>
      <c r="N8" s="129">
        <v>20.0</v>
      </c>
      <c r="O8" s="22"/>
      <c r="P8" s="22"/>
      <c r="Q8" s="22"/>
      <c r="R8" s="22"/>
      <c r="S8" s="22"/>
      <c r="T8" s="22"/>
    </row>
    <row r="9">
      <c r="A9" s="22"/>
      <c r="B9" s="130" t="s">
        <v>342</v>
      </c>
      <c r="C9" s="5"/>
      <c r="D9" s="5"/>
      <c r="E9" s="5"/>
      <c r="F9" s="6"/>
      <c r="G9" s="131">
        <f>LARGE(G6:G8,1)</f>
        <v>25</v>
      </c>
      <c r="H9" s="37"/>
      <c r="I9" s="130" t="s">
        <v>342</v>
      </c>
      <c r="J9" s="5"/>
      <c r="K9" s="5"/>
      <c r="L9" s="5"/>
      <c r="M9" s="6"/>
      <c r="N9" s="132">
        <f>LARGE(N6:N8,1)</f>
        <v>25</v>
      </c>
      <c r="O9" s="22"/>
      <c r="P9" s="22"/>
      <c r="Q9" s="22"/>
      <c r="R9" s="22"/>
      <c r="S9" s="22"/>
      <c r="T9" s="22"/>
    </row>
    <row r="10">
      <c r="A10" s="22"/>
      <c r="B10" s="22"/>
      <c r="C10" s="22"/>
      <c r="D10" s="22"/>
      <c r="E10" s="22"/>
      <c r="F10" s="37"/>
      <c r="G10" s="37"/>
      <c r="H10" s="37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>
      <c r="A11" s="22"/>
      <c r="B11" s="23" t="s">
        <v>261</v>
      </c>
      <c r="C11" s="5"/>
      <c r="D11" s="5"/>
      <c r="E11" s="5"/>
      <c r="F11" s="5"/>
      <c r="G11" s="6"/>
      <c r="I11" s="23" t="s">
        <v>262</v>
      </c>
      <c r="J11" s="5"/>
      <c r="K11" s="5"/>
      <c r="L11" s="5"/>
      <c r="M11" s="5"/>
      <c r="N11" s="6"/>
    </row>
    <row r="12">
      <c r="A12" s="22"/>
      <c r="B12" s="121" t="s">
        <v>336</v>
      </c>
      <c r="C12" s="16" t="s">
        <v>337</v>
      </c>
      <c r="D12" s="6"/>
      <c r="E12" s="121" t="s">
        <v>249</v>
      </c>
      <c r="F12" s="121" t="s">
        <v>338</v>
      </c>
      <c r="G12" s="121" t="s">
        <v>275</v>
      </c>
      <c r="I12" s="121" t="s">
        <v>336</v>
      </c>
      <c r="J12" s="16" t="s">
        <v>337</v>
      </c>
      <c r="K12" s="6"/>
      <c r="L12" s="121" t="s">
        <v>249</v>
      </c>
      <c r="M12" s="121" t="s">
        <v>338</v>
      </c>
      <c r="N12" s="121" t="s">
        <v>275</v>
      </c>
    </row>
    <row r="13">
      <c r="A13" s="22"/>
      <c r="B13" s="44"/>
      <c r="C13" s="18" t="s">
        <v>339</v>
      </c>
      <c r="D13" s="18" t="s">
        <v>340</v>
      </c>
      <c r="E13" s="44"/>
      <c r="F13" s="44"/>
      <c r="G13" s="44"/>
      <c r="I13" s="44"/>
      <c r="J13" s="18" t="s">
        <v>339</v>
      </c>
      <c r="K13" s="18" t="s">
        <v>340</v>
      </c>
      <c r="L13" s="44"/>
      <c r="M13" s="44"/>
      <c r="N13" s="44"/>
    </row>
    <row r="14">
      <c r="A14" s="22"/>
      <c r="B14" s="122" t="s">
        <v>341</v>
      </c>
      <c r="C14" s="17">
        <v>15.0</v>
      </c>
      <c r="D14" s="123">
        <v>46054.0</v>
      </c>
      <c r="E14" s="79">
        <v>2.0</v>
      </c>
      <c r="F14" s="124">
        <f t="shared" ref="F14:F16" si="3">IF(E14="-","-",D14)</f>
        <v>46054</v>
      </c>
      <c r="G14" s="78">
        <v>20.0</v>
      </c>
      <c r="I14" s="122" t="s">
        <v>341</v>
      </c>
      <c r="J14" s="17">
        <v>15.0</v>
      </c>
      <c r="K14" s="123">
        <v>46054.0</v>
      </c>
      <c r="L14" s="79">
        <v>1.0</v>
      </c>
      <c r="M14" s="124">
        <f t="shared" ref="M14:M16" si="4">IF(L14="-","-",K14)</f>
        <v>46054</v>
      </c>
      <c r="N14" s="78">
        <v>20.0</v>
      </c>
    </row>
    <row r="15">
      <c r="A15" s="22"/>
      <c r="B15" s="47" t="s">
        <v>252</v>
      </c>
      <c r="C15" s="19">
        <v>20.0</v>
      </c>
      <c r="D15" s="125">
        <v>46115.0</v>
      </c>
      <c r="E15" s="79" t="s">
        <v>10</v>
      </c>
      <c r="F15" s="127" t="str">
        <f t="shared" si="3"/>
        <v>-</v>
      </c>
      <c r="G15" s="127">
        <v>25.0</v>
      </c>
      <c r="I15" s="47" t="s">
        <v>252</v>
      </c>
      <c r="J15" s="19">
        <v>20.0</v>
      </c>
      <c r="K15" s="125">
        <v>46115.0</v>
      </c>
      <c r="L15" s="79">
        <v>1.0</v>
      </c>
      <c r="M15" s="126">
        <f t="shared" si="4"/>
        <v>46115</v>
      </c>
      <c r="N15" s="127">
        <v>25.0</v>
      </c>
    </row>
    <row r="16">
      <c r="A16" s="22"/>
      <c r="B16" s="47" t="s">
        <v>257</v>
      </c>
      <c r="C16" s="19">
        <v>15.0</v>
      </c>
      <c r="D16" s="125">
        <v>46054.0</v>
      </c>
      <c r="E16" s="79">
        <v>5.0</v>
      </c>
      <c r="F16" s="128">
        <f t="shared" si="3"/>
        <v>46054</v>
      </c>
      <c r="G16" s="129">
        <v>20.0</v>
      </c>
      <c r="I16" s="47" t="s">
        <v>257</v>
      </c>
      <c r="J16" s="19">
        <v>15.0</v>
      </c>
      <c r="K16" s="125">
        <v>46054.0</v>
      </c>
      <c r="L16" s="79">
        <v>1.0</v>
      </c>
      <c r="M16" s="128">
        <f t="shared" si="4"/>
        <v>46054</v>
      </c>
      <c r="N16" s="129">
        <v>20.0</v>
      </c>
    </row>
    <row r="17">
      <c r="A17" s="22"/>
      <c r="B17" s="130" t="s">
        <v>342</v>
      </c>
      <c r="C17" s="5"/>
      <c r="D17" s="5"/>
      <c r="E17" s="5"/>
      <c r="F17" s="6"/>
      <c r="G17" s="133">
        <f>LARGE(G14:G16,1)</f>
        <v>25</v>
      </c>
      <c r="H17" s="22"/>
      <c r="I17" s="130" t="s">
        <v>342</v>
      </c>
      <c r="J17" s="5"/>
      <c r="K17" s="5"/>
      <c r="L17" s="5"/>
      <c r="M17" s="6"/>
      <c r="N17" s="133">
        <f>LARGE(N14:N16,1)</f>
        <v>25</v>
      </c>
      <c r="O17" s="22"/>
      <c r="P17" s="22"/>
      <c r="Q17" s="22"/>
      <c r="R17" s="22"/>
      <c r="S17" s="22"/>
      <c r="T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>
      <c r="A19" s="22"/>
      <c r="B19" s="23" t="s">
        <v>243</v>
      </c>
      <c r="C19" s="5"/>
      <c r="D19" s="5"/>
      <c r="E19" s="5"/>
      <c r="F19" s="5"/>
      <c r="G19" s="6"/>
      <c r="H19" s="22"/>
      <c r="I19" s="134" t="s">
        <v>244</v>
      </c>
      <c r="J19" s="5"/>
      <c r="K19" s="5"/>
      <c r="L19" s="5"/>
      <c r="M19" s="5"/>
      <c r="N19" s="6"/>
      <c r="O19" s="22"/>
      <c r="P19" s="22"/>
      <c r="Q19" s="22"/>
      <c r="R19" s="22"/>
      <c r="S19" s="22"/>
      <c r="T19" s="22"/>
    </row>
    <row r="20">
      <c r="A20" s="22"/>
      <c r="B20" s="121" t="s">
        <v>336</v>
      </c>
      <c r="C20" s="16" t="s">
        <v>337</v>
      </c>
      <c r="D20" s="6"/>
      <c r="E20" s="121" t="s">
        <v>249</v>
      </c>
      <c r="F20" s="121" t="s">
        <v>338</v>
      </c>
      <c r="G20" s="121" t="s">
        <v>275</v>
      </c>
      <c r="H20" s="22"/>
      <c r="I20" s="121" t="s">
        <v>336</v>
      </c>
      <c r="J20" s="16" t="s">
        <v>337</v>
      </c>
      <c r="K20" s="6"/>
      <c r="L20" s="121" t="s">
        <v>249</v>
      </c>
      <c r="M20" s="121" t="s">
        <v>338</v>
      </c>
      <c r="N20" s="121" t="s">
        <v>275</v>
      </c>
      <c r="O20" s="22"/>
      <c r="P20" s="22"/>
      <c r="Q20" s="22"/>
      <c r="R20" s="22"/>
      <c r="S20" s="22"/>
      <c r="T20" s="22"/>
    </row>
    <row r="21">
      <c r="A21" s="22"/>
      <c r="B21" s="44"/>
      <c r="C21" s="18" t="s">
        <v>339</v>
      </c>
      <c r="D21" s="18" t="s">
        <v>340</v>
      </c>
      <c r="E21" s="44"/>
      <c r="F21" s="44"/>
      <c r="G21" s="44"/>
      <c r="H21" s="22"/>
      <c r="I21" s="44"/>
      <c r="J21" s="18" t="s">
        <v>339</v>
      </c>
      <c r="K21" s="18" t="s">
        <v>340</v>
      </c>
      <c r="L21" s="44"/>
      <c r="M21" s="44"/>
      <c r="N21" s="44"/>
      <c r="O21" s="22"/>
      <c r="P21" s="22"/>
      <c r="Q21" s="22"/>
      <c r="R21" s="22"/>
      <c r="S21" s="22"/>
      <c r="T21" s="22"/>
    </row>
    <row r="22">
      <c r="A22" s="22"/>
      <c r="B22" s="47" t="s">
        <v>343</v>
      </c>
      <c r="C22" s="19">
        <v>20.0</v>
      </c>
      <c r="D22" s="125">
        <v>46115.0</v>
      </c>
      <c r="E22" s="79">
        <v>1.0</v>
      </c>
      <c r="F22" s="135">
        <f t="shared" ref="F22:F24" si="5">IF(E22="-","-",D22)</f>
        <v>46115</v>
      </c>
      <c r="G22" s="78">
        <v>25.0</v>
      </c>
      <c r="H22" s="22"/>
      <c r="I22" s="47" t="s">
        <v>343</v>
      </c>
      <c r="J22" s="19">
        <v>20.0</v>
      </c>
      <c r="K22" s="125">
        <v>46115.0</v>
      </c>
      <c r="L22" s="79" t="s">
        <v>10</v>
      </c>
      <c r="M22" s="136" t="str">
        <f t="shared" ref="M22:M24" si="6">IF(L22="-","-",K22)</f>
        <v>-</v>
      </c>
      <c r="N22" s="78">
        <v>25.0</v>
      </c>
      <c r="O22" s="22"/>
      <c r="P22" s="22"/>
      <c r="Q22" s="22"/>
      <c r="R22" s="22"/>
      <c r="S22" s="22"/>
      <c r="T22" s="22"/>
    </row>
    <row r="23">
      <c r="A23" s="22"/>
      <c r="B23" s="47" t="s">
        <v>344</v>
      </c>
      <c r="C23" s="19">
        <v>20.0</v>
      </c>
      <c r="D23" s="125">
        <v>46115.0</v>
      </c>
      <c r="E23" s="79">
        <v>1.0</v>
      </c>
      <c r="F23" s="137">
        <f t="shared" si="5"/>
        <v>46115</v>
      </c>
      <c r="G23" s="127">
        <v>25.0</v>
      </c>
      <c r="H23" s="22"/>
      <c r="I23" s="47" t="s">
        <v>344</v>
      </c>
      <c r="J23" s="19">
        <v>20.0</v>
      </c>
      <c r="K23" s="125">
        <v>46115.0</v>
      </c>
      <c r="L23" s="79">
        <v>1.0</v>
      </c>
      <c r="M23" s="137">
        <f t="shared" si="6"/>
        <v>46115</v>
      </c>
      <c r="N23" s="127">
        <v>25.0</v>
      </c>
      <c r="O23" s="22"/>
      <c r="P23" s="22"/>
      <c r="Q23" s="22"/>
      <c r="R23" s="22"/>
      <c r="S23" s="22"/>
      <c r="T23" s="22"/>
    </row>
    <row r="24">
      <c r="A24" s="22"/>
      <c r="B24" s="47" t="s">
        <v>345</v>
      </c>
      <c r="C24" s="19">
        <v>20.0</v>
      </c>
      <c r="D24" s="125">
        <v>46115.0</v>
      </c>
      <c r="E24" s="79">
        <v>1.0</v>
      </c>
      <c r="F24" s="138">
        <f t="shared" si="5"/>
        <v>46115</v>
      </c>
      <c r="G24" s="129">
        <v>25.0</v>
      </c>
      <c r="H24" s="22"/>
      <c r="I24" s="47" t="s">
        <v>345</v>
      </c>
      <c r="J24" s="19">
        <v>20.0</v>
      </c>
      <c r="K24" s="125">
        <v>46115.0</v>
      </c>
      <c r="L24" s="79" t="s">
        <v>10</v>
      </c>
      <c r="M24" s="139" t="str">
        <f t="shared" si="6"/>
        <v>-</v>
      </c>
      <c r="N24" s="129">
        <v>25.0</v>
      </c>
      <c r="O24" s="22"/>
      <c r="P24" s="22"/>
      <c r="Q24" s="22"/>
      <c r="R24" s="22"/>
      <c r="S24" s="22"/>
      <c r="T24" s="22"/>
    </row>
    <row r="25">
      <c r="A25" s="22"/>
      <c r="B25" s="130" t="s">
        <v>342</v>
      </c>
      <c r="C25" s="5"/>
      <c r="D25" s="5"/>
      <c r="E25" s="5"/>
      <c r="F25" s="6"/>
      <c r="G25" s="132">
        <f>LARGE(G22:G24,1)</f>
        <v>25</v>
      </c>
      <c r="H25" s="22"/>
      <c r="I25" s="130" t="s">
        <v>342</v>
      </c>
      <c r="J25" s="5"/>
      <c r="K25" s="5"/>
      <c r="L25" s="5"/>
      <c r="M25" s="6"/>
      <c r="N25" s="132">
        <f>LARGE(N22:N24,1)</f>
        <v>25</v>
      </c>
      <c r="O25" s="22"/>
      <c r="P25" s="22"/>
      <c r="Q25" s="22"/>
      <c r="R25" s="22"/>
      <c r="S25" s="22"/>
      <c r="T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>
      <c r="A27" s="22"/>
      <c r="B27" s="23" t="s">
        <v>263</v>
      </c>
      <c r="C27" s="5"/>
      <c r="D27" s="5"/>
      <c r="E27" s="5"/>
      <c r="F27" s="5"/>
      <c r="G27" s="6"/>
      <c r="N27" s="22"/>
      <c r="O27" s="22"/>
      <c r="P27" s="22"/>
      <c r="Q27" s="22"/>
      <c r="R27" s="22"/>
      <c r="S27" s="22"/>
      <c r="T27" s="22"/>
    </row>
    <row r="28">
      <c r="A28" s="22"/>
      <c r="B28" s="121" t="s">
        <v>336</v>
      </c>
      <c r="C28" s="16" t="s">
        <v>337</v>
      </c>
      <c r="D28" s="6"/>
      <c r="E28" s="121" t="s">
        <v>249</v>
      </c>
      <c r="F28" s="121" t="s">
        <v>338</v>
      </c>
      <c r="G28" s="121" t="s">
        <v>275</v>
      </c>
      <c r="N28" s="22"/>
      <c r="O28" s="22"/>
      <c r="P28" s="22"/>
      <c r="Q28" s="22"/>
      <c r="R28" s="22"/>
      <c r="S28" s="22"/>
      <c r="T28" s="22"/>
    </row>
    <row r="29">
      <c r="A29" s="22"/>
      <c r="B29" s="44"/>
      <c r="C29" s="18" t="s">
        <v>339</v>
      </c>
      <c r="D29" s="18" t="s">
        <v>340</v>
      </c>
      <c r="E29" s="44"/>
      <c r="F29" s="44"/>
      <c r="G29" s="44"/>
      <c r="N29" s="22"/>
      <c r="O29" s="22"/>
      <c r="P29" s="22"/>
      <c r="Q29" s="22"/>
      <c r="R29" s="22"/>
      <c r="S29" s="22"/>
      <c r="T29" s="22"/>
    </row>
    <row r="30">
      <c r="A30" s="22"/>
      <c r="B30" s="47" t="s">
        <v>343</v>
      </c>
      <c r="C30" s="19">
        <v>20.0</v>
      </c>
      <c r="D30" s="125">
        <v>46115.0</v>
      </c>
      <c r="E30" s="79" t="s">
        <v>10</v>
      </c>
      <c r="F30" s="136" t="str">
        <f t="shared" ref="F30:F32" si="7">IF(E30="-","-",D30)</f>
        <v>-</v>
      </c>
      <c r="G30" s="78">
        <v>25.0</v>
      </c>
      <c r="N30" s="22"/>
      <c r="O30" s="22"/>
      <c r="P30" s="22"/>
      <c r="Q30" s="22"/>
      <c r="R30" s="22"/>
      <c r="S30" s="22"/>
      <c r="T30" s="22"/>
    </row>
    <row r="31">
      <c r="A31" s="22"/>
      <c r="B31" s="47" t="s">
        <v>344</v>
      </c>
      <c r="C31" s="19">
        <v>20.0</v>
      </c>
      <c r="D31" s="125">
        <v>46115.0</v>
      </c>
      <c r="E31" s="79">
        <v>5.0</v>
      </c>
      <c r="F31" s="137">
        <f t="shared" si="7"/>
        <v>46115</v>
      </c>
      <c r="G31" s="127">
        <v>25.0</v>
      </c>
      <c r="N31" s="22"/>
      <c r="O31" s="22"/>
      <c r="P31" s="22"/>
      <c r="Q31" s="22"/>
      <c r="R31" s="22"/>
      <c r="S31" s="22"/>
      <c r="T31" s="22"/>
    </row>
    <row r="32">
      <c r="A32" s="22"/>
      <c r="B32" s="47" t="s">
        <v>345</v>
      </c>
      <c r="C32" s="19">
        <v>20.0</v>
      </c>
      <c r="D32" s="125">
        <v>46115.0</v>
      </c>
      <c r="E32" s="79" t="s">
        <v>10</v>
      </c>
      <c r="F32" s="139" t="str">
        <f t="shared" si="7"/>
        <v>-</v>
      </c>
      <c r="G32" s="129">
        <v>25.0</v>
      </c>
      <c r="N32" s="22"/>
      <c r="O32" s="22"/>
      <c r="P32" s="22"/>
      <c r="Q32" s="22"/>
      <c r="R32" s="22"/>
      <c r="S32" s="22"/>
      <c r="T32" s="22"/>
    </row>
    <row r="33">
      <c r="A33" s="22"/>
      <c r="B33" s="130" t="s">
        <v>342</v>
      </c>
      <c r="C33" s="5"/>
      <c r="D33" s="5"/>
      <c r="E33" s="5"/>
      <c r="F33" s="6"/>
      <c r="G33" s="132">
        <f>LARGE(G30:G32,1)</f>
        <v>25</v>
      </c>
      <c r="H33" s="22"/>
      <c r="I33" s="140"/>
      <c r="J33" s="140"/>
      <c r="K33" s="140"/>
      <c r="L33" s="140"/>
      <c r="M33" s="140"/>
      <c r="N33" s="22"/>
      <c r="O33" s="22"/>
      <c r="P33" s="22"/>
      <c r="Q33" s="22"/>
      <c r="R33" s="22"/>
      <c r="S33" s="22"/>
      <c r="T33" s="22"/>
    </row>
    <row r="34">
      <c r="A34" s="22"/>
      <c r="B34" s="22"/>
      <c r="C34" s="22"/>
      <c r="D34" s="22"/>
      <c r="E34" s="22"/>
      <c r="F34" s="22"/>
      <c r="G34" s="22"/>
      <c r="H34" s="22"/>
      <c r="I34" s="140"/>
      <c r="J34" s="140"/>
      <c r="K34" s="140"/>
      <c r="L34" s="140"/>
      <c r="M34" s="140"/>
      <c r="N34" s="22"/>
      <c r="O34" s="22"/>
      <c r="P34" s="22"/>
      <c r="Q34" s="22"/>
      <c r="R34" s="22"/>
      <c r="S34" s="22"/>
      <c r="T34" s="22"/>
    </row>
  </sheetData>
  <mergeCells count="50">
    <mergeCell ref="J4:K4"/>
    <mergeCell ref="L4:L5"/>
    <mergeCell ref="I9:M9"/>
    <mergeCell ref="I11:N11"/>
    <mergeCell ref="J12:K12"/>
    <mergeCell ref="L12:L13"/>
    <mergeCell ref="N12:N13"/>
    <mergeCell ref="M12:M13"/>
    <mergeCell ref="I17:M17"/>
    <mergeCell ref="I19:N19"/>
    <mergeCell ref="I20:I21"/>
    <mergeCell ref="J20:K20"/>
    <mergeCell ref="L20:L21"/>
    <mergeCell ref="N20:N21"/>
    <mergeCell ref="M4:M5"/>
    <mergeCell ref="N4:N5"/>
    <mergeCell ref="B2:N2"/>
    <mergeCell ref="B3:G3"/>
    <mergeCell ref="I3:N3"/>
    <mergeCell ref="B4:B5"/>
    <mergeCell ref="C4:D4"/>
    <mergeCell ref="E4:E5"/>
    <mergeCell ref="F4:F5"/>
    <mergeCell ref="F12:F13"/>
    <mergeCell ref="G12:G13"/>
    <mergeCell ref="G4:G5"/>
    <mergeCell ref="I4:I5"/>
    <mergeCell ref="B9:F9"/>
    <mergeCell ref="B11:G11"/>
    <mergeCell ref="B12:B13"/>
    <mergeCell ref="C12:D12"/>
    <mergeCell ref="I12:I13"/>
    <mergeCell ref="E12:E13"/>
    <mergeCell ref="B17:F17"/>
    <mergeCell ref="B19:G19"/>
    <mergeCell ref="B20:B21"/>
    <mergeCell ref="C20:D20"/>
    <mergeCell ref="E20:E21"/>
    <mergeCell ref="G20:G21"/>
    <mergeCell ref="M20:M21"/>
    <mergeCell ref="I25:M25"/>
    <mergeCell ref="F28:F29"/>
    <mergeCell ref="B33:F33"/>
    <mergeCell ref="F20:F21"/>
    <mergeCell ref="B25:F25"/>
    <mergeCell ref="B27:G27"/>
    <mergeCell ref="B28:B29"/>
    <mergeCell ref="C28:D28"/>
    <mergeCell ref="E28:E29"/>
    <mergeCell ref="G28:G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7.0"/>
    <col customWidth="1" min="4" max="4" width="20.13"/>
    <col customWidth="1" min="5" max="5" width="18.38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3" t="s">
        <v>346</v>
      </c>
      <c r="C2" s="5"/>
      <c r="D2" s="5"/>
      <c r="E2" s="6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18" t="s">
        <v>347</v>
      </c>
      <c r="C3" s="19"/>
      <c r="D3" s="85">
        <f>20.3*0.6</f>
        <v>12.18</v>
      </c>
      <c r="E3" s="8" t="s">
        <v>29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18" t="s">
        <v>348</v>
      </c>
      <c r="C4" s="19"/>
      <c r="D4" s="85">
        <f>D5-D3</f>
        <v>96.15</v>
      </c>
      <c r="E4" s="8" t="s">
        <v>29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18" t="s">
        <v>349</v>
      </c>
      <c r="C5" s="19" t="s">
        <v>350</v>
      </c>
      <c r="D5" s="85">
        <v>108.33</v>
      </c>
      <c r="E5" s="8" t="s">
        <v>29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18" t="s">
        <v>351</v>
      </c>
      <c r="C6" s="19" t="s">
        <v>352</v>
      </c>
      <c r="D6" s="19">
        <v>6.0</v>
      </c>
      <c r="E6" s="19" t="s">
        <v>353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18" t="s">
        <v>354</v>
      </c>
      <c r="C7" s="19" t="s">
        <v>355</v>
      </c>
      <c r="D7" s="17">
        <f>D5/D6</f>
        <v>18.055</v>
      </c>
      <c r="E7" s="8" t="s">
        <v>99</v>
      </c>
      <c r="F7" s="22"/>
      <c r="G7" s="22"/>
      <c r="H7" s="22"/>
      <c r="I7" s="22"/>
      <c r="J7" s="22"/>
      <c r="K7" s="22"/>
      <c r="L7" s="22"/>
      <c r="M7" s="141" t="s">
        <v>276</v>
      </c>
      <c r="N7" s="141" t="s">
        <v>356</v>
      </c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16" t="s">
        <v>357</v>
      </c>
      <c r="C8" s="6"/>
      <c r="D8" s="79" t="s">
        <v>358</v>
      </c>
      <c r="E8" s="6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16" t="s">
        <v>359</v>
      </c>
      <c r="C9" s="6"/>
      <c r="D9" s="79" t="s">
        <v>360</v>
      </c>
      <c r="E9" s="6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16" t="s">
        <v>361</v>
      </c>
      <c r="C10" s="6"/>
      <c r="D10" s="19" t="s">
        <v>362</v>
      </c>
      <c r="E10" s="8" t="s">
        <v>363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18" t="s">
        <v>364</v>
      </c>
      <c r="C11" s="19" t="s">
        <v>10</v>
      </c>
      <c r="D11" s="19">
        <v>23.0</v>
      </c>
      <c r="E11" s="8" t="s">
        <v>99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18" t="s">
        <v>365</v>
      </c>
      <c r="C12" s="19" t="s">
        <v>366</v>
      </c>
      <c r="D12" s="17">
        <f>D5/D11</f>
        <v>4.71</v>
      </c>
      <c r="E12" s="19" t="s">
        <v>353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18" t="s">
        <v>205</v>
      </c>
      <c r="C14" s="19" t="s">
        <v>367</v>
      </c>
      <c r="D14" s="17">
        <f>D5/D12</f>
        <v>23</v>
      </c>
      <c r="E14" s="8" t="s">
        <v>99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18" t="s">
        <v>368</v>
      </c>
      <c r="C16" s="19" t="s">
        <v>10</v>
      </c>
      <c r="D16" s="19">
        <v>85.0</v>
      </c>
      <c r="E16" s="19" t="s">
        <v>103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18" t="s">
        <v>369</v>
      </c>
      <c r="C17" s="19" t="s">
        <v>10</v>
      </c>
      <c r="D17" s="19">
        <v>60.0</v>
      </c>
      <c r="E17" s="19" t="s">
        <v>103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18" t="s">
        <v>370</v>
      </c>
      <c r="C19" s="136" t="s">
        <v>371</v>
      </c>
      <c r="D19" s="90"/>
      <c r="E19" s="19">
        <v>1.0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18" t="s">
        <v>372</v>
      </c>
      <c r="C20" s="93"/>
      <c r="D20" s="94"/>
      <c r="E20" s="19">
        <v>2.0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4.5" customHeight="1">
      <c r="A21" s="22"/>
      <c r="B21" s="18" t="s">
        <v>373</v>
      </c>
      <c r="C21" s="136" t="s">
        <v>374</v>
      </c>
      <c r="D21" s="90"/>
      <c r="E21" s="19">
        <v>2.0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46.5" customHeight="1">
      <c r="A22" s="22"/>
      <c r="B22" s="18" t="s">
        <v>375</v>
      </c>
      <c r="C22" s="93"/>
      <c r="D22" s="94"/>
      <c r="E22" s="19">
        <v>2.0</v>
      </c>
      <c r="F22" s="22"/>
      <c r="G22" s="37"/>
      <c r="H22" s="37"/>
      <c r="I22" s="37"/>
      <c r="J22" s="37"/>
      <c r="K22" s="37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18" t="s">
        <v>376</v>
      </c>
      <c r="C23" s="79" t="s">
        <v>377</v>
      </c>
      <c r="D23" s="5"/>
      <c r="E23" s="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3" t="s">
        <v>378</v>
      </c>
      <c r="C25" s="5"/>
      <c r="D25" s="5"/>
      <c r="E25" s="5"/>
      <c r="F25" s="5"/>
      <c r="G25" s="5"/>
      <c r="H25" s="6"/>
      <c r="I25" s="3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18" t="s">
        <v>379</v>
      </c>
      <c r="C26" s="18" t="s">
        <v>380</v>
      </c>
      <c r="D26" s="18" t="s">
        <v>160</v>
      </c>
      <c r="E26" s="18" t="s">
        <v>381</v>
      </c>
      <c r="F26" s="18" t="s">
        <v>382</v>
      </c>
      <c r="G26" s="18" t="s">
        <v>383</v>
      </c>
      <c r="H26" s="18" t="s">
        <v>384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121" t="s">
        <v>385</v>
      </c>
      <c r="C27" s="142" t="s">
        <v>386</v>
      </c>
      <c r="D27" s="142">
        <v>1.4</v>
      </c>
      <c r="E27" s="142">
        <v>2.4</v>
      </c>
      <c r="F27" s="142">
        <v>7.8</v>
      </c>
      <c r="G27" s="142">
        <v>0.9</v>
      </c>
      <c r="H27" s="78">
        <f>SUM(D29:G29)</f>
        <v>34.7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92"/>
      <c r="C28" s="19" t="s">
        <v>249</v>
      </c>
      <c r="D28" s="19">
        <v>4.0</v>
      </c>
      <c r="E28" s="19">
        <v>2.0</v>
      </c>
      <c r="F28" s="19">
        <v>3.0</v>
      </c>
      <c r="G28" s="19">
        <v>1.0</v>
      </c>
      <c r="H28" s="9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44"/>
      <c r="C29" s="143" t="s">
        <v>387</v>
      </c>
      <c r="D29" s="144">
        <f t="shared" ref="D29:G29" si="1">D28*D27</f>
        <v>5.6</v>
      </c>
      <c r="E29" s="144">
        <f t="shared" si="1"/>
        <v>4.8</v>
      </c>
      <c r="F29" s="144">
        <f t="shared" si="1"/>
        <v>23.4</v>
      </c>
      <c r="G29" s="144">
        <f t="shared" si="1"/>
        <v>0.9</v>
      </c>
      <c r="H29" s="44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121" t="s">
        <v>388</v>
      </c>
      <c r="C30" s="142" t="s">
        <v>389</v>
      </c>
      <c r="D30" s="142">
        <v>1.6</v>
      </c>
      <c r="E30" s="142">
        <v>2.6</v>
      </c>
      <c r="F30" s="142">
        <v>8.3</v>
      </c>
      <c r="G30" s="142">
        <v>1.0</v>
      </c>
      <c r="H30" s="78">
        <f>SUM(D32:G32)</f>
        <v>38.1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92"/>
      <c r="C31" s="19" t="s">
        <v>249</v>
      </c>
      <c r="D31" s="19">
        <v>6.0</v>
      </c>
      <c r="E31" s="19">
        <v>7.0</v>
      </c>
      <c r="F31" s="19">
        <v>1.0</v>
      </c>
      <c r="G31" s="19">
        <v>2.0</v>
      </c>
      <c r="H31" s="9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44"/>
      <c r="C32" s="143" t="s">
        <v>387</v>
      </c>
      <c r="D32" s="144">
        <f t="shared" ref="D32:G32" si="2">D31*D30</f>
        <v>9.6</v>
      </c>
      <c r="E32" s="144">
        <f t="shared" si="2"/>
        <v>18.2</v>
      </c>
      <c r="F32" s="144">
        <f t="shared" si="2"/>
        <v>8.3</v>
      </c>
      <c r="G32" s="144">
        <f t="shared" si="2"/>
        <v>2</v>
      </c>
      <c r="H32" s="4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3" t="s">
        <v>390</v>
      </c>
      <c r="C34" s="5"/>
      <c r="D34" s="5"/>
      <c r="E34" s="5"/>
      <c r="F34" s="5"/>
      <c r="G34" s="5"/>
      <c r="H34" s="5"/>
      <c r="I34" s="5"/>
      <c r="J34" s="6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121" t="s">
        <v>280</v>
      </c>
      <c r="C35" s="121" t="s">
        <v>391</v>
      </c>
      <c r="D35" s="121" t="s">
        <v>392</v>
      </c>
      <c r="E35" s="16" t="s">
        <v>287</v>
      </c>
      <c r="F35" s="5"/>
      <c r="G35" s="6"/>
      <c r="H35" s="16" t="s">
        <v>393</v>
      </c>
      <c r="I35" s="5"/>
      <c r="J35" s="6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44"/>
      <c r="C36" s="44"/>
      <c r="D36" s="44"/>
      <c r="E36" s="18" t="s">
        <v>292</v>
      </c>
      <c r="F36" s="18" t="s">
        <v>394</v>
      </c>
      <c r="G36" s="18" t="s">
        <v>41</v>
      </c>
      <c r="H36" s="18" t="s">
        <v>395</v>
      </c>
      <c r="I36" s="18" t="s">
        <v>396</v>
      </c>
      <c r="J36" s="18" t="s">
        <v>397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18" t="s">
        <v>388</v>
      </c>
      <c r="C37" s="55">
        <f>D14</f>
        <v>23</v>
      </c>
      <c r="D37" s="145">
        <f t="shared" ref="D37:D38" si="3">D16</f>
        <v>85</v>
      </c>
      <c r="E37" s="146">
        <v>35.5353</v>
      </c>
      <c r="F37" s="146">
        <f>H30</f>
        <v>38.1</v>
      </c>
      <c r="G37" s="55">
        <f t="shared" ref="G37:G38" si="4">E37+F37</f>
        <v>73.6353</v>
      </c>
      <c r="H37" s="55">
        <f t="shared" ref="H37:H39" si="5">C37/3.6</f>
        <v>6.388888889</v>
      </c>
      <c r="I37" s="50">
        <f>(8.69*(10^(6)))*((H37^(1.75))*(D37^(-4.75)))/10</f>
        <v>0.01526772103</v>
      </c>
      <c r="J37" s="55">
        <f t="shared" ref="J37:J38" si="6">I37*G37</f>
        <v>1.124243218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18" t="s">
        <v>385</v>
      </c>
      <c r="C38" s="55">
        <f>D14</f>
        <v>23</v>
      </c>
      <c r="D38" s="145">
        <f t="shared" si="3"/>
        <v>60</v>
      </c>
      <c r="E38" s="146">
        <v>16.3905</v>
      </c>
      <c r="F38" s="146">
        <f>H27</f>
        <v>34.7</v>
      </c>
      <c r="G38" s="55">
        <f t="shared" si="4"/>
        <v>51.0905</v>
      </c>
      <c r="H38" s="55">
        <f t="shared" si="5"/>
        <v>6.388888889</v>
      </c>
      <c r="I38" s="50">
        <f>8.69*10^(6)*((H38^(1.75))*(D38^(-4.75)))/10</f>
        <v>0.07985381583</v>
      </c>
      <c r="J38" s="55">
        <f t="shared" si="6"/>
        <v>4.079771378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18" t="s">
        <v>398</v>
      </c>
      <c r="C39" s="55">
        <f>D14</f>
        <v>23</v>
      </c>
      <c r="D39" s="146" t="s">
        <v>10</v>
      </c>
      <c r="E39" s="146" t="s">
        <v>10</v>
      </c>
      <c r="F39" s="146" t="s">
        <v>10</v>
      </c>
      <c r="G39" s="146" t="s">
        <v>10</v>
      </c>
      <c r="H39" s="55">
        <f t="shared" si="5"/>
        <v>6.388888889</v>
      </c>
      <c r="I39" s="146" t="s">
        <v>10</v>
      </c>
      <c r="J39" s="146">
        <v>7.0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16" t="s">
        <v>399</v>
      </c>
      <c r="C40" s="5"/>
      <c r="D40" s="5"/>
      <c r="E40" s="5"/>
      <c r="F40" s="5"/>
      <c r="G40" s="5"/>
      <c r="H40" s="5"/>
      <c r="I40" s="6"/>
      <c r="J40" s="147">
        <f>J37+J38+J39</f>
        <v>12.2040146</v>
      </c>
      <c r="K40" s="148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mergeCells count="22">
    <mergeCell ref="B2:E2"/>
    <mergeCell ref="N7:Q7"/>
    <mergeCell ref="B8:C8"/>
    <mergeCell ref="D8:E8"/>
    <mergeCell ref="B9:C9"/>
    <mergeCell ref="D9:E9"/>
    <mergeCell ref="B10:C10"/>
    <mergeCell ref="H30:H32"/>
    <mergeCell ref="B34:J34"/>
    <mergeCell ref="B35:B36"/>
    <mergeCell ref="C35:C36"/>
    <mergeCell ref="D35:D36"/>
    <mergeCell ref="E35:G35"/>
    <mergeCell ref="H35:J35"/>
    <mergeCell ref="B40:I40"/>
    <mergeCell ref="C19:D20"/>
    <mergeCell ref="C21:D22"/>
    <mergeCell ref="C23:E23"/>
    <mergeCell ref="B25:H25"/>
    <mergeCell ref="B27:B29"/>
    <mergeCell ref="H27:H29"/>
    <mergeCell ref="B30:B32"/>
  </mergeCells>
  <drawing r:id="rId1"/>
</worksheet>
</file>