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esktop\"/>
    </mc:Choice>
  </mc:AlternateContent>
  <xr:revisionPtr revIDLastSave="0" documentId="8_{C49D849F-94E8-4136-903C-B7D8A83EE34A}" xr6:coauthVersionLast="47" xr6:coauthVersionMax="47" xr10:uidLastSave="{00000000-0000-0000-0000-000000000000}"/>
  <bookViews>
    <workbookView xWindow="-108" yWindow="-108" windowWidth="23256" windowHeight="12576" xr2:uid="{59BAFDA7-0647-41B5-B69D-19B4DFC2C1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" i="1" l="1"/>
  <c r="B17" i="1"/>
  <c r="AB16" i="1"/>
  <c r="W16" i="1"/>
  <c r="U16" i="1"/>
  <c r="T16" i="1"/>
  <c r="Q16" i="1"/>
  <c r="K16" i="1"/>
  <c r="J16" i="1"/>
  <c r="G16" i="1"/>
  <c r="AB15" i="1"/>
  <c r="W15" i="1"/>
  <c r="U15" i="1"/>
  <c r="T15" i="1"/>
  <c r="Q15" i="1"/>
  <c r="K15" i="1"/>
  <c r="J15" i="1"/>
  <c r="G15" i="1"/>
  <c r="H14" i="1"/>
  <c r="G13" i="1"/>
  <c r="H12" i="1"/>
  <c r="B12" i="1"/>
  <c r="G11" i="1"/>
  <c r="B11" i="1"/>
  <c r="AB10" i="1"/>
  <c r="W10" i="1"/>
  <c r="Q10" i="1"/>
  <c r="G10" i="1"/>
  <c r="B10" i="1"/>
  <c r="W9" i="1"/>
  <c r="Q9" i="1"/>
  <c r="G9" i="1"/>
  <c r="B9" i="1"/>
  <c r="W8" i="1"/>
  <c r="Q8" i="1"/>
  <c r="G8" i="1"/>
  <c r="W7" i="1"/>
  <c r="Q7" i="1"/>
  <c r="H7" i="1"/>
  <c r="G6" i="1"/>
  <c r="G5" i="1"/>
  <c r="AB4" i="1"/>
  <c r="W4" i="1"/>
  <c r="P4" i="1"/>
  <c r="N4" i="1"/>
  <c r="G4" i="1"/>
  <c r="AB3" i="1"/>
  <c r="B3" i="1"/>
  <c r="AB2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 Alberton</author>
  </authors>
  <commentList>
    <comment ref="N4" authorId="0" shapeId="0" xr:uid="{C68701F0-D1D6-41FA-A3A4-06740DD08285}">
      <text>
        <r>
          <rPr>
            <b/>
            <sz val="9"/>
            <color indexed="81"/>
            <rFont val="Tahoma"/>
            <family val="2"/>
          </rPr>
          <t>Andre Alberton:</t>
        </r>
        <r>
          <rPr>
            <sz val="9"/>
            <color indexed="81"/>
            <rFont val="Tahoma"/>
            <family val="2"/>
          </rPr>
          <t xml:space="preserve">
T normal de ebulição (K)</t>
        </r>
      </text>
    </comment>
    <comment ref="P4" authorId="0" shapeId="0" xr:uid="{CDCE9A6D-EDDC-4166-B615-94CE39C2213C}">
      <text>
        <r>
          <rPr>
            <b/>
            <sz val="9"/>
            <color indexed="81"/>
            <rFont val="Tahoma"/>
            <family val="2"/>
          </rPr>
          <t>Andre Alberton:</t>
        </r>
        <r>
          <rPr>
            <sz val="9"/>
            <color indexed="81"/>
            <rFont val="Tahoma"/>
            <family val="2"/>
          </rPr>
          <t xml:space="preserve">
dh_vap Prauznitz 19.40e3</t>
        </r>
      </text>
    </comment>
  </commentList>
</comments>
</file>

<file path=xl/sharedStrings.xml><?xml version="1.0" encoding="utf-8"?>
<sst xmlns="http://schemas.openxmlformats.org/spreadsheetml/2006/main" count="77" uniqueCount="39">
  <si>
    <t>Composto</t>
  </si>
  <si>
    <t>MM (kg/mol)</t>
  </si>
  <si>
    <t>Fase</t>
  </si>
  <si>
    <t>T(K)</t>
  </si>
  <si>
    <t>P (Pa)</t>
  </si>
  <si>
    <r>
      <t>ΔH°</t>
    </r>
    <r>
      <rPr>
        <b/>
        <vertAlign val="subscript"/>
        <sz val="11"/>
        <color theme="1"/>
        <rFont val="Calibri"/>
        <family val="2"/>
        <scheme val="minor"/>
      </rPr>
      <t>fi</t>
    </r>
  </si>
  <si>
    <r>
      <t>ΔS°</t>
    </r>
    <r>
      <rPr>
        <b/>
        <vertAlign val="subscript"/>
        <sz val="11"/>
        <color theme="1"/>
        <rFont val="Calibri"/>
        <family val="2"/>
        <scheme val="minor"/>
      </rPr>
      <t>fi</t>
    </r>
  </si>
  <si>
    <r>
      <t>ΔG°</t>
    </r>
    <r>
      <rPr>
        <b/>
        <vertAlign val="subscript"/>
        <sz val="11"/>
        <color theme="1"/>
        <rFont val="Calibri"/>
        <family val="2"/>
        <scheme val="minor"/>
      </rPr>
      <t>fi</t>
    </r>
  </si>
  <si>
    <t>A</t>
  </si>
  <si>
    <t>B*1e3</t>
  </si>
  <si>
    <t>C*1e6</t>
  </si>
  <si>
    <t>D*1e-5</t>
  </si>
  <si>
    <t>H ( J/mol)</t>
  </si>
  <si>
    <t>S (J/mol/K)</t>
  </si>
  <si>
    <t>G (J/mol)</t>
  </si>
  <si>
    <t>B</t>
  </si>
  <si>
    <t>C</t>
  </si>
  <si>
    <t>Tmax (K)</t>
  </si>
  <si>
    <t>Tmin (K)</t>
  </si>
  <si>
    <t>T _densidade (K)</t>
  </si>
  <si>
    <t xml:space="preserve">Densidade (kg/m³) </t>
  </si>
  <si>
    <t>CH4</t>
  </si>
  <si>
    <t>(G)</t>
  </si>
  <si>
    <t>(L)</t>
  </si>
  <si>
    <t>Etano</t>
  </si>
  <si>
    <t>Propano</t>
  </si>
  <si>
    <t xml:space="preserve">Eteno </t>
  </si>
  <si>
    <t xml:space="preserve">Propeno </t>
  </si>
  <si>
    <t>H2O</t>
  </si>
  <si>
    <t xml:space="preserve">Etanol </t>
  </si>
  <si>
    <t>Benzeno</t>
  </si>
  <si>
    <t>Tolueno</t>
  </si>
  <si>
    <t xml:space="preserve">H2 </t>
  </si>
  <si>
    <t>CO</t>
  </si>
  <si>
    <t>N2</t>
  </si>
  <si>
    <t>CO2</t>
  </si>
  <si>
    <t>Ciclo-Hexano</t>
  </si>
  <si>
    <t>Metanol</t>
  </si>
  <si>
    <t>n-Hexano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</si>
</sst>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indexed="63"/>
      <name val="Arial"/>
      <family val="2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EAE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theme="9" tint="-0.24994659260841701"/>
      </left>
      <right/>
      <top/>
      <bottom/>
      <diagonal/>
    </border>
    <border>
      <left/>
      <right style="mediumDashed">
        <color theme="9" tint="-0.24994659260841701"/>
      </right>
      <top/>
      <bottom/>
      <diagonal/>
    </border>
    <border>
      <left style="mediumDashed">
        <color theme="5"/>
      </left>
      <right/>
      <top/>
      <bottom/>
      <diagonal/>
    </border>
    <border>
      <left/>
      <right style="mediumDashed">
        <color theme="5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2" fontId="4" fillId="3" borderId="0" xfId="0" applyNumberFormat="1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C680-6A1F-4D3A-9558-3367C307B169}">
  <dimension ref="A1:AC17"/>
  <sheetViews>
    <sheetView tabSelected="1" workbookViewId="0">
      <selection activeCell="I8" sqref="I8"/>
    </sheetView>
  </sheetViews>
  <sheetFormatPr defaultRowHeight="14.4" x14ac:dyDescent="0.3"/>
  <cols>
    <col min="1" max="1" width="10.5546875" bestFit="1" customWidth="1"/>
    <col min="2" max="2" width="13.44140625" bestFit="1" customWidth="1"/>
    <col min="6" max="6" width="11.21875" bestFit="1" customWidth="1"/>
    <col min="7" max="7" width="7.88671875" bestFit="1" customWidth="1"/>
    <col min="8" max="8" width="11.21875" bestFit="1" customWidth="1"/>
  </cols>
  <sheetData>
    <row r="1" spans="1:29" ht="16.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4" t="s">
        <v>11</v>
      </c>
      <c r="M1" s="1" t="s">
        <v>2</v>
      </c>
      <c r="N1" s="1" t="s">
        <v>3</v>
      </c>
      <c r="O1" s="1" t="s">
        <v>4</v>
      </c>
      <c r="P1" s="1" t="s">
        <v>12</v>
      </c>
      <c r="Q1" s="1" t="s">
        <v>13</v>
      </c>
      <c r="R1" s="1" t="s">
        <v>14</v>
      </c>
      <c r="S1" s="5" t="s">
        <v>8</v>
      </c>
      <c r="T1" s="1" t="s">
        <v>9</v>
      </c>
      <c r="U1" s="1" t="s">
        <v>10</v>
      </c>
      <c r="V1" s="6" t="s">
        <v>11</v>
      </c>
      <c r="W1" s="1" t="s">
        <v>8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 ht="15.6" x14ac:dyDescent="0.3">
      <c r="A2" s="7" t="s">
        <v>21</v>
      </c>
      <c r="B2" s="8">
        <v>1.6E-2</v>
      </c>
      <c r="C2" s="9" t="s">
        <v>22</v>
      </c>
      <c r="D2" s="10">
        <v>298</v>
      </c>
      <c r="E2" s="10">
        <v>101325</v>
      </c>
      <c r="F2" s="11">
        <v>-74520</v>
      </c>
      <c r="G2" s="11">
        <v>-94.24</v>
      </c>
      <c r="H2" s="11">
        <f>F2-D2*G2</f>
        <v>-46436.480000000003</v>
      </c>
      <c r="I2" s="12">
        <v>1.702</v>
      </c>
      <c r="J2" s="10">
        <v>9.0809999999999995</v>
      </c>
      <c r="K2" s="10">
        <v>-2.1640000000000001</v>
      </c>
      <c r="L2" s="13">
        <v>0</v>
      </c>
      <c r="M2" s="14" t="s">
        <v>23</v>
      </c>
      <c r="N2" s="14"/>
      <c r="O2" s="14"/>
      <c r="P2" s="14"/>
      <c r="Q2" s="14"/>
      <c r="R2" s="14"/>
      <c r="S2" s="15"/>
      <c r="T2" s="14"/>
      <c r="U2" s="14"/>
      <c r="V2" s="16"/>
      <c r="W2" s="14"/>
      <c r="X2" s="14"/>
      <c r="Y2" s="14"/>
      <c r="Z2" s="17"/>
      <c r="AA2" s="17"/>
      <c r="AB2" s="18">
        <f>-164+273</f>
        <v>109</v>
      </c>
      <c r="AC2" s="18">
        <v>465</v>
      </c>
    </row>
    <row r="3" spans="1:29" ht="15.6" x14ac:dyDescent="0.3">
      <c r="A3" s="8" t="s">
        <v>24</v>
      </c>
      <c r="B3" s="19">
        <f>(2*12+6)*0.001</f>
        <v>0.03</v>
      </c>
      <c r="C3" s="9" t="s">
        <v>22</v>
      </c>
      <c r="D3" s="10">
        <v>298</v>
      </c>
      <c r="E3" s="10"/>
      <c r="F3" s="11"/>
      <c r="G3" s="11"/>
      <c r="H3" s="11"/>
      <c r="I3" s="12"/>
      <c r="J3" s="10"/>
      <c r="K3" s="10"/>
      <c r="L3" s="13"/>
      <c r="M3" s="14" t="s">
        <v>23</v>
      </c>
      <c r="N3" s="14"/>
      <c r="O3" s="14"/>
      <c r="P3" s="14"/>
      <c r="Q3" s="14"/>
      <c r="R3" s="14"/>
      <c r="S3" s="15"/>
      <c r="T3" s="14"/>
      <c r="U3" s="14"/>
      <c r="V3" s="16"/>
      <c r="W3" s="14"/>
      <c r="X3" s="14"/>
      <c r="Y3" s="14"/>
      <c r="Z3" s="17"/>
      <c r="AA3" s="17"/>
      <c r="AB3" s="18">
        <f>89+273</f>
        <v>362</v>
      </c>
      <c r="AC3" s="18">
        <v>570</v>
      </c>
    </row>
    <row r="4" spans="1:29" ht="15.6" x14ac:dyDescent="0.3">
      <c r="A4" s="7" t="s">
        <v>25</v>
      </c>
      <c r="B4" s="19">
        <v>4.3999999999999997E-2</v>
      </c>
      <c r="C4" s="9" t="s">
        <v>22</v>
      </c>
      <c r="D4" s="10">
        <v>298</v>
      </c>
      <c r="E4" s="10">
        <v>101325</v>
      </c>
      <c r="F4" s="11">
        <v>-104680</v>
      </c>
      <c r="G4" s="11">
        <f>(F4-H4)/D4</f>
        <v>-269.76510067114094</v>
      </c>
      <c r="H4" s="11">
        <v>-24290</v>
      </c>
      <c r="I4" s="12">
        <v>1.2130000000000001</v>
      </c>
      <c r="J4" s="10">
        <v>28.785</v>
      </c>
      <c r="K4" s="10">
        <v>-8.8239999999999998</v>
      </c>
      <c r="L4" s="13">
        <v>0</v>
      </c>
      <c r="M4" s="14" t="s">
        <v>23</v>
      </c>
      <c r="N4" s="20">
        <f>-42.15+273.15</f>
        <v>230.99999999999997</v>
      </c>
      <c r="O4" s="14">
        <v>101325</v>
      </c>
      <c r="P4" s="20">
        <f>F4-23350</f>
        <v>-128030</v>
      </c>
      <c r="Q4" s="14"/>
      <c r="R4" s="14"/>
      <c r="S4" s="15">
        <v>8.3989999999999991</v>
      </c>
      <c r="T4" s="14">
        <v>-8.9243000000000006</v>
      </c>
      <c r="U4" s="14">
        <v>98.427700000000002</v>
      </c>
      <c r="V4" s="16">
        <v>0</v>
      </c>
      <c r="W4" s="14">
        <f>13.711+LN(1000)</f>
        <v>20.618755278982135</v>
      </c>
      <c r="X4" s="14">
        <v>1872.76</v>
      </c>
      <c r="Y4" s="14">
        <v>-25.16</v>
      </c>
      <c r="Z4" s="14">
        <v>249</v>
      </c>
      <c r="AA4" s="14">
        <v>164</v>
      </c>
      <c r="AB4" s="18">
        <f>-40+273</f>
        <v>233</v>
      </c>
      <c r="AC4" s="14">
        <v>493.5</v>
      </c>
    </row>
    <row r="5" spans="1:29" ht="15.6" x14ac:dyDescent="0.3">
      <c r="A5" s="7" t="s">
        <v>26</v>
      </c>
      <c r="B5" s="19">
        <v>2.8000000000000001E-2</v>
      </c>
      <c r="C5" s="9" t="s">
        <v>22</v>
      </c>
      <c r="D5" s="10">
        <v>298</v>
      </c>
      <c r="E5" s="10">
        <v>101325</v>
      </c>
      <c r="F5" s="11">
        <v>52510</v>
      </c>
      <c r="G5" s="11">
        <f>(F5-H5)/D5</f>
        <v>-53.523489932885909</v>
      </c>
      <c r="H5" s="11">
        <v>68460</v>
      </c>
      <c r="I5" s="12">
        <v>1.4239999999999999</v>
      </c>
      <c r="J5" s="10">
        <v>14.394</v>
      </c>
      <c r="K5" s="10">
        <v>-4.3920000000000003</v>
      </c>
      <c r="L5" s="13">
        <v>0</v>
      </c>
      <c r="M5" s="14" t="s">
        <v>23</v>
      </c>
      <c r="N5" s="21"/>
      <c r="O5" s="21"/>
      <c r="P5" s="21"/>
      <c r="Q5" s="21"/>
      <c r="R5" s="21"/>
      <c r="S5" s="22"/>
      <c r="T5" s="21"/>
      <c r="U5" s="21"/>
      <c r="V5" s="23"/>
      <c r="W5" s="21"/>
      <c r="X5" s="21"/>
      <c r="Y5" s="21"/>
      <c r="Z5" s="21"/>
      <c r="AA5" s="21"/>
      <c r="AB5" s="24"/>
      <c r="AC5" s="24"/>
    </row>
    <row r="6" spans="1:29" ht="15.6" x14ac:dyDescent="0.3">
      <c r="A6" s="7" t="s">
        <v>27</v>
      </c>
      <c r="B6" s="19">
        <v>4.2000000000000003E-2</v>
      </c>
      <c r="C6" s="9" t="s">
        <v>22</v>
      </c>
      <c r="D6" s="10">
        <v>298</v>
      </c>
      <c r="E6" s="10">
        <v>101325</v>
      </c>
      <c r="F6" s="11">
        <v>19170</v>
      </c>
      <c r="G6" s="11">
        <f t="shared" ref="G6:G16" si="0">(F6-H6)/D6</f>
        <v>-144.41275167785236</v>
      </c>
      <c r="H6" s="11">
        <v>62205</v>
      </c>
      <c r="I6" s="12">
        <v>1.637</v>
      </c>
      <c r="J6" s="10">
        <v>22.706</v>
      </c>
      <c r="K6" s="10">
        <v>-6.915</v>
      </c>
      <c r="L6" s="13">
        <v>0</v>
      </c>
      <c r="M6" s="14" t="s">
        <v>23</v>
      </c>
      <c r="N6" s="21"/>
      <c r="O6" s="21"/>
      <c r="P6" s="21"/>
      <c r="Q6" s="21"/>
      <c r="R6" s="21"/>
      <c r="S6" s="22"/>
      <c r="T6" s="21"/>
      <c r="U6" s="21"/>
      <c r="V6" s="23"/>
      <c r="W6" s="21"/>
      <c r="X6" s="21"/>
      <c r="Y6" s="21"/>
      <c r="Z6" s="21"/>
      <c r="AA6" s="21"/>
      <c r="AB6" s="24"/>
      <c r="AC6" s="24"/>
    </row>
    <row r="7" spans="1:29" ht="15.6" x14ac:dyDescent="0.3">
      <c r="A7" s="7" t="s">
        <v>28</v>
      </c>
      <c r="B7" s="8">
        <v>1.7999999999999999E-2</v>
      </c>
      <c r="C7" s="9" t="s">
        <v>22</v>
      </c>
      <c r="D7" s="10">
        <v>298</v>
      </c>
      <c r="E7" s="10">
        <v>101325</v>
      </c>
      <c r="F7" s="11">
        <v>-241818</v>
      </c>
      <c r="G7" s="11">
        <v>-49.4</v>
      </c>
      <c r="H7" s="11">
        <f>F7-D7*G7</f>
        <v>-227096.8</v>
      </c>
      <c r="I7" s="12">
        <v>3.47</v>
      </c>
      <c r="J7" s="10">
        <v>1.45</v>
      </c>
      <c r="K7" s="10">
        <v>0</v>
      </c>
      <c r="L7" s="13">
        <v>0.121</v>
      </c>
      <c r="M7" s="14" t="s">
        <v>23</v>
      </c>
      <c r="N7" s="14">
        <v>298</v>
      </c>
      <c r="O7" s="14">
        <v>101325</v>
      </c>
      <c r="P7" s="14">
        <v>-285830</v>
      </c>
      <c r="Q7" s="14">
        <f>(P7-R7)/D2</f>
        <v>-163.42617449664431</v>
      </c>
      <c r="R7" s="14">
        <v>-237129</v>
      </c>
      <c r="S7" s="15">
        <v>8.7119999999999997</v>
      </c>
      <c r="T7" s="14">
        <v>1.25</v>
      </c>
      <c r="U7" s="14">
        <v>-0.18</v>
      </c>
      <c r="V7" s="16">
        <v>0</v>
      </c>
      <c r="W7" s="14">
        <f>16.2886+LN(1000)</f>
        <v>23.196355278982136</v>
      </c>
      <c r="X7" s="14">
        <v>3816.44</v>
      </c>
      <c r="Y7" s="14">
        <v>-46.13</v>
      </c>
      <c r="Z7" s="14">
        <v>441</v>
      </c>
      <c r="AA7" s="14">
        <v>284</v>
      </c>
      <c r="AB7" s="18">
        <v>298</v>
      </c>
      <c r="AC7" s="18">
        <v>993</v>
      </c>
    </row>
    <row r="8" spans="1:29" ht="15.6" x14ac:dyDescent="0.3">
      <c r="A8" s="7" t="s">
        <v>29</v>
      </c>
      <c r="B8" s="8">
        <v>4.5999999999999999E-2</v>
      </c>
      <c r="C8" s="9" t="s">
        <v>22</v>
      </c>
      <c r="D8" s="10">
        <v>298</v>
      </c>
      <c r="E8" s="10">
        <v>101325</v>
      </c>
      <c r="F8" s="11">
        <v>-235100</v>
      </c>
      <c r="G8" s="11">
        <f t="shared" si="0"/>
        <v>-223.52348993288589</v>
      </c>
      <c r="H8" s="11">
        <v>-168490</v>
      </c>
      <c r="I8" s="12">
        <v>3.5179999999999998</v>
      </c>
      <c r="J8" s="10">
        <v>20.001000000000001</v>
      </c>
      <c r="K8" s="10">
        <v>-6.0019999999999998</v>
      </c>
      <c r="L8" s="13">
        <v>0</v>
      </c>
      <c r="M8" s="14" t="s">
        <v>23</v>
      </c>
      <c r="N8" s="14">
        <v>298</v>
      </c>
      <c r="O8" s="14">
        <v>101325</v>
      </c>
      <c r="P8" s="14">
        <v>-277690</v>
      </c>
      <c r="Q8" s="14">
        <f>(P8-R8)/D3</f>
        <v>-345.33557046979865</v>
      </c>
      <c r="R8" s="14">
        <v>-174780</v>
      </c>
      <c r="S8" s="15">
        <v>33.866</v>
      </c>
      <c r="T8" s="14">
        <v>-172.6</v>
      </c>
      <c r="U8" s="14">
        <v>349.17</v>
      </c>
      <c r="V8" s="16">
        <v>0</v>
      </c>
      <c r="W8" s="14">
        <f>16.8969+LN(1000)</f>
        <v>23.804655278982136</v>
      </c>
      <c r="X8" s="14">
        <v>3803.98</v>
      </c>
      <c r="Y8" s="14">
        <v>-41.68</v>
      </c>
      <c r="Z8" s="14">
        <v>369</v>
      </c>
      <c r="AA8" s="14">
        <v>270</v>
      </c>
      <c r="AB8" s="18">
        <v>298</v>
      </c>
      <c r="AC8" s="18">
        <v>785.1</v>
      </c>
    </row>
    <row r="9" spans="1:29" ht="15.6" x14ac:dyDescent="0.3">
      <c r="A9" s="7" t="s">
        <v>30</v>
      </c>
      <c r="B9" s="8">
        <f>(12*6+6)/1000</f>
        <v>7.8E-2</v>
      </c>
      <c r="C9" s="9" t="s">
        <v>22</v>
      </c>
      <c r="D9" s="10">
        <v>298</v>
      </c>
      <c r="E9" s="10">
        <v>101325</v>
      </c>
      <c r="F9" s="11">
        <v>82930</v>
      </c>
      <c r="G9" s="11">
        <f t="shared" si="0"/>
        <v>-156.82885906040269</v>
      </c>
      <c r="H9" s="11">
        <v>129665</v>
      </c>
      <c r="I9" s="12">
        <v>-0.20599999999999999</v>
      </c>
      <c r="J9" s="10">
        <v>39.064</v>
      </c>
      <c r="K9" s="10">
        <v>-13.301</v>
      </c>
      <c r="L9" s="13">
        <v>0</v>
      </c>
      <c r="M9" s="14" t="s">
        <v>23</v>
      </c>
      <c r="N9" s="14">
        <v>298</v>
      </c>
      <c r="O9" s="14">
        <v>101325</v>
      </c>
      <c r="P9" s="14">
        <v>49080</v>
      </c>
      <c r="Q9" s="14">
        <f>(P9-R9)/D4</f>
        <v>-253.15436241610738</v>
      </c>
      <c r="R9" s="14">
        <v>124520</v>
      </c>
      <c r="S9" s="15">
        <v>-0.747</v>
      </c>
      <c r="T9" s="14">
        <v>67.959999999999994</v>
      </c>
      <c r="U9" s="14">
        <v>37.78</v>
      </c>
      <c r="V9" s="16">
        <v>0</v>
      </c>
      <c r="W9" s="14">
        <f>13.8858+LN(1000)</f>
        <v>20.793555278982137</v>
      </c>
      <c r="X9" s="14">
        <v>2788.51</v>
      </c>
      <c r="Y9" s="14">
        <v>-52.36</v>
      </c>
      <c r="Z9" s="14">
        <v>377</v>
      </c>
      <c r="AA9" s="14">
        <v>288</v>
      </c>
      <c r="AB9" s="14">
        <v>298</v>
      </c>
      <c r="AC9" s="14">
        <v>873</v>
      </c>
    </row>
    <row r="10" spans="1:29" ht="15.6" x14ac:dyDescent="0.3">
      <c r="A10" s="7" t="s">
        <v>31</v>
      </c>
      <c r="B10" s="8">
        <f>(92.14)/1000</f>
        <v>9.214E-2</v>
      </c>
      <c r="C10" s="9" t="s">
        <v>22</v>
      </c>
      <c r="D10" s="10">
        <v>298</v>
      </c>
      <c r="E10" s="10">
        <v>101325</v>
      </c>
      <c r="F10" s="11">
        <v>50170</v>
      </c>
      <c r="G10" s="11">
        <f t="shared" si="0"/>
        <v>-241.20805369127515</v>
      </c>
      <c r="H10" s="11">
        <v>122050</v>
      </c>
      <c r="I10" s="12">
        <v>0.28999999999999998</v>
      </c>
      <c r="J10" s="10">
        <v>47.052</v>
      </c>
      <c r="K10" s="10">
        <v>-15.715999999999999</v>
      </c>
      <c r="L10" s="13">
        <v>0</v>
      </c>
      <c r="M10" s="14" t="s">
        <v>23</v>
      </c>
      <c r="N10" s="14">
        <v>298</v>
      </c>
      <c r="O10" s="14">
        <v>101325</v>
      </c>
      <c r="P10" s="14">
        <v>12180</v>
      </c>
      <c r="Q10" s="14">
        <f>(P10-R10)/D5</f>
        <v>-340.43624161073825</v>
      </c>
      <c r="R10" s="14">
        <v>113630</v>
      </c>
      <c r="S10" s="15">
        <v>15.132999999999999</v>
      </c>
      <c r="T10" s="14">
        <v>137.08000000000001</v>
      </c>
      <c r="U10" s="14">
        <v>-84.73</v>
      </c>
      <c r="V10" s="16">
        <v>0</v>
      </c>
      <c r="W10" s="14">
        <f>13.9987+LN(1000)</f>
        <v>20.906455278982136</v>
      </c>
      <c r="X10" s="14">
        <v>3096.52</v>
      </c>
      <c r="Y10" s="14">
        <v>-53.67</v>
      </c>
      <c r="Z10" s="14">
        <v>410</v>
      </c>
      <c r="AA10" s="14">
        <v>280</v>
      </c>
      <c r="AB10" s="18">
        <f>20+273</f>
        <v>293</v>
      </c>
      <c r="AC10" s="14">
        <v>867</v>
      </c>
    </row>
    <row r="11" spans="1:29" ht="15.6" x14ac:dyDescent="0.3">
      <c r="A11" s="8" t="s">
        <v>32</v>
      </c>
      <c r="B11" s="8">
        <f>2/1000</f>
        <v>2E-3</v>
      </c>
      <c r="C11" s="9" t="s">
        <v>22</v>
      </c>
      <c r="D11" s="10">
        <v>298</v>
      </c>
      <c r="E11" s="10">
        <v>101325</v>
      </c>
      <c r="F11" s="11">
        <v>0</v>
      </c>
      <c r="G11" s="11">
        <f t="shared" si="0"/>
        <v>0</v>
      </c>
      <c r="H11" s="11">
        <v>0</v>
      </c>
      <c r="I11" s="12">
        <v>3.2490000000000001</v>
      </c>
      <c r="J11" s="10">
        <v>0.42199999999999999</v>
      </c>
      <c r="K11" s="10">
        <v>0</v>
      </c>
      <c r="L11" s="13">
        <v>8.3000000000000004E-2</v>
      </c>
      <c r="M11" s="14" t="s">
        <v>23</v>
      </c>
      <c r="N11" s="21"/>
      <c r="O11" s="21"/>
      <c r="P11" s="21"/>
      <c r="Q11" s="21"/>
      <c r="R11" s="21"/>
      <c r="S11" s="22"/>
      <c r="T11" s="21"/>
      <c r="U11" s="21"/>
      <c r="V11" s="23"/>
      <c r="W11" s="21"/>
      <c r="X11" s="21"/>
      <c r="Y11" s="21"/>
      <c r="Z11" s="21"/>
      <c r="AA11" s="21"/>
      <c r="AB11" s="24"/>
      <c r="AC11" s="24"/>
    </row>
    <row r="12" spans="1:29" ht="15.6" x14ac:dyDescent="0.3">
      <c r="A12" s="8" t="s">
        <v>33</v>
      </c>
      <c r="B12" s="8">
        <f>28/1000</f>
        <v>2.8000000000000001E-2</v>
      </c>
      <c r="C12" s="9" t="s">
        <v>22</v>
      </c>
      <c r="D12" s="10">
        <v>298</v>
      </c>
      <c r="E12" s="10">
        <v>101325</v>
      </c>
      <c r="F12" s="11">
        <v>-110535</v>
      </c>
      <c r="G12" s="11">
        <v>89.71</v>
      </c>
      <c r="H12" s="11">
        <f>F12-D12*G12</f>
        <v>-137268.57999999999</v>
      </c>
      <c r="I12" s="12">
        <v>3.3759999999999999</v>
      </c>
      <c r="J12" s="10">
        <v>0.55700000000000005</v>
      </c>
      <c r="K12" s="10">
        <v>0</v>
      </c>
      <c r="L12" s="13">
        <v>-3.1E-2</v>
      </c>
      <c r="M12" s="14" t="s">
        <v>23</v>
      </c>
      <c r="N12" s="21"/>
      <c r="O12" s="21"/>
      <c r="P12" s="21"/>
      <c r="Q12" s="21"/>
      <c r="R12" s="21"/>
      <c r="S12" s="22"/>
      <c r="T12" s="21"/>
      <c r="U12" s="21"/>
      <c r="V12" s="23"/>
      <c r="W12" s="21"/>
      <c r="X12" s="21"/>
      <c r="Y12" s="21"/>
      <c r="Z12" s="25"/>
      <c r="AA12" s="25"/>
      <c r="AB12" s="24"/>
      <c r="AC12" s="24"/>
    </row>
    <row r="13" spans="1:29" ht="15.6" x14ac:dyDescent="0.3">
      <c r="A13" s="7" t="s">
        <v>34</v>
      </c>
      <c r="B13" s="7">
        <v>2.8000000000000001E-2</v>
      </c>
      <c r="C13" s="9" t="s">
        <v>22</v>
      </c>
      <c r="D13" s="10">
        <v>298</v>
      </c>
      <c r="E13" s="10">
        <v>101325</v>
      </c>
      <c r="F13" s="11">
        <v>0</v>
      </c>
      <c r="G13" s="11">
        <f t="shared" si="0"/>
        <v>0</v>
      </c>
      <c r="H13" s="11">
        <v>0</v>
      </c>
      <c r="I13" s="12">
        <v>3.28</v>
      </c>
      <c r="J13" s="10">
        <v>0.59299999999999997</v>
      </c>
      <c r="K13" s="10">
        <v>0</v>
      </c>
      <c r="L13" s="13">
        <v>0.04</v>
      </c>
      <c r="M13" s="14" t="s">
        <v>23</v>
      </c>
      <c r="N13" s="21"/>
      <c r="O13" s="21"/>
      <c r="P13" s="21"/>
      <c r="Q13" s="21"/>
      <c r="R13" s="21"/>
      <c r="S13" s="22"/>
      <c r="T13" s="21"/>
      <c r="U13" s="21"/>
      <c r="V13" s="23"/>
      <c r="W13" s="21"/>
      <c r="X13" s="21"/>
      <c r="Y13" s="21"/>
      <c r="Z13" s="25"/>
      <c r="AA13" s="25"/>
      <c r="AB13" s="24"/>
      <c r="AC13" s="24"/>
    </row>
    <row r="14" spans="1:29" ht="15.6" x14ac:dyDescent="0.3">
      <c r="A14" s="8" t="s">
        <v>35</v>
      </c>
      <c r="B14" s="19">
        <v>4.3999999999999997E-2</v>
      </c>
      <c r="C14" s="9" t="s">
        <v>22</v>
      </c>
      <c r="D14" s="10">
        <v>298</v>
      </c>
      <c r="E14" s="10">
        <v>101325</v>
      </c>
      <c r="F14" s="11">
        <v>-393509</v>
      </c>
      <c r="G14" s="11">
        <v>2.2810000000000001</v>
      </c>
      <c r="H14" s="11">
        <f>F14-D14*G14</f>
        <v>-394188.73800000001</v>
      </c>
      <c r="I14" s="12">
        <v>5.4569999999999999</v>
      </c>
      <c r="J14" s="10">
        <v>1.0449999999999999</v>
      </c>
      <c r="K14" s="10">
        <v>0</v>
      </c>
      <c r="L14" s="13">
        <v>-1.157</v>
      </c>
      <c r="M14" s="14" t="s">
        <v>23</v>
      </c>
      <c r="N14" s="21"/>
      <c r="O14" s="21"/>
      <c r="P14" s="21"/>
      <c r="Q14" s="21"/>
      <c r="R14" s="21"/>
      <c r="S14" s="22"/>
      <c r="T14" s="21"/>
      <c r="U14" s="21"/>
      <c r="V14" s="23"/>
      <c r="W14" s="21"/>
      <c r="X14" s="21"/>
      <c r="Y14" s="21"/>
      <c r="Z14" s="25"/>
      <c r="AA14" s="25"/>
      <c r="AB14" s="24"/>
      <c r="AC14" s="24"/>
    </row>
    <row r="15" spans="1:29" ht="31.2" x14ac:dyDescent="0.3">
      <c r="A15" s="26" t="s">
        <v>36</v>
      </c>
      <c r="B15" s="19">
        <v>8.4159999999999999E-2</v>
      </c>
      <c r="C15" s="9" t="s">
        <v>22</v>
      </c>
      <c r="D15" s="10">
        <v>298</v>
      </c>
      <c r="E15" s="10">
        <v>101325</v>
      </c>
      <c r="F15" s="11">
        <v>-123140</v>
      </c>
      <c r="G15" s="11">
        <f t="shared" si="0"/>
        <v>-520.33557046979865</v>
      </c>
      <c r="H15" s="11">
        <v>31920</v>
      </c>
      <c r="I15" s="12">
        <v>-3.8759999999999999</v>
      </c>
      <c r="J15" s="10">
        <f>63.2491</f>
        <v>63.249099999999999</v>
      </c>
      <c r="K15" s="10">
        <f>-0.000020928*1000000</f>
        <v>-20.928000000000001</v>
      </c>
      <c r="L15" s="13">
        <v>0</v>
      </c>
      <c r="M15" s="14" t="s">
        <v>23</v>
      </c>
      <c r="N15" s="14">
        <v>298</v>
      </c>
      <c r="O15" s="14">
        <v>101325</v>
      </c>
      <c r="P15" s="14">
        <v>-156230</v>
      </c>
      <c r="Q15" s="14">
        <f>(P15-R15)/D10</f>
        <v>-614.3624161073825</v>
      </c>
      <c r="R15" s="14">
        <v>26850</v>
      </c>
      <c r="S15" s="15">
        <v>-9.048</v>
      </c>
      <c r="T15" s="14">
        <f>0.14138*1000</f>
        <v>141.38</v>
      </c>
      <c r="U15" s="14">
        <f>-0.00016162*1000000</f>
        <v>-161.61999999999998</v>
      </c>
      <c r="V15" s="16">
        <v>0</v>
      </c>
      <c r="W15" s="14">
        <f>13.7377+LN(1000)</f>
        <v>20.645455278982137</v>
      </c>
      <c r="X15" s="14">
        <v>2766.63</v>
      </c>
      <c r="Y15" s="14">
        <v>-50.5</v>
      </c>
      <c r="Z15" s="14">
        <v>380</v>
      </c>
      <c r="AA15" s="14">
        <v>280</v>
      </c>
      <c r="AB15" s="18">
        <f>20+273</f>
        <v>293</v>
      </c>
      <c r="AC15" s="18">
        <v>779</v>
      </c>
    </row>
    <row r="16" spans="1:29" ht="15.6" x14ac:dyDescent="0.3">
      <c r="A16" s="27" t="s">
        <v>37</v>
      </c>
      <c r="B16" s="19">
        <v>3.2039999999999999E-2</v>
      </c>
      <c r="C16" s="9" t="s">
        <v>22</v>
      </c>
      <c r="D16" s="10">
        <v>298</v>
      </c>
      <c r="E16" s="10">
        <v>101325</v>
      </c>
      <c r="F16" s="11">
        <v>-200660</v>
      </c>
      <c r="G16" s="11">
        <f t="shared" si="0"/>
        <v>-129.86577181208054</v>
      </c>
      <c r="H16" s="11">
        <v>-161960</v>
      </c>
      <c r="I16" s="12">
        <v>2.2109999999999999</v>
      </c>
      <c r="J16" s="10">
        <f>1000*0.012216</f>
        <v>12.215999999999999</v>
      </c>
      <c r="K16" s="10">
        <f>-0.00000345*1000000</f>
        <v>-3.45</v>
      </c>
      <c r="L16" s="13">
        <v>0</v>
      </c>
      <c r="M16" s="14" t="s">
        <v>23</v>
      </c>
      <c r="N16" s="14">
        <v>298</v>
      </c>
      <c r="O16" s="14">
        <v>101325</v>
      </c>
      <c r="P16" s="14">
        <v>-238660</v>
      </c>
      <c r="Q16" s="14">
        <f>(P16-R16)/D11</f>
        <v>-242.91946308724832</v>
      </c>
      <c r="R16" s="14">
        <v>-166270</v>
      </c>
      <c r="S16" s="15">
        <v>13.430999999999999</v>
      </c>
      <c r="T16" s="14">
        <f>-0.05128*1000</f>
        <v>-51.28</v>
      </c>
      <c r="U16" s="14">
        <f>0.00013113*1000000</f>
        <v>131.13</v>
      </c>
      <c r="V16" s="16">
        <v>0</v>
      </c>
      <c r="W16" s="14">
        <f>16.5725+LN(1000)</f>
        <v>23.480255278982138</v>
      </c>
      <c r="X16" s="14">
        <v>3626.55</v>
      </c>
      <c r="Y16" s="14">
        <v>-34.29</v>
      </c>
      <c r="Z16" s="14">
        <v>364</v>
      </c>
      <c r="AA16" s="14">
        <v>257</v>
      </c>
      <c r="AB16" s="18">
        <f>20+273</f>
        <v>293</v>
      </c>
      <c r="AC16" s="18">
        <v>791</v>
      </c>
    </row>
    <row r="17" spans="1:29" ht="15.6" x14ac:dyDescent="0.3">
      <c r="A17" s="28" t="s">
        <v>38</v>
      </c>
      <c r="B17" s="19">
        <f>(6*12+14)*0.001</f>
        <v>8.6000000000000007E-2</v>
      </c>
      <c r="C17" s="9" t="s">
        <v>22</v>
      </c>
      <c r="D17" s="10">
        <v>298</v>
      </c>
      <c r="E17" s="29"/>
      <c r="F17" s="29"/>
      <c r="G17" s="29"/>
      <c r="H17" s="29"/>
      <c r="I17" s="30"/>
      <c r="J17" s="29"/>
      <c r="K17" s="29"/>
      <c r="L17" s="31"/>
      <c r="M17" s="14" t="s">
        <v>23</v>
      </c>
      <c r="N17" s="14">
        <v>298</v>
      </c>
      <c r="O17" s="18"/>
      <c r="P17" s="18"/>
      <c r="Q17" s="18"/>
      <c r="R17" s="18"/>
      <c r="S17" s="32"/>
      <c r="T17" s="18"/>
      <c r="U17" s="18"/>
      <c r="V17" s="33"/>
      <c r="W17" s="14">
        <f>13.8216+LN(1000)</f>
        <v>20.729355278982137</v>
      </c>
      <c r="X17" s="18">
        <v>2697.55</v>
      </c>
      <c r="Y17" s="18">
        <v>-48.78</v>
      </c>
      <c r="Z17" s="18">
        <v>370</v>
      </c>
      <c r="AA17" s="18">
        <v>275</v>
      </c>
      <c r="AB17" s="18">
        <v>298</v>
      </c>
      <c r="AC17" s="18">
        <v>654.79999999999995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2022-04-27T17:32:42Z</dcterms:created>
  <dcterms:modified xsi:type="dcterms:W3CDTF">2022-04-27T17:33:10Z</dcterms:modified>
</cp:coreProperties>
</file>