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health-my.sharepoint.com/personal/amanda_fernandes_microhealthllc_com/Documents/Documents/Amanda/Studying/"/>
    </mc:Choice>
  </mc:AlternateContent>
  <xr:revisionPtr revIDLastSave="373" documentId="8_{BEED31E5-8173-4C32-B452-AD86E2DAD8B5}" xr6:coauthVersionLast="47" xr6:coauthVersionMax="47" xr10:uidLastSave="{9E53918D-407A-4880-A7D1-71D219D378F9}"/>
  <bookViews>
    <workbookView xWindow="-120" yWindow="-120" windowWidth="29040" windowHeight="15840" firstSheet="4" activeTab="8" xr2:uid="{BD49504F-C187-41E5-BA97-DE86EA7FB841}"/>
  </bookViews>
  <sheets>
    <sheet name="Poohsticks" sheetId="1" r:id="rId1"/>
    <sheet name="Playground" sheetId="2" r:id="rId2"/>
    <sheet name="Bob the Builder" sheetId="3" r:id="rId3"/>
    <sheet name="Holiday" sheetId="4" r:id="rId4"/>
    <sheet name="Cars - Main List" sheetId="6" r:id="rId5"/>
    <sheet name="Cars Tax Lookup Table" sheetId="7" r:id="rId6"/>
    <sheet name="Staff Bonus" sheetId="8" r:id="rId7"/>
    <sheet name="Library" sheetId="9" r:id="rId8"/>
    <sheet name="Widget Sales" sheetId="10" r:id="rId9"/>
    <sheet name="Teletubbies Coffee" sheetId="11" r:id="rId10"/>
    <sheet name="Curry" sheetId="12" r:id="rId11"/>
    <sheet name="Dog Jacket" sheetId="13" r:id="rId12"/>
    <sheet name="Truck Shop Class 5T" sheetId="14" r:id="rId13"/>
    <sheet name="Music Exams" sheetId="15" r:id="rId14"/>
    <sheet name="Catalogue" sheetId="16" r:id="rId15"/>
  </sheets>
  <definedNames>
    <definedName name="_xlnm._FilterDatabase" localSheetId="13" hidden="1">'Music Exams'!$A$3:$F$23</definedName>
    <definedName name="BasePrices">Holiday!$C$7:$D$17</definedName>
    <definedName name="BonusLookup">'Staff Bonus'!$E$4:$F$9</definedName>
    <definedName name="center">'Music Exams'!$D$4:$D$23</definedName>
    <definedName name="checks_lookup">Playground!$A$3:$G$16</definedName>
    <definedName name="Code">Catalogue!$H$3</definedName>
    <definedName name="coffeeLookup">'Teletubbies Coffee'!$F$3:$G$6</definedName>
    <definedName name="cupsOCoffee">'Teletubbies Coffee'!$C$3:$C$9</definedName>
    <definedName name="Customers">'Staff Bonus'!$B$4:$B$13</definedName>
    <definedName name="Destination">Holiday!$K$6</definedName>
    <definedName name="DiscountLookup">'Truck Shop Class 5T'!$H$5:$I$11</definedName>
    <definedName name="DogNeck">'Dog Jacket'!$B$4:$B$17</definedName>
    <definedName name="Emissions">'Cars - Main List'!$E$4:$E$18</definedName>
    <definedName name="ExamData">'Music Exams'!$A$4:$F$23</definedName>
    <definedName name="ExamLookup">'Music Exams'!$H$4:$N$5</definedName>
    <definedName name="Hours">'Bob the Builder'!$D$6:$D$16</definedName>
    <definedName name="isbn">Library!$B$18</definedName>
    <definedName name="jacketLookup">'Dog Jacket'!$E$5:$F$11</definedName>
    <definedName name="Large">'Dog Jacket'!$F$5</definedName>
    <definedName name="Largest">'Dog Jacket'!$F$4</definedName>
    <definedName name="LibraryData">Library!$A$4:$G$15</definedName>
    <definedName name="lookup">Poohsticks!$G$2:$H$6</definedName>
    <definedName name="Medium">'Dog Jacket'!$F$6</definedName>
    <definedName name="Multipliers">Holiday!$F$7:$G$11</definedName>
    <definedName name="pricelookup">'Widget Sales'!$G$4:$H$7</definedName>
    <definedName name="pupil">'Music Exams'!$B$26</definedName>
    <definedName name="quantity">'Widget Sales'!$D$4:$D$10</definedName>
    <definedName name="Rates">'Bob the Builder'!$E$6:$E$16</definedName>
    <definedName name="ratestable">'Bob the Builder'!$H$6:$I$9</definedName>
    <definedName name="rating">Curry!$B$4:$B$19</definedName>
    <definedName name="ratinglookup">Curry!$E$4:$F$10</definedName>
    <definedName name="scores">Poohsticks!$D$3:$D$11</definedName>
    <definedName name="search_item">Playground!$B$18</definedName>
    <definedName name="Small">'Dog Jacket'!$F$7</definedName>
    <definedName name="Stock">Catalogue!$B$4:$E$12</definedName>
    <definedName name="TaxTable">'Cars Tax Lookup Table'!$A$2:$D$8</definedName>
    <definedName name="TaxTableHeaders">'Cars Tax Lookup Table'!$A$1:$D$1</definedName>
    <definedName name="Threshold_1">'Dog Jacket'!$F$9</definedName>
    <definedName name="Threshold_2">'Dog Jacket'!$F$10</definedName>
    <definedName name="Threshold_3">'Dog Jacket'!$F$11</definedName>
    <definedName name="truckqty">'Truck Shop Class 5T'!$C$4:$C$15</definedName>
    <definedName name="Type">Holiday!$K$7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4" l="1"/>
  <c r="E6" i="14"/>
  <c r="E7" i="14"/>
  <c r="E8" i="14"/>
  <c r="E9" i="14"/>
  <c r="E10" i="14"/>
  <c r="E11" i="14"/>
  <c r="E12" i="14"/>
  <c r="E13" i="14"/>
  <c r="E14" i="14"/>
  <c r="E15" i="14"/>
  <c r="E4" i="14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4" i="12"/>
  <c r="E5" i="10"/>
  <c r="E6" i="10"/>
  <c r="E7" i="10"/>
  <c r="E8" i="10"/>
  <c r="E9" i="10"/>
  <c r="E10" i="10"/>
  <c r="E4" i="10"/>
  <c r="C4" i="13" a="1"/>
  <c r="C4" i="13" s="1"/>
  <c r="B31" i="15"/>
  <c r="B30" i="15"/>
  <c r="B29" i="15"/>
  <c r="B28" i="15"/>
  <c r="B27" i="15"/>
  <c r="E4" i="15" a="1"/>
  <c r="E4" i="15" s="1"/>
  <c r="B20" i="9"/>
  <c r="B19" i="9"/>
  <c r="H6" i="16"/>
  <c r="H5" i="16"/>
  <c r="H4" i="16"/>
  <c r="D3" i="11" a="1"/>
  <c r="D3" i="11" s="1"/>
  <c r="C16" i="14"/>
  <c r="B16" i="14"/>
  <c r="D15" i="14"/>
  <c r="F15" i="14" s="1"/>
  <c r="D14" i="14"/>
  <c r="F14" i="14" s="1"/>
  <c r="D13" i="14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D4" i="14"/>
  <c r="F13" i="14" l="1"/>
  <c r="F5" i="14"/>
  <c r="E16" i="14"/>
  <c r="F4" i="14"/>
  <c r="F15" i="9"/>
  <c r="F14" i="9"/>
  <c r="F13" i="9"/>
  <c r="F12" i="9"/>
  <c r="F11" i="9"/>
  <c r="F10" i="9"/>
  <c r="F9" i="9"/>
  <c r="F8" i="9"/>
  <c r="F7" i="9"/>
  <c r="B21" i="9" s="1"/>
  <c r="F6" i="9"/>
  <c r="F5" i="9"/>
  <c r="F4" i="9"/>
  <c r="I1" i="9"/>
  <c r="F16" i="14" l="1"/>
  <c r="G11" i="9"/>
  <c r="G12" i="9"/>
  <c r="G4" i="9"/>
  <c r="G5" i="9"/>
  <c r="G13" i="9"/>
  <c r="G9" i="9"/>
  <c r="G14" i="9"/>
  <c r="G8" i="9"/>
  <c r="G10" i="9"/>
  <c r="G6" i="9"/>
  <c r="G7" i="9"/>
  <c r="G15" i="9"/>
  <c r="C5" i="8"/>
  <c r="C6" i="8"/>
  <c r="C7" i="8"/>
  <c r="C8" i="8"/>
  <c r="C9" i="8"/>
  <c r="C10" i="8"/>
  <c r="C11" i="8"/>
  <c r="C12" i="8"/>
  <c r="C13" i="8"/>
  <c r="C4" i="8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4" i="6"/>
  <c r="K9" i="4"/>
  <c r="K8" i="4"/>
  <c r="B19" i="2"/>
  <c r="F7" i="3"/>
  <c r="F8" i="3"/>
  <c r="F9" i="3"/>
  <c r="F10" i="3"/>
  <c r="F11" i="3"/>
  <c r="F12" i="3"/>
  <c r="F13" i="3"/>
  <c r="F14" i="3"/>
  <c r="F15" i="3"/>
  <c r="F16" i="3"/>
  <c r="F6" i="3"/>
  <c r="E4" i="1"/>
  <c r="E5" i="1"/>
  <c r="E6" i="1"/>
  <c r="E7" i="1"/>
  <c r="E8" i="1"/>
  <c r="E9" i="1"/>
  <c r="E10" i="1"/>
  <c r="E11" i="1"/>
  <c r="E3" i="1"/>
  <c r="B24" i="2"/>
  <c r="B23" i="2"/>
  <c r="B22" i="2"/>
  <c r="B21" i="2"/>
  <c r="B20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B22" i="9" l="1"/>
  <c r="K10" i="4"/>
  <c r="F1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<sst xmlns="http://schemas.openxmlformats.org/spreadsheetml/2006/main" count="559" uniqueCount="458">
  <si>
    <t>Name</t>
  </si>
  <si>
    <t>Animal</t>
  </si>
  <si>
    <t>Poohsticks score</t>
  </si>
  <si>
    <t>Rating</t>
  </si>
  <si>
    <t>Eeyore</t>
  </si>
  <si>
    <t>Mammal</t>
  </si>
  <si>
    <t>Create a lookup table containing scores and ratings based on the following categories:</t>
  </si>
  <si>
    <t>Pooh</t>
  </si>
  <si>
    <t>Kanga</t>
  </si>
  <si>
    <t>Marsupial</t>
  </si>
  <si>
    <t>0 - 4        =    Pooh</t>
  </si>
  <si>
    <t>Could do better</t>
  </si>
  <si>
    <t>Pooh Bear</t>
  </si>
  <si>
    <t>5 - 9        =    Could do better</t>
  </si>
  <si>
    <t>Doing Better</t>
  </si>
  <si>
    <t>Rabbit</t>
  </si>
  <si>
    <t>Rodent</t>
  </si>
  <si>
    <t>10 - 14    =    Doing better</t>
  </si>
  <si>
    <t>Tiggerific</t>
  </si>
  <si>
    <t>Christopher Robin</t>
  </si>
  <si>
    <t>15 or more    =    Tiggerific</t>
  </si>
  <si>
    <t>Roo</t>
  </si>
  <si>
    <t>Wol</t>
  </si>
  <si>
    <t>Bird</t>
  </si>
  <si>
    <t>Piglet</t>
  </si>
  <si>
    <t>Tigger</t>
  </si>
  <si>
    <t>Playground Safety Checks</t>
  </si>
  <si>
    <t>Site Code</t>
  </si>
  <si>
    <t>Site Location</t>
  </si>
  <si>
    <t>Swings</t>
  </si>
  <si>
    <t>Slides</t>
  </si>
  <si>
    <t>Rocker</t>
  </si>
  <si>
    <t>Climbing Frame</t>
  </si>
  <si>
    <t>Overall Result</t>
  </si>
  <si>
    <t>B55/871</t>
  </si>
  <si>
    <t>Beaufort Gardens</t>
  </si>
  <si>
    <t>B92/756</t>
  </si>
  <si>
    <t>Church Fold</t>
  </si>
  <si>
    <t>B66/997</t>
  </si>
  <si>
    <t>Emily Lane</t>
  </si>
  <si>
    <t>B81/222</t>
  </si>
  <si>
    <t>Grange Avenue</t>
  </si>
  <si>
    <t>B54/871</t>
  </si>
  <si>
    <t>Howards Park</t>
  </si>
  <si>
    <t>B55/993</t>
  </si>
  <si>
    <t>Poppy Close</t>
  </si>
  <si>
    <t>B92/771</t>
  </si>
  <si>
    <t>Ribble Gardens</t>
  </si>
  <si>
    <t>B11/134</t>
  </si>
  <si>
    <t>Rivington Drive</t>
  </si>
  <si>
    <t>B54/889</t>
  </si>
  <si>
    <t>Leyton Drive</t>
  </si>
  <si>
    <t>B81/156</t>
  </si>
  <si>
    <t>Gibble Gabble</t>
  </si>
  <si>
    <t>B81/157</t>
  </si>
  <si>
    <t>Langley Road</t>
  </si>
  <si>
    <t>B92/755</t>
  </si>
  <si>
    <t>Arlington Close</t>
  </si>
  <si>
    <t>B11/234</t>
  </si>
  <si>
    <t>Flowery Fields</t>
  </si>
  <si>
    <t>Site Code:</t>
  </si>
  <si>
    <t>&lt;--- Change Code here</t>
  </si>
  <si>
    <t>Location:</t>
  </si>
  <si>
    <t>Swings:</t>
  </si>
  <si>
    <t>Slides:</t>
  </si>
  <si>
    <t>Rocker:</t>
  </si>
  <si>
    <t>C/Frame:</t>
  </si>
  <si>
    <t>Overall:</t>
  </si>
  <si>
    <t>Bob the Dodgy Builder - Charge Sheet</t>
  </si>
  <si>
    <t>Item</t>
  </si>
  <si>
    <t>Hours</t>
  </si>
  <si>
    <t>Rate</t>
  </si>
  <si>
    <t>Total</t>
  </si>
  <si>
    <t>Rates</t>
  </si>
  <si>
    <t>Removing old plaster</t>
  </si>
  <si>
    <t>Standard</t>
  </si>
  <si>
    <t>Brew time</t>
  </si>
  <si>
    <t>Overtime</t>
  </si>
  <si>
    <t>Preparing walls</t>
  </si>
  <si>
    <t>Weekend</t>
  </si>
  <si>
    <t>Wkend OT</t>
  </si>
  <si>
    <t>Plastering walls</t>
  </si>
  <si>
    <t>Accidentally knocking off some new plaster</t>
  </si>
  <si>
    <t>Replastering bits knocked off</t>
  </si>
  <si>
    <t>Skimming</t>
  </si>
  <si>
    <t>Clear up</t>
  </si>
  <si>
    <t>Labour total</t>
  </si>
  <si>
    <t>Create the following range names:</t>
  </si>
  <si>
    <t>RatesTable - referring to H6:I9</t>
  </si>
  <si>
    <t>Hours - referring to D6:D16</t>
  </si>
  <si>
    <t>Rates - referring to E6:E16</t>
  </si>
  <si>
    <t>Use a Vlookup function in a formula to calculate the total for each item.</t>
  </si>
  <si>
    <r>
      <t>When Excel finds the code in column </t>
    </r>
    <r>
      <rPr>
        <b/>
        <sz val="12"/>
        <color rgb="FF666666"/>
        <rFont val="Open Sans"/>
        <family val="2"/>
      </rPr>
      <t>A</t>
    </r>
    <r>
      <rPr>
        <sz val="12"/>
        <color rgb="FF666666"/>
        <rFont val="Open Sans"/>
        <family val="2"/>
      </rPr>
      <t> that exactly matches the code in cell </t>
    </r>
    <r>
      <rPr>
        <b/>
        <sz val="12"/>
        <color rgb="FF666666"/>
        <rFont val="Open Sans"/>
        <family val="2"/>
      </rPr>
      <t>B18</t>
    </r>
    <r>
      <rPr>
        <sz val="12"/>
        <color rgb="FF666666"/>
        <rFont val="Open Sans"/>
        <family val="2"/>
      </rPr>
      <t>, we want Excel to complete cells </t>
    </r>
    <r>
      <rPr>
        <b/>
        <sz val="12"/>
        <color rgb="FF666666"/>
        <rFont val="Open Sans"/>
        <family val="2"/>
      </rPr>
      <t>B19:B24</t>
    </r>
    <r>
      <rPr>
        <sz val="12"/>
        <color rgb="FF666666"/>
        <rFont val="Open Sans"/>
        <family val="2"/>
      </rPr>
      <t> with the correct information for that site:</t>
    </r>
  </si>
  <si>
    <r>
      <t>First create a range name for all the data in your main spreadsheet table (</t>
    </r>
    <r>
      <rPr>
        <b/>
        <sz val="11"/>
        <color rgb="FF666666"/>
        <rFont val="Open Sans"/>
        <family val="2"/>
      </rPr>
      <t>A4:G16</t>
    </r>
    <r>
      <rPr>
        <sz val="11"/>
        <color rgb="FF666666"/>
        <rFont val="Open Sans"/>
        <family val="2"/>
      </rPr>
      <t>).</t>
    </r>
  </si>
  <si>
    <r>
      <t>Also create a range name for cell </t>
    </r>
    <r>
      <rPr>
        <b/>
        <sz val="11"/>
        <color rgb="FF666666"/>
        <rFont val="Open Sans"/>
        <family val="2"/>
      </rPr>
      <t>B18</t>
    </r>
    <r>
      <rPr>
        <sz val="11"/>
        <color rgb="FF666666"/>
        <rFont val="Open Sans"/>
        <family val="2"/>
      </rPr>
      <t> where you will keep changing the site code.</t>
    </r>
  </si>
  <si>
    <r>
      <t>In cell </t>
    </r>
    <r>
      <rPr>
        <b/>
        <sz val="11"/>
        <color rgb="FF666666"/>
        <rFont val="Open Sans"/>
        <family val="2"/>
      </rPr>
      <t>B19</t>
    </r>
    <r>
      <rPr>
        <sz val="11"/>
        <color rgb="FF666666"/>
        <rFont val="Open Sans"/>
        <family val="2"/>
      </rPr>
      <t> create an exact match lookup formula to return the site location from column </t>
    </r>
    <r>
      <rPr>
        <b/>
        <sz val="11"/>
        <color rgb="FF666666"/>
        <rFont val="Open Sans"/>
        <family val="2"/>
      </rPr>
      <t>B</t>
    </r>
    <r>
      <rPr>
        <sz val="11"/>
        <color rgb="FF666666"/>
        <rFont val="Open Sans"/>
        <family val="2"/>
      </rPr>
      <t> (the second column in your lookup table).</t>
    </r>
  </si>
  <si>
    <r>
      <t>Copy the formula down to cell </t>
    </r>
    <r>
      <rPr>
        <b/>
        <sz val="11"/>
        <color rgb="FF666666"/>
        <rFont val="Open Sans"/>
        <family val="2"/>
      </rPr>
      <t>B24</t>
    </r>
    <r>
      <rPr>
        <sz val="11"/>
        <color rgb="FF666666"/>
        <rFont val="Open Sans"/>
        <family val="2"/>
      </rPr>
      <t> and then edit each formula by changing the column reference to return the correct item data.</t>
    </r>
  </si>
  <si>
    <r>
      <t>Change the site code in cell </t>
    </r>
    <r>
      <rPr>
        <b/>
        <sz val="11"/>
        <color rgb="FF666666"/>
        <rFont val="Open Sans"/>
        <family val="2"/>
      </rPr>
      <t>B18</t>
    </r>
    <r>
      <rPr>
        <sz val="11"/>
        <color rgb="FF666666"/>
        <rFont val="Open Sans"/>
        <family val="2"/>
      </rPr>
      <t> to </t>
    </r>
    <r>
      <rPr>
        <b/>
        <sz val="11"/>
        <color rgb="FF666666"/>
        <rFont val="Open Sans"/>
        <family val="2"/>
      </rPr>
      <t>B92/771</t>
    </r>
    <r>
      <rPr>
        <sz val="11"/>
        <color rgb="FF666666"/>
        <rFont val="Open Sans"/>
        <family val="2"/>
      </rPr>
      <t> to check that all your formulae work</t>
    </r>
  </si>
  <si>
    <t>LOOKUP TABLES</t>
  </si>
  <si>
    <t>Base Prices</t>
  </si>
  <si>
    <t>Multipliers</t>
  </si>
  <si>
    <t>Enquiry System</t>
  </si>
  <si>
    <t>Destination</t>
  </si>
  <si>
    <t>Base Price</t>
  </si>
  <si>
    <t>Type</t>
  </si>
  <si>
    <t>% Multiplier</t>
  </si>
  <si>
    <t>Barbados</t>
  </si>
  <si>
    <t>Budget</t>
  </si>
  <si>
    <t>Holiday Type</t>
  </si>
  <si>
    <t>Florida</t>
  </si>
  <si>
    <t>Kenya</t>
  </si>
  <si>
    <t>Luxury</t>
  </si>
  <si>
    <t>Multiplier</t>
  </si>
  <si>
    <t>Paris</t>
  </si>
  <si>
    <t>Opulent</t>
  </si>
  <si>
    <t>London</t>
  </si>
  <si>
    <t>Hedonistic</t>
  </si>
  <si>
    <t>Tokyo</t>
  </si>
  <si>
    <t>Sydney</t>
  </si>
  <si>
    <t>Amsterdam</t>
  </si>
  <si>
    <t>Geneva</t>
  </si>
  <si>
    <t>Thailand</t>
  </si>
  <si>
    <t>Reykjavik</t>
  </si>
  <si>
    <t>Four range names have been created in this file.  Use the name box to find out what they refer to.</t>
  </si>
  <si>
    <t>Create a Vlookup function in each of the yellow cells to return the base price and multiplier for the chosen destination and holiday type.</t>
  </si>
  <si>
    <t>David Beckham - My brum brum cars</t>
  </si>
  <si>
    <t>Manufacturer</t>
  </si>
  <si>
    <t>Model</t>
  </si>
  <si>
    <t>Description</t>
  </si>
  <si>
    <t>Emissions CO2 g/km</t>
  </si>
  <si>
    <t>Tax Band</t>
  </si>
  <si>
    <t>Tax for 6 months</t>
  </si>
  <si>
    <t>Tax for 12 months</t>
  </si>
  <si>
    <t>ALFA ROMEO</t>
  </si>
  <si>
    <t>Alfa GT</t>
  </si>
  <si>
    <t>For nipping to the shops</t>
  </si>
  <si>
    <t>ASTON MARTIN LAGONDA</t>
  </si>
  <si>
    <t>DB9</t>
  </si>
  <si>
    <t>The green one</t>
  </si>
  <si>
    <t>The silver one</t>
  </si>
  <si>
    <t>AUDI</t>
  </si>
  <si>
    <t>A8</t>
  </si>
  <si>
    <t>For my mate Gary to play with</t>
  </si>
  <si>
    <t>BENTLEY MOTORS</t>
  </si>
  <si>
    <t>Continental</t>
  </si>
  <si>
    <t>Cos Rio's got one</t>
  </si>
  <si>
    <t>BMW</t>
  </si>
  <si>
    <t>7 Series E65/E66</t>
  </si>
  <si>
    <t>For Brooklyn to learn to drive</t>
  </si>
  <si>
    <t>CADILLAC</t>
  </si>
  <si>
    <t>Escalade</t>
  </si>
  <si>
    <t>For Victoria's shopping</t>
  </si>
  <si>
    <t>For the rest of Victoria's shopping</t>
  </si>
  <si>
    <t>CHRYSLER JEEP</t>
  </si>
  <si>
    <t>Jeep Patriot</t>
  </si>
  <si>
    <t>Cos now we live in America</t>
  </si>
  <si>
    <t>FERRARI</t>
  </si>
  <si>
    <t>612 Scaglietti</t>
  </si>
  <si>
    <t>Cos I lived in Spain for 4 years</t>
  </si>
  <si>
    <t>FIAT</t>
  </si>
  <si>
    <t>Panda</t>
  </si>
  <si>
    <t>For Victoria to drive</t>
  </si>
  <si>
    <t>JAGUAR CARS</t>
  </si>
  <si>
    <t>S Type</t>
  </si>
  <si>
    <t>For when we want to look posh in front of the Americans</t>
  </si>
  <si>
    <t>LAND ROVER</t>
  </si>
  <si>
    <t>Range Rover Sport</t>
  </si>
  <si>
    <t>Cos I feel really big when I drive it</t>
  </si>
  <si>
    <t>ROLLS-ROYCE MOTOR CARS</t>
  </si>
  <si>
    <t>Phantom EWB</t>
  </si>
  <si>
    <t>Cos Fergie doesn't like them</t>
  </si>
  <si>
    <t>VOLVO</t>
  </si>
  <si>
    <t>S40 Model Year 08</t>
  </si>
  <si>
    <t>To fit all the kids in</t>
  </si>
  <si>
    <t>CO2 Emissions</t>
  </si>
  <si>
    <t>Bands</t>
  </si>
  <si>
    <t xml:space="preserve">Band A </t>
  </si>
  <si>
    <t>-</t>
  </si>
  <si>
    <t>Band B</t>
  </si>
  <si>
    <t>Band C</t>
  </si>
  <si>
    <t>Band D</t>
  </si>
  <si>
    <t>Band E</t>
  </si>
  <si>
    <t>Band F</t>
  </si>
  <si>
    <t>Band G</t>
  </si>
  <si>
    <r>
      <t>On the </t>
    </r>
    <r>
      <rPr>
        <b/>
        <sz val="12"/>
        <color rgb="FF666666"/>
        <rFont val="Open Sans"/>
        <family val="2"/>
      </rPr>
      <t>Lookup Table</t>
    </r>
    <r>
      <rPr>
        <sz val="12"/>
        <color rgb="FF666666"/>
        <rFont val="Open Sans"/>
        <family val="2"/>
      </rPr>
      <t> worksheet give the table a sensible range name.</t>
    </r>
  </si>
  <si>
    <r>
      <t>On the </t>
    </r>
    <r>
      <rPr>
        <b/>
        <sz val="12"/>
        <color rgb="FF666666"/>
        <rFont val="Open Sans"/>
        <family val="2"/>
      </rPr>
      <t>Main List</t>
    </r>
    <r>
      <rPr>
        <sz val="12"/>
        <color rgb="FF666666"/>
        <rFont val="Open Sans"/>
        <family val="2"/>
      </rPr>
      <t> worksheet create Vlookup functions to work out the tax band, 12 months tax, and 6 months tax for each of the cars.</t>
    </r>
  </si>
  <si>
    <t>D&amp;Q Staff Bonuses</t>
  </si>
  <si>
    <t>Employee</t>
  </si>
  <si>
    <t>No Customers</t>
  </si>
  <si>
    <t>Bonus</t>
  </si>
  <si>
    <t>Bonus per Customer</t>
  </si>
  <si>
    <t>Emily Smith</t>
  </si>
  <si>
    <t>Dan Jonesman</t>
  </si>
  <si>
    <t>Fred Brown</t>
  </si>
  <si>
    <t>Dora McTavish</t>
  </si>
  <si>
    <t>Patrick O'Leary</t>
  </si>
  <si>
    <t>Dawn Taylor</t>
  </si>
  <si>
    <t>Penny Joyce</t>
  </si>
  <si>
    <t>Ian Frankley</t>
  </si>
  <si>
    <t>Jeff O'Brien</t>
  </si>
  <si>
    <t>William Jones</t>
  </si>
  <si>
    <t> calculate the bonus for each employee:</t>
  </si>
  <si>
    <t>Community Library Database</t>
  </si>
  <si>
    <t>Today:</t>
  </si>
  <si>
    <t>Book ISBN</t>
  </si>
  <si>
    <t>Status</t>
  </si>
  <si>
    <t>Category</t>
  </si>
  <si>
    <t>Purchase Cost</t>
  </si>
  <si>
    <t>Purchase Date</t>
  </si>
  <si>
    <t>Expiry Date</t>
  </si>
  <si>
    <t>Days to Expiry</t>
  </si>
  <si>
    <t>978-0-331-95055-01-4</t>
  </si>
  <si>
    <t>Out</t>
  </si>
  <si>
    <t>Crime</t>
  </si>
  <si>
    <t>978-1-40020-96298-02-1</t>
  </si>
  <si>
    <t>Medical</t>
  </si>
  <si>
    <t>978-0-553-81762-01-5</t>
  </si>
  <si>
    <t>In</t>
  </si>
  <si>
    <t>Travel</t>
  </si>
  <si>
    <t>978-0-662-95055-01-2</t>
  </si>
  <si>
    <t>Cookery</t>
  </si>
  <si>
    <t>978-1-128-95055-01-3</t>
  </si>
  <si>
    <t>978-0-419-96298-02-3</t>
  </si>
  <si>
    <t>Architecture</t>
  </si>
  <si>
    <t>978-1-40020-81762-01-6</t>
  </si>
  <si>
    <t>978-0-518-96298-01-2</t>
  </si>
  <si>
    <t>978-0-447-96298-02-6</t>
  </si>
  <si>
    <t>Gardening</t>
  </si>
  <si>
    <t>978-0-394-81762-02-1</t>
  </si>
  <si>
    <t>978-1-119-95055-02-4</t>
  </si>
  <si>
    <t>978-0-261-81762-01-2</t>
  </si>
  <si>
    <t>Astronomy</t>
  </si>
  <si>
    <t>Search:</t>
  </si>
  <si>
    <t>Book ISBN:</t>
  </si>
  <si>
    <t>Status:</t>
  </si>
  <si>
    <t>Category:</t>
  </si>
  <si>
    <t>Expiry Date:</t>
  </si>
  <si>
    <t>No Days to Expiry:</t>
  </si>
  <si>
    <t>Widget Sales</t>
  </si>
  <si>
    <t>Widget Unit Prices</t>
  </si>
  <si>
    <t>Order No.</t>
  </si>
  <si>
    <t>Customer</t>
  </si>
  <si>
    <t>Quantity</t>
  </si>
  <si>
    <t>Order Total</t>
  </si>
  <si>
    <t>Price</t>
  </si>
  <si>
    <t>Ord-001</t>
  </si>
  <si>
    <t>Donald Duck</t>
  </si>
  <si>
    <t>Ord-002</t>
  </si>
  <si>
    <t>Mickey Mouse</t>
  </si>
  <si>
    <t>Ord-003</t>
  </si>
  <si>
    <t>Bugs Bunny</t>
  </si>
  <si>
    <t>Ord-004</t>
  </si>
  <si>
    <t>Porky Pig</t>
  </si>
  <si>
    <t>Ord-005</t>
  </si>
  <si>
    <t>Daffy Duck</t>
  </si>
  <si>
    <t>Ord-006</t>
  </si>
  <si>
    <t>Goofy</t>
  </si>
  <si>
    <t>Ord-007</t>
  </si>
  <si>
    <t>Minnie Mouse</t>
  </si>
  <si>
    <t>Cups of coffee</t>
  </si>
  <si>
    <t>Dipsy</t>
  </si>
  <si>
    <t>Laa-Laa</t>
  </si>
  <si>
    <t>Po</t>
  </si>
  <si>
    <t>Tinky-Winky</t>
  </si>
  <si>
    <t>The Nu-Nu</t>
  </si>
  <si>
    <t>Flowers</t>
  </si>
  <si>
    <t>Dancing Bear</t>
  </si>
  <si>
    <t>Indian Curry Spice Rating</t>
  </si>
  <si>
    <t>Recipe</t>
  </si>
  <si>
    <t>g of Chilli</t>
  </si>
  <si>
    <t>Curry Rating</t>
  </si>
  <si>
    <t>Beef Madras</t>
  </si>
  <si>
    <t>Beef Makhni</t>
  </si>
  <si>
    <t>Mild</t>
  </si>
  <si>
    <t>Beef Rendang</t>
  </si>
  <si>
    <t>Medium</t>
  </si>
  <si>
    <t>Chicken Bhuna</t>
  </si>
  <si>
    <t>Medium Hot</t>
  </si>
  <si>
    <t>Chicken Dopiaza</t>
  </si>
  <si>
    <t>Hot</t>
  </si>
  <si>
    <t>Chicken Karahi</t>
  </si>
  <si>
    <t>Very Hot</t>
  </si>
  <si>
    <t>Chicken Korma</t>
  </si>
  <si>
    <t>Heath warning!!!</t>
  </si>
  <si>
    <t>Chicken Tikka Masala</t>
  </si>
  <si>
    <t>Chicken Vindaloo</t>
  </si>
  <si>
    <t>Lamb Biriyani</t>
  </si>
  <si>
    <t>Lamb Jalfreizi</t>
  </si>
  <si>
    <t>Lamb Passanda</t>
  </si>
  <si>
    <t>Malai Kofta</t>
  </si>
  <si>
    <t>Vegetable Dhansak</t>
  </si>
  <si>
    <t>Vegetable Kashmiri</t>
  </si>
  <si>
    <t>Vegetable Korma</t>
  </si>
  <si>
    <t>Winter Jacket Order for Celebrity Dogs</t>
  </si>
  <si>
    <t>Dog Name</t>
  </si>
  <si>
    <t>Dog Neck in cm</t>
  </si>
  <si>
    <t>Size to Order</t>
  </si>
  <si>
    <t>Scooby Doo</t>
  </si>
  <si>
    <t>Neck Size</t>
  </si>
  <si>
    <t>Jacket Size</t>
  </si>
  <si>
    <t>Petra</t>
  </si>
  <si>
    <t>XXS</t>
  </si>
  <si>
    <t>Lassie</t>
  </si>
  <si>
    <t>XS</t>
  </si>
  <si>
    <t>Snoopy</t>
  </si>
  <si>
    <t>Beethoven</t>
  </si>
  <si>
    <t>M</t>
  </si>
  <si>
    <t>Benji</t>
  </si>
  <si>
    <t>L</t>
  </si>
  <si>
    <t>Eddie</t>
  </si>
  <si>
    <t>Rin Tin Tin</t>
  </si>
  <si>
    <t>XXL</t>
  </si>
  <si>
    <t>Toto</t>
  </si>
  <si>
    <t>Hooch</t>
  </si>
  <si>
    <t>Santa's Little Helper</t>
  </si>
  <si>
    <t>Shep</t>
  </si>
  <si>
    <t>Marley</t>
  </si>
  <si>
    <t>Cliffford (The Big Red Dog)</t>
  </si>
  <si>
    <t>Cheeky Charlie's School Tuck Shop Sales - Class 5T Sales</t>
  </si>
  <si>
    <t>Cost Before Discount</t>
  </si>
  <si>
    <t>Bulk Buy Discount</t>
  </si>
  <si>
    <t>Class Cost</t>
  </si>
  <si>
    <t>Mars Bars</t>
  </si>
  <si>
    <t>Discount</t>
  </si>
  <si>
    <t>Twix</t>
  </si>
  <si>
    <t>Bounty Bar</t>
  </si>
  <si>
    <t>Gazillions Tub</t>
  </si>
  <si>
    <t>Maltesers</t>
  </si>
  <si>
    <t>Walkers Crisps</t>
  </si>
  <si>
    <t>Salted Peanuts</t>
  </si>
  <si>
    <t>Chewing Gum</t>
  </si>
  <si>
    <t>Nutella Bar</t>
  </si>
  <si>
    <t>Polo Mints</t>
  </si>
  <si>
    <t>Muesli Bar</t>
  </si>
  <si>
    <t>Maths Test Answers</t>
  </si>
  <si>
    <t>CLASS TOTALS</t>
  </si>
  <si>
    <t>ABRSM Examinations</t>
  </si>
  <si>
    <t>Student Name</t>
  </si>
  <si>
    <t>Instrument</t>
  </si>
  <si>
    <t>Grade</t>
  </si>
  <si>
    <t>Centre</t>
  </si>
  <si>
    <t>Date</t>
  </si>
  <si>
    <t>Time</t>
  </si>
  <si>
    <t>Lilly R Bennett</t>
  </si>
  <si>
    <t>French Horn</t>
  </si>
  <si>
    <t>York</t>
  </si>
  <si>
    <t>Exam Centre</t>
  </si>
  <si>
    <t>Bristol</t>
  </si>
  <si>
    <t>Edinburgh</t>
  </si>
  <si>
    <t>Manchester</t>
  </si>
  <si>
    <t>Oxford</t>
  </si>
  <si>
    <t>Richard F Pierce-Hall</t>
  </si>
  <si>
    <t>Piano</t>
  </si>
  <si>
    <t>Simon T Brent</t>
  </si>
  <si>
    <t>Violin</t>
  </si>
  <si>
    <t>Helen P Brown</t>
  </si>
  <si>
    <t>Clarinet</t>
  </si>
  <si>
    <t>David S Brown</t>
  </si>
  <si>
    <t>Flute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</si>
  <si>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</si>
  <si>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</si>
  <si>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</si>
  <si>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</si>
  <si>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</si>
  <si>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</si>
  <si>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</si>
  <si>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</si>
  <si>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</si>
  <si>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</si>
  <si>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</si>
  <si>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</si>
  <si>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</si>
  <si>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</si>
  <si>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</si>
  <si>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</si>
  <si>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</si>
  <si>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</si>
  <si>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</si>
  <si>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</si>
  <si>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>Pupil Name:</t>
  </si>
  <si>
    <t>&lt;--- Change Name Here</t>
  </si>
  <si>
    <t>Instrument:</t>
  </si>
  <si>
    <t>Grade:</t>
  </si>
  <si>
    <t>Centre:</t>
  </si>
  <si>
    <t>Date:</t>
  </si>
  <si>
    <t>Time:</t>
  </si>
  <si>
    <t>Stock List</t>
  </si>
  <si>
    <t>Code</t>
  </si>
  <si>
    <t>Number in stock</t>
  </si>
  <si>
    <t>A18</t>
  </si>
  <si>
    <t>A34</t>
  </si>
  <si>
    <t>Armchair</t>
  </si>
  <si>
    <t>A16</t>
  </si>
  <si>
    <t>Stool</t>
  </si>
  <si>
    <t>C39</t>
  </si>
  <si>
    <t>Sofa</t>
  </si>
  <si>
    <t>In stock</t>
  </si>
  <si>
    <t>D80</t>
  </si>
  <si>
    <t>Dining Table</t>
  </si>
  <si>
    <t>Bookcase</t>
  </si>
  <si>
    <t>F26</t>
  </si>
  <si>
    <t>Shelves</t>
  </si>
  <si>
    <t>G36</t>
  </si>
  <si>
    <t>Rocking Chair</t>
  </si>
  <si>
    <t>A17</t>
  </si>
  <si>
    <t>Lamp</t>
  </si>
  <si>
    <t>B45</t>
  </si>
  <si>
    <t>Kitchen</t>
  </si>
  <si>
    <t>Create a lookup table like the one shown in the diagram below and give it a sensible range name:</t>
  </si>
  <si>
    <t>You don't need to include the titles in the range name</t>
  </si>
  <si>
    <t>Create a Vlookup function to describe each Teletubby.</t>
  </si>
  <si>
    <t>Try nesting your lookup function inside an If function so that you see an appropriate message if the cups of coffee is less than zero.</t>
  </si>
  <si>
    <t>The function should work normally for positive numbers</t>
  </si>
  <si>
    <t>Cups</t>
  </si>
  <si>
    <t>Tea drinker</t>
  </si>
  <si>
    <t>Caffeine fiend</t>
  </si>
  <si>
    <t>Coffee lightweight</t>
  </si>
  <si>
    <t>Hyper-Teletubbie</t>
  </si>
  <si>
    <t>Create the following two range names:</t>
  </si>
  <si>
    <t>Code - referring to H3</t>
  </si>
  <si>
    <t>Stock - referring to B4:E12</t>
  </si>
  <si>
    <t>Create a lookup function in each of the yellow cells to return the details for the product code typed into the green cell</t>
  </si>
  <si>
    <t>We want Excel to search through the book ISBN codes in this sheet:</t>
  </si>
  <si>
    <t>When Excel finds the ISBN code in the first column that exactly matches the ISBN code in the merged cell B18, we want Excel to complete cells B19:B22 with the correct information for that book:</t>
  </si>
  <si>
    <t>Using Exact Match lookups for item codes</t>
  </si>
  <si>
    <t>The ISBN is the code the lookup formula will find an exact match for.</t>
  </si>
  <si>
    <t>First create a range name for all the data in your main spreadsheet table (A4:G15).</t>
  </si>
  <si>
    <t>Also create a range name for the merged cell B18 where you will keep changing the book ISBN code.</t>
  </si>
  <si>
    <t>In merged cell B19 create an exact match lookup formula to return the book status from column B (the 2nd column in your lookup table).</t>
  </si>
  <si>
    <t>Copy the formula down to merged cell B22 and then edit each formula by changing the column reference to return the correct book data.</t>
  </si>
  <si>
    <t>Change the ISBN code in merged ell B18 to 978-0-662-95055-01-2 to check that all your formulae work.</t>
  </si>
  <si>
    <r>
      <t>Use the horizontal lookup table in cells </t>
    </r>
    <r>
      <rPr>
        <b/>
        <sz val="12"/>
        <color rgb="FF666666"/>
        <rFont val="Open Sans"/>
        <family val="2"/>
      </rPr>
      <t>H4:N5</t>
    </r>
    <r>
      <rPr>
        <sz val="12"/>
        <color rgb="FF666666"/>
        <rFont val="Open Sans"/>
        <family val="2"/>
      </rPr>
      <t> to find the date for each exam by first creating a range name for the lookup table:</t>
    </r>
  </si>
  <si>
    <t>We then want Excel to find a match for the pupil name in cell B26 and complete cells B27:B31 with the correct exam details for that pupil:</t>
  </si>
  <si>
    <t>First create a range name for all the data in your main spreadsheet table (A4:F23).</t>
  </si>
  <si>
    <t>Also create a range name for cell B26 where you will keep changing the pupil name.</t>
  </si>
  <si>
    <t>In cell B27 create an exact match lookup formula to return the instrument name from column B (the 2nd column in your lookup table).</t>
  </si>
  <si>
    <r>
      <t>Copy the formula down to cells </t>
    </r>
    <r>
      <rPr>
        <b/>
        <sz val="11"/>
        <color rgb="FF666666"/>
        <rFont val="Open Sans"/>
        <family val="2"/>
      </rPr>
      <t>B28:B31</t>
    </r>
    <r>
      <rPr>
        <sz val="11"/>
        <color rgb="FF666666"/>
        <rFont val="Open Sans"/>
        <family val="2"/>
      </rPr>
      <t> and then edit each formula by changing the column reference to return the correct pupil exam data.</t>
    </r>
  </si>
  <si>
    <r>
      <t>Change the pupil name in cell </t>
    </r>
    <r>
      <rPr>
        <b/>
        <sz val="11"/>
        <color rgb="FF666666"/>
        <rFont val="Open Sans"/>
        <family val="2"/>
      </rPr>
      <t>B26</t>
    </r>
    <r>
      <rPr>
        <sz val="11"/>
        <color rgb="FF666666"/>
        <rFont val="Open Sans"/>
        <family val="2"/>
      </rPr>
      <t> to </t>
    </r>
    <r>
      <rPr>
        <b/>
        <sz val="11"/>
        <color rgb="FF666666"/>
        <rFont val="Open Sans"/>
        <family val="2"/>
      </rPr>
      <t>Petunia L Fox</t>
    </r>
    <r>
      <rPr>
        <sz val="11"/>
        <color rgb="FF666666"/>
        <rFont val="Open Sans"/>
        <family val="2"/>
      </rPr>
      <t> to check that all your formulae work.</t>
    </r>
  </si>
  <si>
    <t>Create an HLOOKUP formula in cells E4:E23 to find the exam date for each pupil.</t>
  </si>
  <si>
    <t>Petunia L Fox</t>
  </si>
  <si>
    <t>We want to work out the right size jacket to order for each dog:</t>
  </si>
  <si>
    <r>
      <t>In cell </t>
    </r>
    <r>
      <rPr>
        <b/>
        <sz val="12"/>
        <color rgb="FF666666"/>
        <rFont val="Open Sans"/>
        <family val="2"/>
      </rPr>
      <t>C4</t>
    </r>
    <r>
      <rPr>
        <sz val="12"/>
        <color rgb="FF666666"/>
        <rFont val="Open Sans"/>
        <family val="2"/>
      </rPr>
      <t>, create an </t>
    </r>
    <r>
      <rPr>
        <b/>
        <sz val="12"/>
        <color rgb="FF666666"/>
        <rFont val="Open Sans"/>
        <family val="2"/>
      </rPr>
      <t>=VLOOKUP</t>
    </r>
    <r>
      <rPr>
        <sz val="12"/>
        <color rgb="FF666666"/>
        <rFont val="Open Sans"/>
        <family val="2"/>
      </rPr>
      <t> formula that chooses a jacket size for each dog.  Use the neck sizes and jacket sizes table in column </t>
    </r>
    <r>
      <rPr>
        <b/>
        <sz val="12"/>
        <color rgb="FF666666"/>
        <rFont val="Open Sans"/>
        <family val="2"/>
      </rPr>
      <t>E</t>
    </r>
    <r>
      <rPr>
        <sz val="12"/>
        <color rgb="FF666666"/>
        <rFont val="Open Sans"/>
        <family val="2"/>
      </rPr>
      <t> and F as your lookup table.   Creating a range name will help to use in the formula:</t>
    </r>
  </si>
  <si>
    <r>
      <t>Change the </t>
    </r>
    <r>
      <rPr>
        <b/>
        <sz val="12"/>
        <color rgb="FF666666"/>
        <rFont val="Open Sans"/>
        <family val="2"/>
      </rPr>
      <t>XL</t>
    </r>
    <r>
      <rPr>
        <sz val="12"/>
        <color rgb="FF666666"/>
        <rFont val="Open Sans"/>
        <family val="2"/>
      </rPr>
      <t> message to </t>
    </r>
    <r>
      <rPr>
        <b/>
        <sz val="12"/>
        <color rgb="FF666666"/>
        <rFont val="Open Sans"/>
        <family val="2"/>
      </rPr>
      <t>Extra Large</t>
    </r>
    <r>
      <rPr>
        <sz val="12"/>
        <color rgb="FF666666"/>
        <rFont val="Open Sans"/>
        <family val="2"/>
      </rPr>
      <t> and the </t>
    </r>
    <r>
      <rPr>
        <b/>
        <sz val="12"/>
        <color rgb="FF666666"/>
        <rFont val="Open Sans"/>
        <family val="2"/>
      </rPr>
      <t>S</t>
    </r>
    <r>
      <rPr>
        <sz val="12"/>
        <color rgb="FF666666"/>
        <rFont val="Open Sans"/>
        <family val="2"/>
      </rPr>
      <t> to </t>
    </r>
    <r>
      <rPr>
        <b/>
        <sz val="12"/>
        <color rgb="FF666666"/>
        <rFont val="Open Sans"/>
        <family val="2"/>
      </rPr>
      <t>Small</t>
    </r>
    <r>
      <rPr>
        <sz val="12"/>
        <color rgb="FF666666"/>
        <rFont val="Open Sans"/>
        <family val="2"/>
      </rPr>
      <t> and the small threshold from 20 to 18 to check that your formula works:</t>
    </r>
  </si>
  <si>
    <t>Small</t>
  </si>
  <si>
    <t>Extra Large</t>
  </si>
  <si>
    <t>We want to calculate the discount due on each product:</t>
  </si>
  <si>
    <t>Fill in the unit prices table based on the following categories:</t>
  </si>
  <si>
    <t>1 - 499            =    £1</t>
  </si>
  <si>
    <t>500 - 999        =    £0.90</t>
  </si>
  <si>
    <t>1000 - 1499    =    £0.80</t>
  </si>
  <si>
    <t>1500 or more   =    £0.70</t>
  </si>
  <si>
    <t>Start with the smallest amount that could be ordered</t>
  </si>
  <si>
    <t>Use a Vlookup function to calculate the total value of each order.</t>
  </si>
  <si>
    <r>
      <t>In cell </t>
    </r>
    <r>
      <rPr>
        <b/>
        <sz val="12"/>
        <color rgb="FF666666"/>
        <rFont val="Open Sans"/>
        <family val="2"/>
      </rPr>
      <t>C4</t>
    </r>
    <r>
      <rPr>
        <sz val="12"/>
        <color rgb="FF666666"/>
        <rFont val="Open Sans"/>
        <family val="2"/>
      </rPr>
      <t>, create an </t>
    </r>
    <r>
      <rPr>
        <b/>
        <sz val="12"/>
        <color rgb="FF666666"/>
        <rFont val="Open Sans"/>
        <family val="2"/>
      </rPr>
      <t>=VLOOKUP</t>
    </r>
    <r>
      <rPr>
        <sz val="12"/>
        <color rgb="FF666666"/>
        <rFont val="Open Sans"/>
        <family val="2"/>
      </rPr>
      <t> formula that displays the rating message for each curry.</t>
    </r>
  </si>
  <si>
    <r>
      <t>Change the </t>
    </r>
    <r>
      <rPr>
        <b/>
        <sz val="12"/>
        <color rgb="FF666666"/>
        <rFont val="Open Sans"/>
        <family val="2"/>
      </rPr>
      <t>Very mild</t>
    </r>
    <r>
      <rPr>
        <sz val="12"/>
        <color rgb="FF666666"/>
        <rFont val="Open Sans"/>
        <family val="2"/>
      </rPr>
      <t> rating to Casserole and the highest rating of 20 to 18 to check that your formula works:</t>
    </r>
  </si>
  <si>
    <t>Casserole</t>
  </si>
  <si>
    <r>
      <t>In cell </t>
    </r>
    <r>
      <rPr>
        <b/>
        <sz val="12"/>
        <color rgb="FF666666"/>
        <rFont val="Open Sans"/>
        <family val="2"/>
      </rPr>
      <t>E4</t>
    </r>
    <r>
      <rPr>
        <sz val="12"/>
        <color rgb="FF666666"/>
        <rFont val="Open Sans"/>
        <family val="2"/>
      </rPr>
      <t>, create an </t>
    </r>
    <r>
      <rPr>
        <b/>
        <sz val="12"/>
        <color rgb="FF666666"/>
        <rFont val="Open Sans"/>
        <family val="2"/>
      </rPr>
      <t>=VLOOKUP</t>
    </r>
    <r>
      <rPr>
        <sz val="12"/>
        <color rgb="FF666666"/>
        <rFont val="Open Sans"/>
        <family val="2"/>
      </rPr>
      <t> formula to calculate the discount.</t>
    </r>
  </si>
  <si>
    <t>Change a few of the discount percentages in the lookup table to check your formula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</si>
</sst>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£&quot;* #,##0.00_-;\-&quot;£&quot;* #,##0.00_-;_-&quot;£&quot;* &quot;-&quot;??_-;_-@_-"/>
    <numFmt numFmtId="165" formatCode="&quot;£&quot;#,##0.00"/>
    <numFmt numFmtId="166" formatCode="[$£-809]#,##0.00"/>
    <numFmt numFmtId="171" formatCode="_-* #,##0.00_-;\-* #,##0.00_-;_-* &quot;-&quot;??_-;_-@_-"/>
    <numFmt numFmtId="172" formatCode="&quot;£&quot;#,##0.00;[Red]\-&quot;£&quot;#,##0.00"/>
    <numFmt numFmtId="175" formatCode="[$-F400]h:mm:ss\ AM/PM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6666"/>
      <name val="Open Sans"/>
      <family val="2"/>
    </font>
    <font>
      <b/>
      <sz val="11"/>
      <color rgb="FF666666"/>
      <name val="Open Sans"/>
      <family val="2"/>
    </font>
    <font>
      <sz val="12"/>
      <color rgb="FF666666"/>
      <name val="Open Sans"/>
      <family val="2"/>
    </font>
    <font>
      <b/>
      <sz val="12"/>
      <color rgb="FF666666"/>
      <name val="Open Sans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u/>
      <sz val="16"/>
      <color theme="5" tint="-0.249977111117893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i/>
      <sz val="11"/>
      <color rgb="FF666666"/>
      <name val="Inherit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12" fillId="0" borderId="0" applyFill="0" applyBorder="0" applyProtection="0">
      <alignment horizontal="left"/>
    </xf>
    <xf numFmtId="171" fontId="1" fillId="0" borderId="0" applyFont="0" applyFill="0" applyBorder="0" applyAlignment="0" applyProtection="0"/>
  </cellStyleXfs>
  <cellXfs count="17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3" fillId="5" borderId="1" xfId="0" applyFont="1" applyFill="1" applyBorder="1"/>
    <xf numFmtId="0" fontId="7" fillId="0" borderId="0" xfId="0" applyFont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7" borderId="0" xfId="0" applyFont="1" applyFill="1"/>
    <xf numFmtId="0" fontId="0" fillId="6" borderId="6" xfId="0" applyFill="1" applyBorder="1"/>
    <xf numFmtId="0" fontId="0" fillId="6" borderId="0" xfId="0" applyFill="1"/>
    <xf numFmtId="0" fontId="4" fillId="8" borderId="7" xfId="0" applyFont="1" applyFill="1" applyBorder="1"/>
    <xf numFmtId="0" fontId="4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0" fillId="9" borderId="5" xfId="0" applyFill="1" applyBorder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1" xfId="0" applyFill="1" applyBorder="1"/>
    <xf numFmtId="164" fontId="0" fillId="0" borderId="1" xfId="2" applyFont="1" applyBorder="1"/>
    <xf numFmtId="0" fontId="0" fillId="9" borderId="11" xfId="0" applyFill="1" applyBorder="1"/>
    <xf numFmtId="0" fontId="0" fillId="10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4" fillId="8" borderId="1" xfId="0" applyFont="1" applyFill="1" applyBorder="1"/>
    <xf numFmtId="164" fontId="0" fillId="10" borderId="1" xfId="2" applyFont="1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0" fontId="10" fillId="0" borderId="14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0" fillId="8" borderId="9" xfId="0" applyFill="1" applyBorder="1"/>
    <xf numFmtId="0" fontId="4" fillId="8" borderId="2" xfId="0" applyFont="1" applyFill="1" applyBorder="1"/>
    <xf numFmtId="0" fontId="0" fillId="8" borderId="4" xfId="0" applyFill="1" applyBorder="1"/>
    <xf numFmtId="0" fontId="0" fillId="12" borderId="7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17" xfId="0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164" fontId="0" fillId="0" borderId="17" xfId="0" applyNumberFormat="1" applyBorder="1"/>
    <xf numFmtId="9" fontId="0" fillId="0" borderId="17" xfId="0" applyNumberFormat="1" applyBorder="1" applyAlignment="1">
      <alignment horizontal="center"/>
    </xf>
    <xf numFmtId="164" fontId="0" fillId="13" borderId="1" xfId="2" applyFont="1" applyFill="1" applyBorder="1" applyAlignment="1">
      <alignment horizontal="center"/>
    </xf>
    <xf numFmtId="9" fontId="0" fillId="13" borderId="1" xfId="1" applyFont="1" applyFill="1" applyBorder="1" applyAlignment="1">
      <alignment horizontal="right"/>
    </xf>
    <xf numFmtId="0" fontId="0" fillId="12" borderId="10" xfId="0" applyFill="1" applyBorder="1"/>
    <xf numFmtId="164" fontId="0" fillId="14" borderId="1" xfId="2" applyFont="1" applyFill="1" applyBorder="1"/>
    <xf numFmtId="0" fontId="0" fillId="3" borderId="11" xfId="0" applyFill="1" applyBorder="1"/>
    <xf numFmtId="9" fontId="0" fillId="0" borderId="10" xfId="0" applyNumberFormat="1" applyBorder="1" applyAlignment="1">
      <alignment horizontal="center"/>
    </xf>
    <xf numFmtId="164" fontId="0" fillId="0" borderId="10" xfId="0" applyNumberFormat="1" applyBorder="1"/>
    <xf numFmtId="0" fontId="4" fillId="15" borderId="0" xfId="0" applyFont="1" applyFill="1"/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center"/>
    </xf>
    <xf numFmtId="49" fontId="12" fillId="3" borderId="0" xfId="0" applyNumberFormat="1" applyFont="1" applyFill="1" applyAlignment="1">
      <alignment horizontal="left"/>
    </xf>
    <xf numFmtId="49" fontId="12" fillId="6" borderId="0" xfId="0" applyNumberFormat="1" applyFont="1" applyFill="1" applyAlignment="1">
      <alignment horizontal="left"/>
    </xf>
    <xf numFmtId="49" fontId="12" fillId="3" borderId="0" xfId="3" applyFill="1">
      <alignment horizontal="left"/>
    </xf>
    <xf numFmtId="0" fontId="12" fillId="6" borderId="0" xfId="0" applyFont="1" applyFill="1" applyAlignment="1">
      <alignment horizontal="center"/>
    </xf>
    <xf numFmtId="0" fontId="13" fillId="3" borderId="0" xfId="0" applyFont="1" applyFill="1"/>
    <xf numFmtId="49" fontId="12" fillId="3" borderId="0" xfId="0" applyNumberFormat="1" applyFont="1" applyFill="1"/>
    <xf numFmtId="49" fontId="12" fillId="6" borderId="0" xfId="0" applyNumberFormat="1" applyFont="1" applyFill="1"/>
    <xf numFmtId="49" fontId="12" fillId="3" borderId="0" xfId="3" applyFill="1" applyAlignment="1"/>
    <xf numFmtId="0" fontId="14" fillId="0" borderId="0" xfId="0" applyFont="1"/>
    <xf numFmtId="0" fontId="2" fillId="16" borderId="1" xfId="0" applyFont="1" applyFill="1" applyBorder="1"/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13" fillId="3" borderId="0" xfId="0" applyNumberFormat="1" applyFont="1" applyFill="1"/>
    <xf numFmtId="0" fontId="15" fillId="0" borderId="0" xfId="0" applyFont="1"/>
    <xf numFmtId="0" fontId="3" fillId="17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18" borderId="1" xfId="0" applyFill="1" applyBorder="1" applyAlignment="1">
      <alignment horizontal="center"/>
    </xf>
    <xf numFmtId="0" fontId="4" fillId="8" borderId="7" xfId="0" applyFont="1" applyFill="1" applyBorder="1" applyAlignment="1">
      <alignment horizontal="left"/>
    </xf>
    <xf numFmtId="0" fontId="4" fillId="8" borderId="9" xfId="0" applyFont="1" applyFill="1" applyBorder="1" applyAlignment="1">
      <alignment horizontal="left"/>
    </xf>
    <xf numFmtId="0" fontId="2" fillId="7" borderId="0" xfId="0" applyFont="1" applyFill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right"/>
    </xf>
    <xf numFmtId="14" fontId="18" fillId="19" borderId="1" xfId="0" applyNumberFormat="1" applyFont="1" applyFill="1" applyBorder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5" fontId="0" fillId="0" borderId="0" xfId="0" applyNumberFormat="1"/>
    <xf numFmtId="14" fontId="0" fillId="0" borderId="0" xfId="0" applyNumberFormat="1"/>
    <xf numFmtId="0" fontId="19" fillId="0" borderId="0" xfId="0" applyFont="1" applyAlignment="1">
      <alignment horizontal="right" indent="2"/>
    </xf>
    <xf numFmtId="0" fontId="0" fillId="0" borderId="0" xfId="0" applyAlignment="1">
      <alignment horizontal="right" indent="2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20" borderId="1" xfId="0" applyFont="1" applyFill="1" applyBorder="1" applyAlignment="1">
      <alignment horizontal="left"/>
    </xf>
    <xf numFmtId="0" fontId="3" fillId="2" borderId="1" xfId="0" applyFont="1" applyFill="1" applyBorder="1"/>
    <xf numFmtId="164" fontId="0" fillId="0" borderId="1" xfId="2" applyFont="1" applyBorder="1" applyAlignment="1">
      <alignment horizontal="center"/>
    </xf>
    <xf numFmtId="0" fontId="0" fillId="0" borderId="1" xfId="4" applyNumberFormat="1" applyFont="1" applyBorder="1"/>
    <xf numFmtId="172" fontId="0" fillId="0" borderId="1" xfId="0" applyNumberFormat="1" applyBorder="1"/>
    <xf numFmtId="0" fontId="3" fillId="19" borderId="1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0" borderId="0" xfId="0" applyFont="1"/>
    <xf numFmtId="0" fontId="21" fillId="19" borderId="1" xfId="0" applyFont="1" applyFill="1" applyBorder="1" applyAlignment="1">
      <alignment vertical="center" wrapText="1"/>
    </xf>
    <xf numFmtId="0" fontId="21" fillId="1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0" fontId="0" fillId="18" borderId="1" xfId="0" applyNumberFormat="1" applyFill="1" applyBorder="1"/>
    <xf numFmtId="0" fontId="3" fillId="0" borderId="1" xfId="0" applyFont="1" applyBorder="1"/>
    <xf numFmtId="165" fontId="3" fillId="21" borderId="1" xfId="0" applyNumberFormat="1" applyFont="1" applyFill="1" applyBorder="1"/>
    <xf numFmtId="0" fontId="3" fillId="21" borderId="1" xfId="0" applyFont="1" applyFill="1" applyBorder="1"/>
    <xf numFmtId="0" fontId="3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22" fillId="0" borderId="0" xfId="0" applyFont="1"/>
    <xf numFmtId="0" fontId="0" fillId="19" borderId="1" xfId="0" applyFill="1" applyBorder="1"/>
    <xf numFmtId="0" fontId="23" fillId="8" borderId="2" xfId="0" applyFont="1" applyFill="1" applyBorder="1"/>
    <xf numFmtId="0" fontId="23" fillId="8" borderId="3" xfId="0" applyFont="1" applyFill="1" applyBorder="1"/>
    <xf numFmtId="0" fontId="23" fillId="8" borderId="4" xfId="0" applyFont="1" applyFill="1" applyBorder="1"/>
    <xf numFmtId="0" fontId="13" fillId="0" borderId="0" xfId="0" applyFont="1"/>
    <xf numFmtId="0" fontId="23" fillId="8" borderId="7" xfId="0" applyFont="1" applyFill="1" applyBorder="1"/>
    <xf numFmtId="0" fontId="23" fillId="8" borderId="9" xfId="0" applyFont="1" applyFill="1" applyBorder="1"/>
    <xf numFmtId="0" fontId="24" fillId="9" borderId="7" xfId="0" applyFont="1" applyFill="1" applyBorder="1" applyAlignment="1">
      <alignment horizontal="left"/>
    </xf>
    <xf numFmtId="0" fontId="24" fillId="9" borderId="8" xfId="0" applyFont="1" applyFill="1" applyBorder="1"/>
    <xf numFmtId="0" fontId="24" fillId="9" borderId="8" xfId="0" applyFont="1" applyFill="1" applyBorder="1" applyAlignment="1">
      <alignment horizontal="center"/>
    </xf>
    <xf numFmtId="0" fontId="24" fillId="9" borderId="9" xfId="0" applyFont="1" applyFill="1" applyBorder="1" applyAlignment="1">
      <alignment horizontal="center"/>
    </xf>
    <xf numFmtId="0" fontId="13" fillId="3" borderId="18" xfId="0" applyFont="1" applyFill="1" applyBorder="1"/>
    <xf numFmtId="0" fontId="13" fillId="22" borderId="1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left"/>
    </xf>
    <xf numFmtId="0" fontId="13" fillId="6" borderId="0" xfId="0" applyFont="1" applyFill="1"/>
    <xf numFmtId="165" fontId="13" fillId="3" borderId="0" xfId="0" applyNumberFormat="1" applyFont="1" applyFill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3" borderId="17" xfId="0" applyFont="1" applyFill="1" applyBorder="1"/>
    <xf numFmtId="0" fontId="13" fillId="13" borderId="1" xfId="0" applyFont="1" applyFill="1" applyBorder="1" applyAlignment="1">
      <alignment horizontal="center"/>
    </xf>
    <xf numFmtId="0" fontId="13" fillId="3" borderId="10" xfId="0" applyFont="1" applyFill="1" applyBorder="1"/>
    <xf numFmtId="0" fontId="13" fillId="3" borderId="11" xfId="0" applyFont="1" applyFill="1" applyBorder="1" applyAlignment="1">
      <alignment horizontal="left"/>
    </xf>
    <xf numFmtId="0" fontId="13" fillId="6" borderId="12" xfId="0" applyFont="1" applyFill="1" applyBorder="1"/>
    <xf numFmtId="165" fontId="13" fillId="3" borderId="12" xfId="0" applyNumberFormat="1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3" fillId="2" borderId="19" xfId="0" applyFont="1" applyFill="1" applyBorder="1"/>
    <xf numFmtId="0" fontId="0" fillId="3" borderId="19" xfId="0" applyFill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0" xfId="0" applyFont="1" applyBorder="1"/>
    <xf numFmtId="0" fontId="13" fillId="0" borderId="21" xfId="0" applyFont="1" applyBorder="1"/>
    <xf numFmtId="0" fontId="13" fillId="0" borderId="22" xfId="0" applyFont="1" applyBorder="1"/>
    <xf numFmtId="0" fontId="13" fillId="0" borderId="23" xfId="0" applyFont="1" applyBorder="1"/>
    <xf numFmtId="0" fontId="13" fillId="0" borderId="0" xfId="0" applyFont="1" applyBorder="1"/>
    <xf numFmtId="0" fontId="13" fillId="0" borderId="24" xfId="0" applyFont="1" applyBorder="1"/>
    <xf numFmtId="0" fontId="13" fillId="0" borderId="25" xfId="0" applyFont="1" applyBorder="1"/>
    <xf numFmtId="0" fontId="13" fillId="0" borderId="26" xfId="0" applyFont="1" applyBorder="1"/>
    <xf numFmtId="0" fontId="13" fillId="0" borderId="27" xfId="0" applyFont="1" applyBorder="1"/>
    <xf numFmtId="0" fontId="0" fillId="0" borderId="0" xfId="0" applyAlignment="1">
      <alignment vertical="center"/>
    </xf>
    <xf numFmtId="14" fontId="0" fillId="5" borderId="1" xfId="0" applyNumberForma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/>
    <xf numFmtId="14" fontId="0" fillId="19" borderId="1" xfId="0" applyNumberFormat="1" applyFill="1" applyBorder="1"/>
    <xf numFmtId="175" fontId="0" fillId="19" borderId="1" xfId="0" applyNumberFormat="1" applyFill="1" applyBorder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5" fillId="0" borderId="0" xfId="0" applyFont="1" applyAlignment="1">
      <alignment horizontal="left" vertical="top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6" fontId="0" fillId="0" borderId="1" xfId="0" applyNumberFormat="1" applyBorder="1"/>
  </cellXfs>
  <cellStyles count="5">
    <cellStyle name="Comma 2" xfId="4" xr:uid="{FE08C8B5-C2BC-4D38-A1B7-2CA181481158}"/>
    <cellStyle name="Currency 2" xfId="2" xr:uid="{2011C3D9-BE10-48C2-B2A1-61864F52052F}"/>
    <cellStyle name="Normal" xfId="0" builtinId="0"/>
    <cellStyle name="Percent" xfId="1" builtinId="5"/>
    <cellStyle name="Style 24" xfId="3" xr:uid="{2B860587-8790-4E8E-81CF-A66C0B6F2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reativecommons.org/licenses/by-sa/3.0/" TargetMode="External"/><Relationship Id="rId1" Type="http://schemas.openxmlformats.org/officeDocument/2006/relationships/hyperlink" Target="http://commons.wikimedia.org/wiki/File:Chilli_pepper_4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45</xdr:row>
      <xdr:rowOff>0</xdr:rowOff>
    </xdr:from>
    <xdr:ext cx="8660457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C59A69-AAE4-480E-A7A0-38173907F519}"/>
            </a:ext>
          </a:extLst>
        </xdr:cNvPr>
        <xdr:cNvSpPr txBox="1"/>
      </xdr:nvSpPr>
      <xdr:spPr>
        <a:xfrm>
          <a:off x="3571875" y="8839200"/>
          <a:ext cx="866045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900">
              <a:hlinkClick xmlns:r="http://schemas.openxmlformats.org/officeDocument/2006/relationships" r:id="rId1" tooltip="http://commons.wikimedia.org/wiki/File:Chilli_pepper_4.svg"/>
            </a:rPr>
            <a:t>This Photo</a:t>
          </a:r>
          <a:r>
            <a:rPr lang="en-GB" sz="900"/>
            <a:t> by Unknown Author is licensed under </a:t>
          </a:r>
          <a:r>
            <a:rPr lang="en-GB" sz="900">
              <a:hlinkClick xmlns:r="http://schemas.openxmlformats.org/officeDocument/2006/relationships" r:id="rId2" tooltip="https://creativecommons.org/licenses/by-sa/3.0/"/>
            </a:rPr>
            <a:t>CC BY-SA</a:t>
          </a:r>
          <a:endParaRPr lang="en-GB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7162-A477-490D-872E-6DC13105FF5F}">
  <dimension ref="B2:J11"/>
  <sheetViews>
    <sheetView showGridLines="0" workbookViewId="0">
      <selection activeCell="J20" sqref="J20"/>
    </sheetView>
  </sheetViews>
  <sheetFormatPr defaultRowHeight="15"/>
  <cols>
    <col min="1" max="1" width="2.85546875" customWidth="1"/>
    <col min="2" max="2" width="17.28515625" bestFit="1" customWidth="1"/>
    <col min="3" max="3" width="11" customWidth="1"/>
    <col min="4" max="4" width="15.7109375" bestFit="1" customWidth="1"/>
    <col min="5" max="5" width="16.42578125" customWidth="1"/>
    <col min="6" max="6" width="12" customWidth="1"/>
    <col min="7" max="7" width="15.7109375" bestFit="1" customWidth="1"/>
    <col min="8" max="8" width="15" bestFit="1" customWidth="1"/>
    <col min="10" max="10" width="78.85546875" bestFit="1" customWidth="1"/>
  </cols>
  <sheetData>
    <row r="2" spans="2:10" ht="15.75" thickBot="1">
      <c r="B2" s="1" t="s">
        <v>0</v>
      </c>
      <c r="C2" s="1" t="s">
        <v>1</v>
      </c>
      <c r="D2" s="1" t="s">
        <v>2</v>
      </c>
      <c r="E2" s="2" t="s">
        <v>3</v>
      </c>
      <c r="G2" s="1" t="s">
        <v>2</v>
      </c>
      <c r="H2" s="2" t="s">
        <v>3</v>
      </c>
    </row>
    <row r="3" spans="2:10">
      <c r="B3" s="3" t="s">
        <v>4</v>
      </c>
      <c r="C3" s="4" t="s">
        <v>5</v>
      </c>
      <c r="D3" s="5">
        <v>8</v>
      </c>
      <c r="E3" s="5" t="str">
        <f t="shared" ref="E3:E11" si="0">VLOOKUP(scores,lookup,2,TRUE)</f>
        <v>Could do better</v>
      </c>
      <c r="G3" s="4">
        <v>0</v>
      </c>
      <c r="H3" s="4" t="s">
        <v>7</v>
      </c>
      <c r="J3" s="37" t="s">
        <v>6</v>
      </c>
    </row>
    <row r="4" spans="2:10">
      <c r="B4" s="3" t="s">
        <v>8</v>
      </c>
      <c r="C4" s="4" t="s">
        <v>9</v>
      </c>
      <c r="D4" s="5">
        <v>3</v>
      </c>
      <c r="E4" s="5" t="str">
        <f t="shared" si="0"/>
        <v>Pooh</v>
      </c>
      <c r="G4" s="4">
        <v>5</v>
      </c>
      <c r="H4" s="4" t="s">
        <v>11</v>
      </c>
      <c r="J4" s="38" t="s">
        <v>10</v>
      </c>
    </row>
    <row r="5" spans="2:10">
      <c r="B5" s="3" t="s">
        <v>12</v>
      </c>
      <c r="C5" s="4" t="s">
        <v>5</v>
      </c>
      <c r="D5" s="5">
        <v>12</v>
      </c>
      <c r="E5" s="5" t="str">
        <f t="shared" si="0"/>
        <v>Doing Better</v>
      </c>
      <c r="G5" s="4">
        <v>10</v>
      </c>
      <c r="H5" s="4" t="s">
        <v>14</v>
      </c>
      <c r="J5" s="38" t="s">
        <v>13</v>
      </c>
    </row>
    <row r="6" spans="2:10">
      <c r="B6" s="3" t="s">
        <v>15</v>
      </c>
      <c r="C6" s="4" t="s">
        <v>16</v>
      </c>
      <c r="D6" s="5">
        <v>16</v>
      </c>
      <c r="E6" s="5" t="str">
        <f t="shared" si="0"/>
        <v>Tiggerific</v>
      </c>
      <c r="G6" s="4">
        <v>15</v>
      </c>
      <c r="H6" s="4" t="s">
        <v>18</v>
      </c>
      <c r="J6" s="38" t="s">
        <v>17</v>
      </c>
    </row>
    <row r="7" spans="2:10" ht="15.75" thickBot="1">
      <c r="B7" s="3" t="s">
        <v>19</v>
      </c>
      <c r="C7" s="4" t="s">
        <v>5</v>
      </c>
      <c r="D7" s="5">
        <v>12</v>
      </c>
      <c r="E7" s="5" t="str">
        <f t="shared" si="0"/>
        <v>Doing Better</v>
      </c>
      <c r="J7" s="39" t="s">
        <v>20</v>
      </c>
    </row>
    <row r="8" spans="2:10">
      <c r="B8" s="3" t="s">
        <v>21</v>
      </c>
      <c r="C8" s="4" t="s">
        <v>9</v>
      </c>
      <c r="D8" s="5">
        <v>6</v>
      </c>
      <c r="E8" s="5" t="str">
        <f t="shared" si="0"/>
        <v>Could do better</v>
      </c>
    </row>
    <row r="9" spans="2:10">
      <c r="B9" s="3" t="s">
        <v>22</v>
      </c>
      <c r="C9" s="4" t="s">
        <v>23</v>
      </c>
      <c r="D9" s="5">
        <v>5</v>
      </c>
      <c r="E9" s="5" t="str">
        <f t="shared" si="0"/>
        <v>Could do better</v>
      </c>
    </row>
    <row r="10" spans="2:10">
      <c r="B10" s="3" t="s">
        <v>24</v>
      </c>
      <c r="C10" s="4" t="s">
        <v>5</v>
      </c>
      <c r="D10" s="5">
        <v>10</v>
      </c>
      <c r="E10" s="5" t="str">
        <f t="shared" si="0"/>
        <v>Doing Better</v>
      </c>
    </row>
    <row r="11" spans="2:10">
      <c r="B11" s="3" t="s">
        <v>25</v>
      </c>
      <c r="C11" s="4" t="s">
        <v>5</v>
      </c>
      <c r="D11" s="5">
        <v>2</v>
      </c>
      <c r="E11" s="5" t="str">
        <f t="shared" si="0"/>
        <v>Pooh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EDF0-4ACB-47BD-BF9D-98C14A2BDE98}">
  <dimension ref="A1:J30"/>
  <sheetViews>
    <sheetView showGridLines="0" zoomScale="90" zoomScaleNormal="90" workbookViewId="0">
      <selection activeCell="J30" sqref="J30"/>
    </sheetView>
  </sheetViews>
  <sheetFormatPr defaultRowHeight="15"/>
  <cols>
    <col min="1" max="1" width="10.42578125" customWidth="1"/>
    <col min="2" max="2" width="15.28515625" bestFit="1" customWidth="1"/>
    <col min="3" max="3" width="18.7109375" style="7" bestFit="1" customWidth="1"/>
    <col min="4" max="4" width="8.7109375" style="7" customWidth="1"/>
    <col min="5" max="5" width="6.85546875" style="7" customWidth="1"/>
    <col min="6" max="6" width="8.5703125" style="7" customWidth="1"/>
    <col min="8" max="8" width="3.140625" customWidth="1"/>
    <col min="10" max="10" width="100.85546875" customWidth="1"/>
    <col min="11" max="11" width="15.42578125" customWidth="1"/>
  </cols>
  <sheetData>
    <row r="1" spans="1:7" ht="18.75">
      <c r="A1" s="6" t="s">
        <v>26</v>
      </c>
      <c r="B1" s="6"/>
    </row>
    <row r="3" spans="1:7" s="10" customFormat="1" ht="30">
      <c r="A3" s="8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9" t="s">
        <v>32</v>
      </c>
      <c r="G3" s="9" t="s">
        <v>33</v>
      </c>
    </row>
    <row r="4" spans="1:7">
      <c r="A4" s="4" t="s">
        <v>34</v>
      </c>
      <c r="B4" s="4" t="s">
        <v>35</v>
      </c>
      <c r="C4" s="5">
        <v>6</v>
      </c>
      <c r="D4" s="5">
        <v>8</v>
      </c>
      <c r="E4" s="5">
        <v>7</v>
      </c>
      <c r="F4" s="5">
        <v>9</v>
      </c>
      <c r="G4" s="5" t="str">
        <f t="shared" ref="G4:G16" si="0">IF(AND(C4&gt;=7,D4&gt;=7,E4&gt;=8,F4&gt;=8),"Pass","Fail")</f>
        <v>Fail</v>
      </c>
    </row>
    <row r="5" spans="1:7">
      <c r="A5" s="4" t="s">
        <v>36</v>
      </c>
      <c r="B5" s="4" t="s">
        <v>37</v>
      </c>
      <c r="C5" s="5">
        <v>8</v>
      </c>
      <c r="D5" s="5">
        <v>9</v>
      </c>
      <c r="E5" s="5">
        <v>8</v>
      </c>
      <c r="F5" s="5">
        <v>9</v>
      </c>
      <c r="G5" s="5" t="str">
        <f t="shared" si="0"/>
        <v>Pass</v>
      </c>
    </row>
    <row r="6" spans="1:7">
      <c r="A6" s="4" t="s">
        <v>38</v>
      </c>
      <c r="B6" s="4" t="s">
        <v>39</v>
      </c>
      <c r="C6" s="5">
        <v>5</v>
      </c>
      <c r="D6" s="5">
        <v>7</v>
      </c>
      <c r="E6" s="5">
        <v>7</v>
      </c>
      <c r="F6" s="5">
        <v>8</v>
      </c>
      <c r="G6" s="5" t="str">
        <f t="shared" si="0"/>
        <v>Fail</v>
      </c>
    </row>
    <row r="7" spans="1:7">
      <c r="A7" s="4" t="s">
        <v>40</v>
      </c>
      <c r="B7" s="4" t="s">
        <v>41</v>
      </c>
      <c r="C7" s="5">
        <v>9</v>
      </c>
      <c r="D7" s="5">
        <v>8</v>
      </c>
      <c r="E7" s="5">
        <v>8</v>
      </c>
      <c r="F7" s="5">
        <v>9</v>
      </c>
      <c r="G7" s="5" t="str">
        <f t="shared" si="0"/>
        <v>Pass</v>
      </c>
    </row>
    <row r="8" spans="1:7">
      <c r="A8" s="4" t="s">
        <v>42</v>
      </c>
      <c r="B8" s="4" t="s">
        <v>43</v>
      </c>
      <c r="C8" s="5">
        <v>7</v>
      </c>
      <c r="D8" s="5">
        <v>8</v>
      </c>
      <c r="E8" s="5">
        <v>7</v>
      </c>
      <c r="F8" s="5">
        <v>8</v>
      </c>
      <c r="G8" s="5" t="str">
        <f t="shared" si="0"/>
        <v>Fail</v>
      </c>
    </row>
    <row r="9" spans="1:7">
      <c r="A9" s="4" t="s">
        <v>44</v>
      </c>
      <c r="B9" s="4" t="s">
        <v>45</v>
      </c>
      <c r="C9" s="5">
        <v>8</v>
      </c>
      <c r="D9" s="5">
        <v>6</v>
      </c>
      <c r="E9" s="5">
        <v>8</v>
      </c>
      <c r="F9" s="5">
        <v>8</v>
      </c>
      <c r="G9" s="5" t="str">
        <f t="shared" si="0"/>
        <v>Fail</v>
      </c>
    </row>
    <row r="10" spans="1:7">
      <c r="A10" s="4" t="s">
        <v>46</v>
      </c>
      <c r="B10" s="4" t="s">
        <v>47</v>
      </c>
      <c r="C10" s="5">
        <v>7</v>
      </c>
      <c r="D10" s="5">
        <v>8</v>
      </c>
      <c r="E10" s="5">
        <v>9</v>
      </c>
      <c r="F10" s="5">
        <v>8</v>
      </c>
      <c r="G10" s="5" t="str">
        <f t="shared" si="0"/>
        <v>Pass</v>
      </c>
    </row>
    <row r="11" spans="1:7">
      <c r="A11" s="4" t="s">
        <v>48</v>
      </c>
      <c r="B11" s="4" t="s">
        <v>49</v>
      </c>
      <c r="C11" s="5">
        <v>7</v>
      </c>
      <c r="D11" s="5">
        <v>6</v>
      </c>
      <c r="E11" s="5">
        <v>7</v>
      </c>
      <c r="F11" s="5">
        <v>2</v>
      </c>
      <c r="G11" s="5" t="str">
        <f t="shared" si="0"/>
        <v>Fail</v>
      </c>
    </row>
    <row r="12" spans="1:7">
      <c r="A12" s="4" t="s">
        <v>50</v>
      </c>
      <c r="B12" s="4" t="s">
        <v>51</v>
      </c>
      <c r="C12" s="5">
        <v>7</v>
      </c>
      <c r="D12" s="5">
        <v>4</v>
      </c>
      <c r="E12" s="5">
        <v>8</v>
      </c>
      <c r="F12" s="5">
        <v>9</v>
      </c>
      <c r="G12" s="5" t="str">
        <f t="shared" si="0"/>
        <v>Fail</v>
      </c>
    </row>
    <row r="13" spans="1:7">
      <c r="A13" s="4" t="s">
        <v>52</v>
      </c>
      <c r="B13" s="4" t="s">
        <v>53</v>
      </c>
      <c r="C13" s="5">
        <v>8</v>
      </c>
      <c r="D13" s="5">
        <v>8</v>
      </c>
      <c r="E13" s="5">
        <v>8</v>
      </c>
      <c r="F13" s="5">
        <v>9</v>
      </c>
      <c r="G13" s="5" t="str">
        <f t="shared" si="0"/>
        <v>Pass</v>
      </c>
    </row>
    <row r="14" spans="1:7">
      <c r="A14" s="4" t="s">
        <v>54</v>
      </c>
      <c r="B14" s="4" t="s">
        <v>55</v>
      </c>
      <c r="C14" s="5">
        <v>8</v>
      </c>
      <c r="D14" s="5">
        <v>8</v>
      </c>
      <c r="E14" s="5">
        <v>6</v>
      </c>
      <c r="F14" s="5">
        <v>8</v>
      </c>
      <c r="G14" s="5" t="str">
        <f t="shared" si="0"/>
        <v>Fail</v>
      </c>
    </row>
    <row r="15" spans="1:7">
      <c r="A15" s="4" t="s">
        <v>56</v>
      </c>
      <c r="B15" s="4" t="s">
        <v>57</v>
      </c>
      <c r="C15" s="5">
        <v>8</v>
      </c>
      <c r="D15" s="5">
        <v>9</v>
      </c>
      <c r="E15" s="5">
        <v>7</v>
      </c>
      <c r="F15" s="5">
        <v>8</v>
      </c>
      <c r="G15" s="5" t="str">
        <f t="shared" si="0"/>
        <v>Fail</v>
      </c>
    </row>
    <row r="16" spans="1:7">
      <c r="A16" s="4" t="s">
        <v>58</v>
      </c>
      <c r="B16" s="4" t="s">
        <v>59</v>
      </c>
      <c r="C16" s="5">
        <v>9</v>
      </c>
      <c r="D16" s="5">
        <v>7</v>
      </c>
      <c r="E16" s="5">
        <v>9</v>
      </c>
      <c r="F16" s="5">
        <v>8</v>
      </c>
      <c r="G16" s="5" t="str">
        <f t="shared" si="0"/>
        <v>Pass</v>
      </c>
    </row>
    <row r="18" spans="1:10">
      <c r="A18" s="11" t="s">
        <v>60</v>
      </c>
      <c r="B18" s="12" t="s">
        <v>36</v>
      </c>
      <c r="C18" s="13" t="s">
        <v>61</v>
      </c>
    </row>
    <row r="19" spans="1:10">
      <c r="A19" s="11" t="s">
        <v>62</v>
      </c>
      <c r="B19" s="4" t="str">
        <f>VLOOKUP(search_item,checks_lookup,2,FALSE)</f>
        <v>Church Fold</v>
      </c>
    </row>
    <row r="20" spans="1:10">
      <c r="A20" s="11" t="s">
        <v>63</v>
      </c>
      <c r="B20" s="4">
        <f>VLOOKUP(search_item,checks_lookup,3,FALSE)</f>
        <v>8</v>
      </c>
    </row>
    <row r="21" spans="1:10">
      <c r="A21" s="11" t="s">
        <v>64</v>
      </c>
      <c r="B21" s="4">
        <f>VLOOKUP(search_item,checks_lookup,4,FALSE)</f>
        <v>9</v>
      </c>
    </row>
    <row r="22" spans="1:10">
      <c r="A22" s="11" t="s">
        <v>65</v>
      </c>
      <c r="B22" s="4">
        <f>VLOOKUP(search_item,checks_lookup,5,FALSE)</f>
        <v>8</v>
      </c>
    </row>
    <row r="23" spans="1:10">
      <c r="A23" s="11" t="s">
        <v>66</v>
      </c>
      <c r="B23" s="4">
        <f>VLOOKUP(search_item,checks_lookup,6,FALSE)</f>
        <v>9</v>
      </c>
    </row>
    <row r="24" spans="1:10" ht="15.75" thickBot="1">
      <c r="A24" s="11" t="s">
        <v>67</v>
      </c>
      <c r="B24" s="4" t="str">
        <f>VLOOKUP(search_item,checks_lookup,7,FALSE)</f>
        <v>Pass</v>
      </c>
    </row>
    <row r="25" spans="1:10" ht="36">
      <c r="J25" s="41" t="s">
        <v>92</v>
      </c>
    </row>
    <row r="26" spans="1:10" ht="16.5">
      <c r="J26" s="42" t="s">
        <v>93</v>
      </c>
    </row>
    <row r="27" spans="1:10" ht="16.5">
      <c r="J27" s="42" t="s">
        <v>94</v>
      </c>
    </row>
    <row r="28" spans="1:10" ht="33">
      <c r="J28" s="42" t="s">
        <v>95</v>
      </c>
    </row>
    <row r="29" spans="1:10" ht="33">
      <c r="J29" s="42" t="s">
        <v>96</v>
      </c>
    </row>
    <row r="30" spans="1:10" ht="17.25" thickBot="1">
      <c r="J30" s="43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6E6D-0EDE-4DD8-943B-A2A75484E1C5}">
  <dimension ref="B1:P19"/>
  <sheetViews>
    <sheetView showGridLines="0" workbookViewId="0">
      <selection activeCell="E28" sqref="E28"/>
    </sheetView>
  </sheetViews>
  <sheetFormatPr defaultRowHeight="15"/>
  <cols>
    <col min="1" max="2" width="2.85546875" customWidth="1"/>
    <col min="3" max="3" width="41" customWidth="1"/>
    <col min="5" max="5" width="13.5703125" customWidth="1"/>
    <col min="6" max="6" width="10.85546875" customWidth="1"/>
    <col min="7" max="7" width="4.7109375" customWidth="1"/>
    <col min="8" max="9" width="10" customWidth="1"/>
    <col min="10" max="10" width="2.85546875" customWidth="1"/>
    <col min="16" max="16" width="65.5703125" bestFit="1" customWidth="1"/>
  </cols>
  <sheetData>
    <row r="1" spans="2:16" ht="15.75" thickBot="1"/>
    <row r="2" spans="2:16">
      <c r="B2" s="14"/>
      <c r="C2" s="15"/>
      <c r="D2" s="15"/>
      <c r="E2" s="15"/>
      <c r="F2" s="15"/>
      <c r="G2" s="15"/>
      <c r="H2" s="15"/>
      <c r="I2" s="15"/>
      <c r="J2" s="16"/>
      <c r="P2" s="37" t="s">
        <v>87</v>
      </c>
    </row>
    <row r="3" spans="2:16">
      <c r="B3" s="17"/>
      <c r="C3" s="18" t="s">
        <v>68</v>
      </c>
      <c r="D3" s="18"/>
      <c r="E3" s="18"/>
      <c r="F3" s="18"/>
      <c r="G3" s="18"/>
      <c r="H3" s="18"/>
      <c r="I3" s="18"/>
      <c r="J3" s="19"/>
      <c r="P3" s="38" t="s">
        <v>88</v>
      </c>
    </row>
    <row r="4" spans="2:16">
      <c r="B4" s="17"/>
      <c r="C4" s="20"/>
      <c r="D4" s="20"/>
      <c r="E4" s="20"/>
      <c r="F4" s="20"/>
      <c r="G4" s="20"/>
      <c r="H4" s="20"/>
      <c r="I4" s="20"/>
      <c r="J4" s="19"/>
      <c r="P4" s="38" t="s">
        <v>89</v>
      </c>
    </row>
    <row r="5" spans="2:16">
      <c r="B5" s="17"/>
      <c r="C5" s="21" t="s">
        <v>69</v>
      </c>
      <c r="D5" s="22" t="s">
        <v>70</v>
      </c>
      <c r="E5" s="22" t="s">
        <v>71</v>
      </c>
      <c r="F5" s="23" t="s">
        <v>72</v>
      </c>
      <c r="G5" s="20"/>
      <c r="H5" s="84" t="s">
        <v>73</v>
      </c>
      <c r="I5" s="85"/>
      <c r="J5" s="19"/>
      <c r="P5" s="38" t="s">
        <v>90</v>
      </c>
    </row>
    <row r="6" spans="2:16" ht="15.75" thickBot="1">
      <c r="B6" s="17"/>
      <c r="C6" s="24" t="s">
        <v>74</v>
      </c>
      <c r="D6" s="25">
        <v>4</v>
      </c>
      <c r="E6" s="26" t="s">
        <v>75</v>
      </c>
      <c r="F6" s="28">
        <f t="shared" ref="F6:F16" si="0">Hours*VLOOKUP($E6,ratestable,2,FALSE)</f>
        <v>200</v>
      </c>
      <c r="G6" s="20"/>
      <c r="H6" s="27" t="s">
        <v>75</v>
      </c>
      <c r="I6" s="28">
        <v>50</v>
      </c>
      <c r="J6" s="19"/>
      <c r="P6" s="39" t="s">
        <v>91</v>
      </c>
    </row>
    <row r="7" spans="2:16">
      <c r="B7" s="17"/>
      <c r="C7" s="24" t="s">
        <v>76</v>
      </c>
      <c r="D7" s="25">
        <v>0.5</v>
      </c>
      <c r="E7" s="26" t="s">
        <v>75</v>
      </c>
      <c r="F7" s="28">
        <f t="shared" si="0"/>
        <v>25</v>
      </c>
      <c r="G7" s="20"/>
      <c r="H7" s="27" t="s">
        <v>77</v>
      </c>
      <c r="I7" s="28">
        <v>75</v>
      </c>
      <c r="J7" s="19"/>
    </row>
    <row r="8" spans="2:16">
      <c r="B8" s="17"/>
      <c r="C8" s="24" t="s">
        <v>78</v>
      </c>
      <c r="D8" s="25">
        <v>3</v>
      </c>
      <c r="E8" s="26" t="s">
        <v>75</v>
      </c>
      <c r="F8" s="28">
        <f t="shared" si="0"/>
        <v>150</v>
      </c>
      <c r="G8" s="20"/>
      <c r="H8" s="27" t="s">
        <v>79</v>
      </c>
      <c r="I8" s="28">
        <v>100</v>
      </c>
      <c r="J8" s="19"/>
    </row>
    <row r="9" spans="2:16">
      <c r="B9" s="17"/>
      <c r="C9" s="24" t="s">
        <v>78</v>
      </c>
      <c r="D9" s="25">
        <v>1</v>
      </c>
      <c r="E9" s="26" t="s">
        <v>77</v>
      </c>
      <c r="F9" s="28">
        <f t="shared" si="0"/>
        <v>75</v>
      </c>
      <c r="G9" s="20"/>
      <c r="H9" s="27" t="s">
        <v>80</v>
      </c>
      <c r="I9" s="28">
        <v>150</v>
      </c>
      <c r="J9" s="19"/>
    </row>
    <row r="10" spans="2:16">
      <c r="B10" s="17"/>
      <c r="C10" s="24" t="s">
        <v>81</v>
      </c>
      <c r="D10" s="25">
        <v>7.5</v>
      </c>
      <c r="E10" s="26" t="s">
        <v>79</v>
      </c>
      <c r="F10" s="28">
        <f t="shared" si="0"/>
        <v>750</v>
      </c>
      <c r="G10" s="20"/>
      <c r="H10" s="20"/>
      <c r="I10" s="20"/>
      <c r="J10" s="19"/>
    </row>
    <row r="11" spans="2:16">
      <c r="B11" s="17"/>
      <c r="C11" s="24" t="s">
        <v>82</v>
      </c>
      <c r="D11" s="25">
        <v>0.5</v>
      </c>
      <c r="E11" s="26" t="s">
        <v>80</v>
      </c>
      <c r="F11" s="28">
        <f t="shared" si="0"/>
        <v>75</v>
      </c>
      <c r="G11" s="20"/>
      <c r="H11" s="20"/>
      <c r="I11" s="20"/>
      <c r="J11" s="19"/>
    </row>
    <row r="12" spans="2:16">
      <c r="B12" s="17"/>
      <c r="C12" s="24" t="s">
        <v>83</v>
      </c>
      <c r="D12" s="25">
        <v>2</v>
      </c>
      <c r="E12" s="26" t="s">
        <v>80</v>
      </c>
      <c r="F12" s="28">
        <f t="shared" si="0"/>
        <v>300</v>
      </c>
      <c r="G12" s="20"/>
      <c r="H12" s="20"/>
      <c r="I12" s="20"/>
      <c r="J12" s="19"/>
    </row>
    <row r="13" spans="2:16">
      <c r="B13" s="17"/>
      <c r="C13" s="24" t="s">
        <v>84</v>
      </c>
      <c r="D13" s="25">
        <v>3</v>
      </c>
      <c r="E13" s="26" t="s">
        <v>75</v>
      </c>
      <c r="F13" s="28">
        <f t="shared" si="0"/>
        <v>150</v>
      </c>
      <c r="G13" s="20"/>
      <c r="H13" s="20"/>
      <c r="I13" s="20"/>
      <c r="J13" s="19"/>
    </row>
    <row r="14" spans="2:16">
      <c r="B14" s="17"/>
      <c r="C14" s="24" t="s">
        <v>76</v>
      </c>
      <c r="D14" s="25">
        <v>0.5</v>
      </c>
      <c r="E14" s="26" t="s">
        <v>75</v>
      </c>
      <c r="F14" s="28">
        <f t="shared" si="0"/>
        <v>25</v>
      </c>
      <c r="G14" s="20"/>
      <c r="H14" s="20"/>
      <c r="I14" s="20"/>
      <c r="J14" s="19"/>
    </row>
    <row r="15" spans="2:16">
      <c r="B15" s="17"/>
      <c r="C15" s="24" t="s">
        <v>84</v>
      </c>
      <c r="D15" s="25">
        <v>3</v>
      </c>
      <c r="E15" s="26" t="s">
        <v>75</v>
      </c>
      <c r="F15" s="28">
        <f t="shared" si="0"/>
        <v>150</v>
      </c>
      <c r="G15" s="20"/>
      <c r="H15" s="20"/>
      <c r="I15" s="20"/>
      <c r="J15" s="19"/>
    </row>
    <row r="16" spans="2:16">
      <c r="B16" s="17"/>
      <c r="C16" s="29" t="s">
        <v>85</v>
      </c>
      <c r="D16" s="30">
        <v>2</v>
      </c>
      <c r="E16" s="31" t="s">
        <v>77</v>
      </c>
      <c r="F16" s="28">
        <f t="shared" si="0"/>
        <v>150</v>
      </c>
      <c r="G16" s="20"/>
      <c r="H16" s="20"/>
      <c r="I16" s="20"/>
      <c r="J16" s="19"/>
    </row>
    <row r="17" spans="2:10">
      <c r="B17" s="17"/>
      <c r="C17" s="20"/>
      <c r="D17" s="20"/>
      <c r="E17" s="20"/>
      <c r="F17" s="20"/>
      <c r="G17" s="20"/>
      <c r="H17" s="20"/>
      <c r="I17" s="20"/>
      <c r="J17" s="19"/>
    </row>
    <row r="18" spans="2:10">
      <c r="B18" s="17"/>
      <c r="C18" s="20"/>
      <c r="D18" s="20"/>
      <c r="E18" s="32" t="s">
        <v>86</v>
      </c>
      <c r="F18" s="33">
        <f>SUM(F6:F16)</f>
        <v>2050</v>
      </c>
      <c r="G18" s="20"/>
      <c r="H18" s="20"/>
      <c r="I18" s="20"/>
      <c r="J18" s="19"/>
    </row>
    <row r="19" spans="2:10">
      <c r="B19" s="34"/>
      <c r="C19" s="35"/>
      <c r="D19" s="35"/>
      <c r="E19" s="35"/>
      <c r="F19" s="35"/>
      <c r="G19" s="35"/>
      <c r="H19" s="35"/>
      <c r="I19" s="35"/>
      <c r="J19" s="36"/>
    </row>
  </sheetData>
  <mergeCells count="1"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0871-3C11-4A32-9EFF-C4A5EB3BCCC8}">
  <dimension ref="B2:N18"/>
  <sheetViews>
    <sheetView showGridLines="0" workbookViewId="0">
      <selection activeCell="K28" sqref="K28"/>
    </sheetView>
  </sheetViews>
  <sheetFormatPr defaultRowHeight="15"/>
  <cols>
    <col min="1" max="2" width="2.85546875" customWidth="1"/>
    <col min="3" max="3" width="12.140625" customWidth="1"/>
    <col min="4" max="4" width="11.5703125" customWidth="1"/>
    <col min="5" max="5" width="4.28515625" customWidth="1"/>
    <col min="6" max="6" width="11" customWidth="1"/>
    <col min="7" max="7" width="13.5703125" customWidth="1"/>
    <col min="8" max="8" width="2.85546875" customWidth="1"/>
    <col min="10" max="10" width="12.42578125" customWidth="1"/>
    <col min="11" max="11" width="15" customWidth="1"/>
  </cols>
  <sheetData>
    <row r="2" spans="2:14">
      <c r="B2" s="14"/>
      <c r="C2" s="15"/>
      <c r="D2" s="15"/>
      <c r="E2" s="15"/>
      <c r="F2" s="15"/>
      <c r="G2" s="15"/>
      <c r="H2" s="16"/>
    </row>
    <row r="3" spans="2:14">
      <c r="B3" s="17"/>
      <c r="C3" s="86" t="s">
        <v>98</v>
      </c>
      <c r="D3" s="86"/>
      <c r="E3" s="86"/>
      <c r="F3" s="86"/>
      <c r="G3" s="86"/>
      <c r="H3" s="19"/>
    </row>
    <row r="4" spans="2:14">
      <c r="B4" s="17"/>
      <c r="C4" s="20"/>
      <c r="D4" s="20"/>
      <c r="E4" s="20"/>
      <c r="F4" s="20"/>
      <c r="G4" s="20"/>
      <c r="H4" s="19"/>
    </row>
    <row r="5" spans="2:14">
      <c r="B5" s="17"/>
      <c r="C5" s="21" t="s">
        <v>99</v>
      </c>
      <c r="D5" s="44"/>
      <c r="E5" s="20"/>
      <c r="F5" s="45" t="s">
        <v>100</v>
      </c>
      <c r="G5" s="46"/>
      <c r="H5" s="19"/>
      <c r="J5" s="21" t="s">
        <v>101</v>
      </c>
      <c r="K5" s="44"/>
      <c r="N5" t="s">
        <v>123</v>
      </c>
    </row>
    <row r="6" spans="2:14">
      <c r="B6" s="17"/>
      <c r="C6" s="47" t="s">
        <v>102</v>
      </c>
      <c r="D6" s="48" t="s">
        <v>103</v>
      </c>
      <c r="E6" s="20"/>
      <c r="F6" s="47" t="s">
        <v>104</v>
      </c>
      <c r="G6" s="49" t="s">
        <v>105</v>
      </c>
      <c r="H6" s="19"/>
      <c r="J6" s="50" t="s">
        <v>102</v>
      </c>
      <c r="K6" s="51" t="s">
        <v>121</v>
      </c>
      <c r="N6" t="s">
        <v>124</v>
      </c>
    </row>
    <row r="7" spans="2:14">
      <c r="B7" s="17"/>
      <c r="C7" s="52" t="s">
        <v>106</v>
      </c>
      <c r="D7" s="53">
        <v>532</v>
      </c>
      <c r="E7" s="20"/>
      <c r="F7" s="52" t="s">
        <v>107</v>
      </c>
      <c r="G7" s="54">
        <v>1</v>
      </c>
      <c r="H7" s="19"/>
      <c r="J7" s="50" t="s">
        <v>108</v>
      </c>
      <c r="K7" s="51" t="s">
        <v>116</v>
      </c>
    </row>
    <row r="8" spans="2:14">
      <c r="B8" s="17"/>
      <c r="C8" s="52" t="s">
        <v>109</v>
      </c>
      <c r="D8" s="53">
        <v>480</v>
      </c>
      <c r="E8" s="20"/>
      <c r="F8" s="52" t="s">
        <v>75</v>
      </c>
      <c r="G8" s="54">
        <v>1.2</v>
      </c>
      <c r="H8" s="19"/>
      <c r="J8" s="50" t="s">
        <v>103</v>
      </c>
      <c r="K8" s="55">
        <f>VLOOKUP(Destination,BasePrices,2,FALSE)</f>
        <v>670</v>
      </c>
    </row>
    <row r="9" spans="2:14">
      <c r="B9" s="17"/>
      <c r="C9" s="52" t="s">
        <v>110</v>
      </c>
      <c r="D9" s="53">
        <v>411</v>
      </c>
      <c r="E9" s="20"/>
      <c r="F9" s="52" t="s">
        <v>111</v>
      </c>
      <c r="G9" s="54">
        <v>1.5</v>
      </c>
      <c r="H9" s="19"/>
      <c r="J9" s="50" t="s">
        <v>112</v>
      </c>
      <c r="K9" s="56">
        <f>VLOOKUP(Type,Multipliers,2,FALSE)</f>
        <v>3</v>
      </c>
    </row>
    <row r="10" spans="2:14">
      <c r="B10" s="17"/>
      <c r="C10" s="52" t="s">
        <v>113</v>
      </c>
      <c r="D10" s="53">
        <v>550</v>
      </c>
      <c r="E10" s="20"/>
      <c r="F10" s="52" t="s">
        <v>114</v>
      </c>
      <c r="G10" s="54">
        <v>2</v>
      </c>
      <c r="H10" s="19"/>
      <c r="J10" s="57" t="s">
        <v>72</v>
      </c>
      <c r="K10" s="58">
        <f>K8*K9</f>
        <v>2010</v>
      </c>
    </row>
    <row r="11" spans="2:14">
      <c r="B11" s="17"/>
      <c r="C11" s="52" t="s">
        <v>115</v>
      </c>
      <c r="D11" s="53">
        <v>574</v>
      </c>
      <c r="E11" s="20"/>
      <c r="F11" s="59" t="s">
        <v>116</v>
      </c>
      <c r="G11" s="60">
        <v>3</v>
      </c>
      <c r="H11" s="19"/>
    </row>
    <row r="12" spans="2:14">
      <c r="B12" s="17"/>
      <c r="C12" s="52" t="s">
        <v>117</v>
      </c>
      <c r="D12" s="53">
        <v>541</v>
      </c>
      <c r="E12" s="20"/>
      <c r="F12" s="20"/>
      <c r="G12" s="20"/>
      <c r="H12" s="19"/>
    </row>
    <row r="13" spans="2:14">
      <c r="B13" s="17"/>
      <c r="C13" s="52" t="s">
        <v>118</v>
      </c>
      <c r="D13" s="53">
        <v>548</v>
      </c>
      <c r="E13" s="20"/>
      <c r="F13" s="20"/>
      <c r="G13" s="20"/>
      <c r="H13" s="19"/>
    </row>
    <row r="14" spans="2:14">
      <c r="B14" s="17"/>
      <c r="C14" s="52" t="s">
        <v>119</v>
      </c>
      <c r="D14" s="53">
        <v>210</v>
      </c>
      <c r="E14" s="20"/>
      <c r="F14" s="20"/>
      <c r="G14" s="20"/>
      <c r="H14" s="19"/>
    </row>
    <row r="15" spans="2:14">
      <c r="B15" s="17"/>
      <c r="C15" s="52" t="s">
        <v>120</v>
      </c>
      <c r="D15" s="53">
        <v>235</v>
      </c>
      <c r="E15" s="20"/>
      <c r="F15" s="20"/>
      <c r="G15" s="20"/>
      <c r="H15" s="19"/>
    </row>
    <row r="16" spans="2:14">
      <c r="B16" s="17"/>
      <c r="C16" s="52" t="s">
        <v>121</v>
      </c>
      <c r="D16" s="53">
        <v>670</v>
      </c>
      <c r="E16" s="20"/>
      <c r="F16" s="20"/>
      <c r="G16" s="20"/>
      <c r="H16" s="19"/>
    </row>
    <row r="17" spans="2:8">
      <c r="B17" s="17"/>
      <c r="C17" s="59" t="s">
        <v>122</v>
      </c>
      <c r="D17" s="61">
        <v>323</v>
      </c>
      <c r="E17" s="20"/>
      <c r="F17" s="20"/>
      <c r="G17" s="20"/>
      <c r="H17" s="19"/>
    </row>
    <row r="18" spans="2:8">
      <c r="B18" s="34"/>
      <c r="C18" s="35"/>
      <c r="D18" s="35"/>
      <c r="E18" s="35"/>
      <c r="F18" s="35"/>
      <c r="G18" s="35"/>
      <c r="H18" s="36"/>
    </row>
  </sheetData>
  <mergeCells count="1">
    <mergeCell ref="C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82AC-32BD-4FAD-9FAE-9E50452CAB43}">
  <dimension ref="B1:H30"/>
  <sheetViews>
    <sheetView showGridLines="0" workbookViewId="0">
      <selection activeCell="G21" sqref="G21"/>
    </sheetView>
  </sheetViews>
  <sheetFormatPr defaultRowHeight="15"/>
  <cols>
    <col min="1" max="1" width="2.85546875" customWidth="1"/>
    <col min="2" max="2" width="33.5703125" bestFit="1" customWidth="1"/>
    <col min="3" max="3" width="19.85546875" customWidth="1"/>
    <col min="4" max="4" width="47.85546875" customWidth="1"/>
    <col min="5" max="5" width="19" bestFit="1" customWidth="1"/>
    <col min="6" max="6" width="14.28515625" style="73" customWidth="1"/>
    <col min="7" max="7" width="17.7109375" style="73" customWidth="1"/>
    <col min="8" max="8" width="16.7109375" style="73" bestFit="1" customWidth="1"/>
  </cols>
  <sheetData>
    <row r="1" spans="2:8">
      <c r="F1"/>
      <c r="G1"/>
      <c r="H1"/>
    </row>
    <row r="2" spans="2:8">
      <c r="B2" s="62" t="s">
        <v>125</v>
      </c>
      <c r="C2" s="62"/>
      <c r="D2" s="62"/>
      <c r="E2" s="62"/>
      <c r="F2" s="62"/>
      <c r="G2" s="62"/>
      <c r="H2" s="62"/>
    </row>
    <row r="3" spans="2:8">
      <c r="B3" s="63" t="s">
        <v>126</v>
      </c>
      <c r="C3" s="63" t="s">
        <v>127</v>
      </c>
      <c r="D3" s="63" t="s">
        <v>128</v>
      </c>
      <c r="E3" s="64" t="s">
        <v>129</v>
      </c>
      <c r="F3" s="64" t="s">
        <v>130</v>
      </c>
      <c r="G3" s="64" t="s">
        <v>131</v>
      </c>
      <c r="H3" s="64" t="s">
        <v>132</v>
      </c>
    </row>
    <row r="4" spans="2:8">
      <c r="B4" s="65" t="s">
        <v>133</v>
      </c>
      <c r="C4" s="66" t="s">
        <v>134</v>
      </c>
      <c r="D4" s="67" t="s">
        <v>135</v>
      </c>
      <c r="E4" s="68">
        <v>165</v>
      </c>
      <c r="F4" s="69" t="str">
        <f t="shared" ref="F4:F18" si="0">VLOOKUP(Emissions,TaxTable,2,TRUE)</f>
        <v>Band D</v>
      </c>
      <c r="G4" s="77">
        <f t="shared" ref="G4:H18" si="1">VLOOKUP(Emissions,TaxTable,MATCH(G$3,TaxTableHeaders,0),TRUE)</f>
        <v>77</v>
      </c>
      <c r="H4" s="77">
        <f t="shared" si="1"/>
        <v>140</v>
      </c>
    </row>
    <row r="5" spans="2:8">
      <c r="B5" s="65" t="s">
        <v>136</v>
      </c>
      <c r="C5" s="66" t="s">
        <v>137</v>
      </c>
      <c r="D5" s="67" t="s">
        <v>138</v>
      </c>
      <c r="E5" s="68">
        <v>394</v>
      </c>
      <c r="F5" s="69" t="str">
        <f t="shared" si="0"/>
        <v>Band G</v>
      </c>
      <c r="G5" s="77">
        <f t="shared" si="1"/>
        <v>165</v>
      </c>
      <c r="H5" s="77">
        <f t="shared" si="1"/>
        <v>300</v>
      </c>
    </row>
    <row r="6" spans="2:8">
      <c r="B6" s="65" t="s">
        <v>136</v>
      </c>
      <c r="C6" s="66" t="s">
        <v>137</v>
      </c>
      <c r="D6" s="67" t="s">
        <v>139</v>
      </c>
      <c r="E6" s="68">
        <v>421</v>
      </c>
      <c r="F6" s="69" t="str">
        <f t="shared" si="0"/>
        <v>Band G</v>
      </c>
      <c r="G6" s="77">
        <f t="shared" si="1"/>
        <v>165</v>
      </c>
      <c r="H6" s="77">
        <f t="shared" si="1"/>
        <v>300</v>
      </c>
    </row>
    <row r="7" spans="2:8">
      <c r="B7" s="70" t="s">
        <v>140</v>
      </c>
      <c r="C7" s="71" t="s">
        <v>141</v>
      </c>
      <c r="D7" s="72" t="s">
        <v>142</v>
      </c>
      <c r="E7" s="68">
        <v>249</v>
      </c>
      <c r="F7" s="69" t="str">
        <f t="shared" si="0"/>
        <v>Band G</v>
      </c>
      <c r="G7" s="77">
        <f t="shared" si="1"/>
        <v>165</v>
      </c>
      <c r="H7" s="77">
        <f t="shared" si="1"/>
        <v>300</v>
      </c>
    </row>
    <row r="8" spans="2:8">
      <c r="B8" s="65" t="s">
        <v>143</v>
      </c>
      <c r="C8" s="66" t="s">
        <v>144</v>
      </c>
      <c r="D8" s="67" t="s">
        <v>145</v>
      </c>
      <c r="E8" s="68">
        <v>410</v>
      </c>
      <c r="F8" s="69" t="str">
        <f t="shared" si="0"/>
        <v>Band G</v>
      </c>
      <c r="G8" s="77">
        <f t="shared" si="1"/>
        <v>165</v>
      </c>
      <c r="H8" s="77">
        <f t="shared" si="1"/>
        <v>300</v>
      </c>
    </row>
    <row r="9" spans="2:8">
      <c r="B9" s="65" t="s">
        <v>146</v>
      </c>
      <c r="C9" s="66" t="s">
        <v>147</v>
      </c>
      <c r="D9" s="67" t="s">
        <v>148</v>
      </c>
      <c r="E9" s="68">
        <v>327</v>
      </c>
      <c r="F9" s="69" t="str">
        <f t="shared" si="0"/>
        <v>Band G</v>
      </c>
      <c r="G9" s="77">
        <f t="shared" si="1"/>
        <v>165</v>
      </c>
      <c r="H9" s="77">
        <f t="shared" si="1"/>
        <v>300</v>
      </c>
    </row>
    <row r="10" spans="2:8">
      <c r="B10" s="65" t="s">
        <v>149</v>
      </c>
      <c r="C10" s="66" t="s">
        <v>150</v>
      </c>
      <c r="D10" s="67" t="s">
        <v>151</v>
      </c>
      <c r="E10" s="68">
        <v>383</v>
      </c>
      <c r="F10" s="69" t="str">
        <f t="shared" si="0"/>
        <v>Band G</v>
      </c>
      <c r="G10" s="77">
        <f t="shared" si="1"/>
        <v>165</v>
      </c>
      <c r="H10" s="77">
        <f t="shared" si="1"/>
        <v>300</v>
      </c>
    </row>
    <row r="11" spans="2:8">
      <c r="B11" s="65" t="s">
        <v>149</v>
      </c>
      <c r="C11" s="66" t="s">
        <v>150</v>
      </c>
      <c r="D11" s="67" t="s">
        <v>152</v>
      </c>
      <c r="E11" s="68">
        <v>383</v>
      </c>
      <c r="F11" s="69" t="str">
        <f t="shared" si="0"/>
        <v>Band G</v>
      </c>
      <c r="G11" s="77">
        <f t="shared" si="1"/>
        <v>165</v>
      </c>
      <c r="H11" s="77">
        <f t="shared" si="1"/>
        <v>300</v>
      </c>
    </row>
    <row r="12" spans="2:8">
      <c r="B12" s="65" t="s">
        <v>153</v>
      </c>
      <c r="C12" s="66" t="s">
        <v>154</v>
      </c>
      <c r="D12" s="67" t="s">
        <v>155</v>
      </c>
      <c r="E12" s="68">
        <v>180</v>
      </c>
      <c r="F12" s="69" t="str">
        <f t="shared" si="0"/>
        <v>Band E</v>
      </c>
      <c r="G12" s="77">
        <f t="shared" si="1"/>
        <v>90.75</v>
      </c>
      <c r="H12" s="77">
        <f t="shared" si="1"/>
        <v>165</v>
      </c>
    </row>
    <row r="13" spans="2:8">
      <c r="B13" s="65" t="s">
        <v>156</v>
      </c>
      <c r="C13" s="66" t="s">
        <v>157</v>
      </c>
      <c r="D13" s="67" t="s">
        <v>158</v>
      </c>
      <c r="E13" s="68">
        <v>475</v>
      </c>
      <c r="F13" s="69" t="str">
        <f t="shared" si="0"/>
        <v>Band G</v>
      </c>
      <c r="G13" s="77">
        <f t="shared" si="1"/>
        <v>165</v>
      </c>
      <c r="H13" s="77">
        <f t="shared" si="1"/>
        <v>300</v>
      </c>
    </row>
    <row r="14" spans="2:8">
      <c r="B14" s="65" t="s">
        <v>159</v>
      </c>
      <c r="C14" s="66" t="s">
        <v>160</v>
      </c>
      <c r="D14" s="67" t="s">
        <v>161</v>
      </c>
      <c r="E14" s="68">
        <v>135</v>
      </c>
      <c r="F14" s="69" t="str">
        <f t="shared" si="0"/>
        <v>Band C</v>
      </c>
      <c r="G14" s="77">
        <f t="shared" si="1"/>
        <v>63.25</v>
      </c>
      <c r="H14" s="77">
        <f t="shared" si="1"/>
        <v>115</v>
      </c>
    </row>
    <row r="15" spans="2:8">
      <c r="B15" s="65" t="s">
        <v>162</v>
      </c>
      <c r="C15" s="66" t="s">
        <v>163</v>
      </c>
      <c r="D15" s="67" t="s">
        <v>164</v>
      </c>
      <c r="E15" s="68">
        <v>179</v>
      </c>
      <c r="F15" s="69" t="str">
        <f t="shared" si="0"/>
        <v>Band E</v>
      </c>
      <c r="G15" s="77">
        <f t="shared" si="1"/>
        <v>90.75</v>
      </c>
      <c r="H15" s="77">
        <f t="shared" si="1"/>
        <v>165</v>
      </c>
    </row>
    <row r="16" spans="2:8">
      <c r="B16" s="65" t="s">
        <v>165</v>
      </c>
      <c r="C16" s="66" t="s">
        <v>166</v>
      </c>
      <c r="D16" s="67" t="s">
        <v>167</v>
      </c>
      <c r="E16" s="68">
        <v>265</v>
      </c>
      <c r="F16" s="69" t="str">
        <f t="shared" si="0"/>
        <v>Band G</v>
      </c>
      <c r="G16" s="77">
        <f t="shared" si="1"/>
        <v>165</v>
      </c>
      <c r="H16" s="77">
        <f t="shared" si="1"/>
        <v>300</v>
      </c>
    </row>
    <row r="17" spans="2:8">
      <c r="B17" s="65" t="s">
        <v>168</v>
      </c>
      <c r="C17" s="66" t="s">
        <v>169</v>
      </c>
      <c r="D17" s="67" t="s">
        <v>170</v>
      </c>
      <c r="E17" s="68">
        <v>380</v>
      </c>
      <c r="F17" s="69" t="str">
        <f t="shared" si="0"/>
        <v>Band G</v>
      </c>
      <c r="G17" s="77">
        <f t="shared" si="1"/>
        <v>165</v>
      </c>
      <c r="H17" s="77">
        <f t="shared" si="1"/>
        <v>300</v>
      </c>
    </row>
    <row r="18" spans="2:8">
      <c r="B18" s="65" t="s">
        <v>171</v>
      </c>
      <c r="C18" s="66" t="s">
        <v>172</v>
      </c>
      <c r="D18" s="67" t="s">
        <v>173</v>
      </c>
      <c r="E18" s="68">
        <v>129</v>
      </c>
      <c r="F18" s="69" t="str">
        <f t="shared" si="0"/>
        <v>Band C</v>
      </c>
      <c r="G18" s="77">
        <f t="shared" si="1"/>
        <v>63.25</v>
      </c>
      <c r="H18" s="77">
        <f t="shared" si="1"/>
        <v>115</v>
      </c>
    </row>
    <row r="29" spans="2:8" ht="18">
      <c r="D29" s="40" t="s">
        <v>184</v>
      </c>
    </row>
    <row r="30" spans="2:8" ht="18">
      <c r="D30" s="40" t="s">
        <v>185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02C0-9D52-4675-ADB2-E2B2DB12D643}">
  <dimension ref="A1:D8"/>
  <sheetViews>
    <sheetView showGridLines="0" workbookViewId="0">
      <selection activeCell="F34" sqref="F34"/>
    </sheetView>
  </sheetViews>
  <sheetFormatPr defaultRowHeight="15"/>
  <cols>
    <col min="1" max="1" width="13.85546875" bestFit="1" customWidth="1"/>
    <col min="3" max="3" width="15.7109375" bestFit="1" customWidth="1"/>
    <col min="4" max="4" width="16.7109375" bestFit="1" customWidth="1"/>
  </cols>
  <sheetData>
    <row r="1" spans="1:4">
      <c r="A1" s="74" t="s">
        <v>174</v>
      </c>
      <c r="B1" s="74" t="s">
        <v>175</v>
      </c>
      <c r="C1" s="74" t="s">
        <v>131</v>
      </c>
      <c r="D1" s="74" t="s">
        <v>132</v>
      </c>
    </row>
    <row r="2" spans="1:4">
      <c r="A2" s="5">
        <v>0</v>
      </c>
      <c r="B2" s="4" t="s">
        <v>176</v>
      </c>
      <c r="C2" s="75" t="s">
        <v>177</v>
      </c>
      <c r="D2" s="76">
        <v>0</v>
      </c>
    </row>
    <row r="3" spans="1:4">
      <c r="A3" s="5">
        <v>101</v>
      </c>
      <c r="B3" s="4" t="s">
        <v>178</v>
      </c>
      <c r="C3" s="75" t="s">
        <v>177</v>
      </c>
      <c r="D3" s="76">
        <v>35</v>
      </c>
    </row>
    <row r="4" spans="1:4">
      <c r="A4" s="5">
        <v>121</v>
      </c>
      <c r="B4" s="4" t="s">
        <v>179</v>
      </c>
      <c r="C4" s="75">
        <v>63.25</v>
      </c>
      <c r="D4" s="76">
        <v>115</v>
      </c>
    </row>
    <row r="5" spans="1:4">
      <c r="A5" s="5">
        <v>151</v>
      </c>
      <c r="B5" s="4" t="s">
        <v>180</v>
      </c>
      <c r="C5" s="75">
        <v>77</v>
      </c>
      <c r="D5" s="76">
        <v>140</v>
      </c>
    </row>
    <row r="6" spans="1:4">
      <c r="A6" s="5">
        <v>166</v>
      </c>
      <c r="B6" s="4" t="s">
        <v>181</v>
      </c>
      <c r="C6" s="75">
        <v>90.75</v>
      </c>
      <c r="D6" s="76">
        <v>165</v>
      </c>
    </row>
    <row r="7" spans="1:4">
      <c r="A7" s="5">
        <v>186</v>
      </c>
      <c r="B7" s="4" t="s">
        <v>182</v>
      </c>
      <c r="C7" s="75">
        <v>112.75</v>
      </c>
      <c r="D7" s="76">
        <v>205</v>
      </c>
    </row>
    <row r="8" spans="1:4">
      <c r="A8" s="5">
        <v>226</v>
      </c>
      <c r="B8" s="4" t="s">
        <v>183</v>
      </c>
      <c r="C8" s="75">
        <v>165</v>
      </c>
      <c r="D8" s="76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A939-7B0C-496A-81EC-DE9B3E83731B}">
  <dimension ref="A1:I13"/>
  <sheetViews>
    <sheetView showGridLines="0" zoomScale="90" zoomScaleNormal="90" workbookViewId="0">
      <selection activeCell="F6" sqref="F6"/>
    </sheetView>
  </sheetViews>
  <sheetFormatPr defaultRowHeight="15"/>
  <cols>
    <col min="1" max="1" width="13.42578125" customWidth="1"/>
    <col min="2" max="2" width="13.5703125" customWidth="1"/>
    <col min="3" max="3" width="7.7109375" customWidth="1"/>
    <col min="4" max="4" width="2.42578125" customWidth="1"/>
    <col min="5" max="5" width="19.42578125" customWidth="1"/>
    <col min="6" max="6" width="23.140625" customWidth="1"/>
  </cols>
  <sheetData>
    <row r="1" spans="1:9" ht="21">
      <c r="A1" s="78" t="s">
        <v>186</v>
      </c>
    </row>
    <row r="3" spans="1:9" s="10" customFormat="1" ht="18">
      <c r="A3" s="79" t="s">
        <v>187</v>
      </c>
      <c r="B3" s="80" t="s">
        <v>188</v>
      </c>
      <c r="C3" s="80" t="s">
        <v>189</v>
      </c>
      <c r="E3" s="81" t="s">
        <v>188</v>
      </c>
      <c r="F3" s="81" t="s">
        <v>190</v>
      </c>
      <c r="I3" s="40" t="s">
        <v>201</v>
      </c>
    </row>
    <row r="4" spans="1:9">
      <c r="A4" s="4" t="s">
        <v>191</v>
      </c>
      <c r="B4" s="4">
        <v>15</v>
      </c>
      <c r="C4" s="82">
        <f>Customers * VLOOKUP(Customers,BonusLookup,2,TRUE)</f>
        <v>750</v>
      </c>
      <c r="E4" s="83">
        <v>0</v>
      </c>
      <c r="F4" s="83">
        <v>25</v>
      </c>
    </row>
    <row r="5" spans="1:9">
      <c r="A5" s="4" t="s">
        <v>192</v>
      </c>
      <c r="B5" s="4">
        <v>23</v>
      </c>
      <c r="C5" s="82">
        <f>Customers * VLOOKUP(Customers,BonusLookup,2,TRUE)</f>
        <v>1725</v>
      </c>
      <c r="E5" s="83">
        <v>10</v>
      </c>
      <c r="F5" s="83">
        <v>50</v>
      </c>
    </row>
    <row r="6" spans="1:9">
      <c r="A6" s="4" t="s">
        <v>193</v>
      </c>
      <c r="B6" s="4">
        <v>41</v>
      </c>
      <c r="C6" s="82">
        <f>Customers * VLOOKUP(Customers,BonusLookup,2,TRUE)</f>
        <v>5125</v>
      </c>
      <c r="E6" s="83">
        <v>20</v>
      </c>
      <c r="F6" s="83">
        <v>75</v>
      </c>
    </row>
    <row r="7" spans="1:9">
      <c r="A7" s="4" t="s">
        <v>194</v>
      </c>
      <c r="B7" s="4">
        <v>18</v>
      </c>
      <c r="C7" s="82">
        <f>Customers * VLOOKUP(Customers,BonusLookup,2,TRUE)</f>
        <v>900</v>
      </c>
      <c r="E7" s="83">
        <v>30</v>
      </c>
      <c r="F7" s="83">
        <v>100</v>
      </c>
    </row>
    <row r="8" spans="1:9">
      <c r="A8" s="4" t="s">
        <v>195</v>
      </c>
      <c r="B8" s="4">
        <v>7</v>
      </c>
      <c r="C8" s="82">
        <f>Customers * VLOOKUP(Customers,BonusLookup,2,TRUE)</f>
        <v>175</v>
      </c>
      <c r="E8" s="83">
        <v>40</v>
      </c>
      <c r="F8" s="83">
        <v>125</v>
      </c>
    </row>
    <row r="9" spans="1:9">
      <c r="A9" s="4" t="s">
        <v>196</v>
      </c>
      <c r="B9" s="4">
        <v>51</v>
      </c>
      <c r="C9" s="82">
        <f>Customers * VLOOKUP(Customers,BonusLookup,2,TRUE)</f>
        <v>7650</v>
      </c>
      <c r="E9" s="83">
        <v>50</v>
      </c>
      <c r="F9" s="83">
        <v>150</v>
      </c>
    </row>
    <row r="10" spans="1:9">
      <c r="A10" s="4" t="s">
        <v>197</v>
      </c>
      <c r="B10" s="4">
        <v>22</v>
      </c>
      <c r="C10" s="82">
        <f>Customers * VLOOKUP(Customers,BonusLookup,2,TRUE)</f>
        <v>1650</v>
      </c>
    </row>
    <row r="11" spans="1:9">
      <c r="A11" s="4" t="s">
        <v>198</v>
      </c>
      <c r="B11" s="4">
        <v>19</v>
      </c>
      <c r="C11" s="82">
        <f>Customers * VLOOKUP(Customers,BonusLookup,2,TRUE)</f>
        <v>950</v>
      </c>
    </row>
    <row r="12" spans="1:9">
      <c r="A12" s="4" t="s">
        <v>199</v>
      </c>
      <c r="B12" s="4">
        <v>37</v>
      </c>
      <c r="C12" s="82">
        <f>Customers * VLOOKUP(Customers,BonusLookup,2,TRUE)</f>
        <v>3700</v>
      </c>
    </row>
    <row r="13" spans="1:9">
      <c r="A13" s="4" t="s">
        <v>200</v>
      </c>
      <c r="B13" s="4">
        <v>34</v>
      </c>
      <c r="C13" s="82">
        <f>Customers * VLOOKUP(Customers,BonusLookup,2,TRUE)</f>
        <v>3400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FDA0-6492-49F5-95F3-9D9B0F1E1593}">
  <dimension ref="A1:N22"/>
  <sheetViews>
    <sheetView showGridLines="0" zoomScale="85" zoomScaleNormal="85" workbookViewId="0">
      <selection activeCell="N3" sqref="N3"/>
    </sheetView>
  </sheetViews>
  <sheetFormatPr defaultRowHeight="15"/>
  <cols>
    <col min="1" max="1" width="21.28515625" customWidth="1"/>
    <col min="2" max="2" width="6" style="7" bestFit="1" customWidth="1"/>
    <col min="3" max="3" width="11.140625" style="7" bestFit="1" customWidth="1"/>
    <col min="4" max="4" width="8.85546875" customWidth="1"/>
    <col min="5" max="6" width="10.7109375" customWidth="1"/>
    <col min="7" max="7" width="7.85546875" style="7" customWidth="1"/>
    <col min="8" max="8" width="7.42578125" customWidth="1"/>
    <col min="9" max="9" width="11.5703125" customWidth="1"/>
  </cols>
  <sheetData>
    <row r="1" spans="1:14" ht="21">
      <c r="A1" s="87" t="s">
        <v>202</v>
      </c>
      <c r="H1" s="88" t="s">
        <v>203</v>
      </c>
      <c r="I1" s="89">
        <f ca="1">TODAY()</f>
        <v>44664</v>
      </c>
    </row>
    <row r="3" spans="1:14" s="10" customFormat="1" ht="30">
      <c r="A3" s="90" t="s">
        <v>204</v>
      </c>
      <c r="B3" s="91" t="s">
        <v>205</v>
      </c>
      <c r="C3" s="91" t="s">
        <v>206</v>
      </c>
      <c r="D3" s="92" t="s">
        <v>207</v>
      </c>
      <c r="E3" s="92" t="s">
        <v>208</v>
      </c>
      <c r="F3" s="92" t="s">
        <v>209</v>
      </c>
      <c r="G3" s="91" t="s">
        <v>210</v>
      </c>
      <c r="N3" s="160" t="s">
        <v>422</v>
      </c>
    </row>
    <row r="4" spans="1:14">
      <c r="A4" s="4" t="s">
        <v>211</v>
      </c>
      <c r="B4" s="5" t="s">
        <v>212</v>
      </c>
      <c r="C4" s="5" t="s">
        <v>213</v>
      </c>
      <c r="D4" s="76">
        <v>25.99</v>
      </c>
      <c r="E4" s="93">
        <v>42412</v>
      </c>
      <c r="F4" s="93">
        <f>E4+(365*8)</f>
        <v>45332</v>
      </c>
      <c r="G4" s="5">
        <f ca="1">F4-$I$1</f>
        <v>668</v>
      </c>
      <c r="N4" t="s">
        <v>423</v>
      </c>
    </row>
    <row r="5" spans="1:14">
      <c r="A5" s="4" t="s">
        <v>214</v>
      </c>
      <c r="B5" s="5" t="s">
        <v>212</v>
      </c>
      <c r="C5" s="5" t="s">
        <v>215</v>
      </c>
      <c r="D5" s="76">
        <v>12.99</v>
      </c>
      <c r="E5" s="93">
        <v>41505</v>
      </c>
      <c r="F5" s="93">
        <f t="shared" ref="F5:F15" si="0">E5+(365*8)</f>
        <v>44425</v>
      </c>
      <c r="G5" s="5">
        <f t="shared" ref="G5:G15" ca="1" si="1">F5-$I$1</f>
        <v>-239</v>
      </c>
      <c r="N5" t="s">
        <v>424</v>
      </c>
    </row>
    <row r="6" spans="1:14">
      <c r="A6" s="4" t="s">
        <v>216</v>
      </c>
      <c r="B6" s="5" t="s">
        <v>217</v>
      </c>
      <c r="C6" s="5" t="s">
        <v>218</v>
      </c>
      <c r="D6" s="76">
        <v>14</v>
      </c>
      <c r="E6" s="93">
        <v>41008</v>
      </c>
      <c r="F6" s="93">
        <f t="shared" si="0"/>
        <v>43928</v>
      </c>
      <c r="G6" s="5">
        <f t="shared" ca="1" si="1"/>
        <v>-736</v>
      </c>
      <c r="N6" t="s">
        <v>425</v>
      </c>
    </row>
    <row r="7" spans="1:14">
      <c r="A7" s="4" t="s">
        <v>219</v>
      </c>
      <c r="B7" s="5" t="s">
        <v>212</v>
      </c>
      <c r="C7" s="5" t="s">
        <v>220</v>
      </c>
      <c r="D7" s="76">
        <v>18.989999999999998</v>
      </c>
      <c r="E7" s="93">
        <v>40123</v>
      </c>
      <c r="F7" s="93">
        <f t="shared" si="0"/>
        <v>43043</v>
      </c>
      <c r="G7" s="5">
        <f t="shared" ca="1" si="1"/>
        <v>-1621</v>
      </c>
      <c r="N7" t="s">
        <v>426</v>
      </c>
    </row>
    <row r="8" spans="1:14">
      <c r="A8" s="4" t="s">
        <v>221</v>
      </c>
      <c r="B8" s="5" t="s">
        <v>212</v>
      </c>
      <c r="C8" s="5" t="s">
        <v>213</v>
      </c>
      <c r="D8" s="76">
        <v>11.99</v>
      </c>
      <c r="E8" s="93">
        <v>42952</v>
      </c>
      <c r="F8" s="93">
        <f t="shared" si="0"/>
        <v>45872</v>
      </c>
      <c r="G8" s="5">
        <f t="shared" ca="1" si="1"/>
        <v>1208</v>
      </c>
      <c r="N8" t="s">
        <v>427</v>
      </c>
    </row>
    <row r="9" spans="1:14">
      <c r="A9" s="4" t="s">
        <v>222</v>
      </c>
      <c r="B9" s="5" t="s">
        <v>212</v>
      </c>
      <c r="C9" s="5" t="s">
        <v>223</v>
      </c>
      <c r="D9" s="76">
        <v>35</v>
      </c>
      <c r="E9" s="93">
        <v>42094</v>
      </c>
      <c r="F9" s="93">
        <f t="shared" si="0"/>
        <v>45014</v>
      </c>
      <c r="G9" s="5">
        <f t="shared" ca="1" si="1"/>
        <v>350</v>
      </c>
      <c r="N9" t="s">
        <v>428</v>
      </c>
    </row>
    <row r="10" spans="1:14">
      <c r="A10" s="4" t="s">
        <v>224</v>
      </c>
      <c r="B10" s="5" t="s">
        <v>217</v>
      </c>
      <c r="C10" s="5" t="s">
        <v>218</v>
      </c>
      <c r="D10" s="76">
        <v>17</v>
      </c>
      <c r="E10" s="93">
        <v>40720</v>
      </c>
      <c r="F10" s="93">
        <f t="shared" si="0"/>
        <v>43640</v>
      </c>
      <c r="G10" s="5">
        <f t="shared" ca="1" si="1"/>
        <v>-1024</v>
      </c>
      <c r="N10" t="s">
        <v>429</v>
      </c>
    </row>
    <row r="11" spans="1:14">
      <c r="A11" s="4" t="s">
        <v>225</v>
      </c>
      <c r="B11" s="5" t="s">
        <v>212</v>
      </c>
      <c r="C11" s="5" t="s">
        <v>218</v>
      </c>
      <c r="D11" s="76">
        <v>9.99</v>
      </c>
      <c r="E11" s="93">
        <v>42961</v>
      </c>
      <c r="F11" s="93">
        <f t="shared" si="0"/>
        <v>45881</v>
      </c>
      <c r="G11" s="5">
        <f t="shared" ca="1" si="1"/>
        <v>1217</v>
      </c>
      <c r="N11" t="s">
        <v>430</v>
      </c>
    </row>
    <row r="12" spans="1:14">
      <c r="A12" s="4" t="s">
        <v>226</v>
      </c>
      <c r="B12" s="5" t="s">
        <v>212</v>
      </c>
      <c r="C12" s="5" t="s">
        <v>227</v>
      </c>
      <c r="D12" s="76">
        <v>12.5</v>
      </c>
      <c r="E12" s="93">
        <v>41941</v>
      </c>
      <c r="F12" s="93">
        <f t="shared" si="0"/>
        <v>44861</v>
      </c>
      <c r="G12" s="5">
        <f t="shared" ca="1" si="1"/>
        <v>197</v>
      </c>
    </row>
    <row r="13" spans="1:14">
      <c r="A13" s="4" t="s">
        <v>228</v>
      </c>
      <c r="B13" s="5" t="s">
        <v>217</v>
      </c>
      <c r="C13" s="5" t="s">
        <v>220</v>
      </c>
      <c r="D13" s="76">
        <v>17.5</v>
      </c>
      <c r="E13" s="93">
        <v>43103</v>
      </c>
      <c r="F13" s="93">
        <f t="shared" si="0"/>
        <v>46023</v>
      </c>
      <c r="G13" s="5">
        <f t="shared" ca="1" si="1"/>
        <v>1359</v>
      </c>
    </row>
    <row r="14" spans="1:14">
      <c r="A14" s="4" t="s">
        <v>229</v>
      </c>
      <c r="B14" s="5" t="s">
        <v>217</v>
      </c>
      <c r="C14" s="5" t="s">
        <v>227</v>
      </c>
      <c r="D14" s="76">
        <v>13.5</v>
      </c>
      <c r="E14" s="93">
        <v>39636</v>
      </c>
      <c r="F14" s="93">
        <f t="shared" si="0"/>
        <v>42556</v>
      </c>
      <c r="G14" s="5">
        <f t="shared" ca="1" si="1"/>
        <v>-2108</v>
      </c>
    </row>
    <row r="15" spans="1:14">
      <c r="A15" s="4" t="s">
        <v>230</v>
      </c>
      <c r="B15" s="5" t="s">
        <v>212</v>
      </c>
      <c r="C15" s="5" t="s">
        <v>231</v>
      </c>
      <c r="D15" s="76">
        <v>24.5</v>
      </c>
      <c r="E15" s="93">
        <v>42154</v>
      </c>
      <c r="F15" s="93">
        <f t="shared" si="0"/>
        <v>45074</v>
      </c>
      <c r="G15" s="5">
        <f t="shared" ca="1" si="1"/>
        <v>410</v>
      </c>
    </row>
    <row r="16" spans="1:14">
      <c r="D16" s="94"/>
      <c r="E16" s="95"/>
      <c r="F16" s="95"/>
    </row>
    <row r="17" spans="1:5" ht="21">
      <c r="A17" s="96" t="s">
        <v>232</v>
      </c>
    </row>
    <row r="18" spans="1:5">
      <c r="A18" s="97" t="s">
        <v>233</v>
      </c>
      <c r="B18" s="98" t="s">
        <v>219</v>
      </c>
      <c r="C18" s="98"/>
      <c r="D18" s="98"/>
      <c r="E18" s="98"/>
    </row>
    <row r="19" spans="1:5">
      <c r="A19" s="97" t="s">
        <v>234</v>
      </c>
      <c r="B19" s="99" t="str">
        <f>VLOOKUP(isbn,LibraryData, 2,FALSE)</f>
        <v>Out</v>
      </c>
      <c r="C19" s="99"/>
    </row>
    <row r="20" spans="1:5">
      <c r="A20" s="97" t="s">
        <v>235</v>
      </c>
      <c r="B20" s="99" t="str">
        <f>VLOOKUP(isbn,LibraryData, 3,FALSE)</f>
        <v>Cookery</v>
      </c>
      <c r="C20" s="99"/>
    </row>
    <row r="21" spans="1:5">
      <c r="A21" s="97" t="s">
        <v>236</v>
      </c>
      <c r="B21" s="161">
        <f>VLOOKUP(isbn,LibraryData, 6,FALSE)</f>
        <v>43043</v>
      </c>
      <c r="C21" s="161"/>
    </row>
    <row r="22" spans="1:5">
      <c r="A22" s="97" t="s">
        <v>237</v>
      </c>
      <c r="B22" s="99">
        <f ca="1">VLOOKUP(isbn,LibraryData, 7,FALSE)</f>
        <v>-1621</v>
      </c>
      <c r="C22" s="99"/>
    </row>
  </sheetData>
  <mergeCells count="5">
    <mergeCell ref="B18:E18"/>
    <mergeCell ref="B19:C19"/>
    <mergeCell ref="B20:C20"/>
    <mergeCell ref="B21:C21"/>
    <mergeCell ref="B22:C2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A71A-9EC7-4C2C-A133-2F251F7B5CB9}">
  <dimension ref="B2:M17"/>
  <sheetViews>
    <sheetView tabSelected="1" workbookViewId="0">
      <selection activeCell="I32" sqref="I32"/>
    </sheetView>
  </sheetViews>
  <sheetFormatPr defaultRowHeight="15"/>
  <cols>
    <col min="1" max="1" width="4.42578125" customWidth="1"/>
    <col min="2" max="2" width="9.7109375" bestFit="1" customWidth="1"/>
    <col min="3" max="3" width="20.7109375" customWidth="1"/>
    <col min="4" max="4" width="8.7109375" bestFit="1" customWidth="1"/>
    <col min="5" max="5" width="11" bestFit="1" customWidth="1"/>
    <col min="6" max="6" width="5.140625" customWidth="1"/>
  </cols>
  <sheetData>
    <row r="2" spans="2:13" ht="16.5">
      <c r="B2" s="100" t="s">
        <v>238</v>
      </c>
      <c r="C2" s="100"/>
      <c r="D2" s="100"/>
      <c r="E2" s="100"/>
      <c r="G2" s="100" t="s">
        <v>239</v>
      </c>
      <c r="H2" s="100"/>
      <c r="M2" s="162" t="s">
        <v>446</v>
      </c>
    </row>
    <row r="3" spans="2:13">
      <c r="B3" s="101" t="s">
        <v>240</v>
      </c>
      <c r="C3" s="101" t="s">
        <v>241</v>
      </c>
      <c r="D3" s="101" t="s">
        <v>242</v>
      </c>
      <c r="E3" s="101" t="s">
        <v>243</v>
      </c>
      <c r="G3" s="101" t="s">
        <v>242</v>
      </c>
      <c r="H3" s="101" t="s">
        <v>244</v>
      </c>
      <c r="M3" s="167"/>
    </row>
    <row r="4" spans="2:13" ht="16.5">
      <c r="B4" s="3" t="s">
        <v>245</v>
      </c>
      <c r="C4" s="4" t="s">
        <v>246</v>
      </c>
      <c r="D4" s="5">
        <v>950</v>
      </c>
      <c r="E4" s="102">
        <f>quantity * VLOOKUP(quantity,pricelookup,2,TRUE)</f>
        <v>855</v>
      </c>
      <c r="G4" s="103">
        <v>1</v>
      </c>
      <c r="H4" s="104">
        <v>1</v>
      </c>
      <c r="M4" s="168" t="s">
        <v>447</v>
      </c>
    </row>
    <row r="5" spans="2:13">
      <c r="B5" s="3" t="s">
        <v>247</v>
      </c>
      <c r="C5" s="4" t="s">
        <v>248</v>
      </c>
      <c r="D5" s="5">
        <v>1090</v>
      </c>
      <c r="E5" s="102">
        <f>quantity * VLOOKUP(quantity,pricelookup,2,TRUE)</f>
        <v>872</v>
      </c>
      <c r="G5" s="103">
        <v>500</v>
      </c>
      <c r="H5" s="104">
        <v>0.9</v>
      </c>
      <c r="M5" s="167"/>
    </row>
    <row r="6" spans="2:13" ht="16.5">
      <c r="B6" s="3" t="s">
        <v>249</v>
      </c>
      <c r="C6" s="4" t="s">
        <v>250</v>
      </c>
      <c r="D6" s="5">
        <v>320</v>
      </c>
      <c r="E6" s="102">
        <f>quantity * VLOOKUP(quantity,pricelookup,2,TRUE)</f>
        <v>320</v>
      </c>
      <c r="G6" s="103">
        <v>1000</v>
      </c>
      <c r="H6" s="104">
        <v>0.8</v>
      </c>
      <c r="M6" s="168" t="s">
        <v>448</v>
      </c>
    </row>
    <row r="7" spans="2:13">
      <c r="B7" s="3" t="s">
        <v>251</v>
      </c>
      <c r="C7" s="4" t="s">
        <v>252</v>
      </c>
      <c r="D7" s="5">
        <v>650</v>
      </c>
      <c r="E7" s="102">
        <f>quantity * VLOOKUP(quantity,pricelookup,2,TRUE)</f>
        <v>585</v>
      </c>
      <c r="G7" s="103">
        <v>1500</v>
      </c>
      <c r="H7" s="104">
        <v>0.7</v>
      </c>
      <c r="M7" s="167"/>
    </row>
    <row r="8" spans="2:13" ht="16.5">
      <c r="B8" s="3" t="s">
        <v>253</v>
      </c>
      <c r="C8" s="4" t="s">
        <v>254</v>
      </c>
      <c r="D8" s="5">
        <v>1200</v>
      </c>
      <c r="E8" s="102">
        <f>quantity * VLOOKUP(quantity,pricelookup,2,TRUE)</f>
        <v>960</v>
      </c>
      <c r="M8" s="168" t="s">
        <v>449</v>
      </c>
    </row>
    <row r="9" spans="2:13">
      <c r="B9" s="3" t="s">
        <v>255</v>
      </c>
      <c r="C9" s="4" t="s">
        <v>256</v>
      </c>
      <c r="D9" s="5">
        <v>800</v>
      </c>
      <c r="E9" s="102">
        <f>quantity * VLOOKUP(quantity,pricelookup,2,TRUE)</f>
        <v>720</v>
      </c>
      <c r="M9" s="167"/>
    </row>
    <row r="10" spans="2:13" ht="16.5">
      <c r="B10" s="3" t="s">
        <v>257</v>
      </c>
      <c r="C10" s="4" t="s">
        <v>258</v>
      </c>
      <c r="D10" s="5">
        <v>2120</v>
      </c>
      <c r="E10" s="102">
        <f>quantity * VLOOKUP(quantity,pricelookup,2,TRUE)</f>
        <v>1484</v>
      </c>
      <c r="M10" s="168" t="s">
        <v>450</v>
      </c>
    </row>
    <row r="11" spans="2:13">
      <c r="M11" s="163"/>
    </row>
    <row r="12" spans="2:13" ht="16.5">
      <c r="M12" s="162"/>
    </row>
    <row r="13" spans="2:13" ht="16.5">
      <c r="M13" s="166"/>
    </row>
    <row r="14" spans="2:13" ht="16.5">
      <c r="M14" s="166"/>
    </row>
    <row r="15" spans="2:13">
      <c r="M15" s="169" t="s">
        <v>451</v>
      </c>
    </row>
    <row r="16" spans="2:13">
      <c r="M16" s="163"/>
    </row>
    <row r="17" spans="13:13" ht="16.5">
      <c r="M17" s="162" t="s">
        <v>452</v>
      </c>
    </row>
  </sheetData>
  <mergeCells count="2">
    <mergeCell ref="B2:E2"/>
    <mergeCell ref="G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D917-4765-4E3A-A0CB-B0B5C8728198}">
  <dimension ref="B2:M9"/>
  <sheetViews>
    <sheetView showGridLines="0" workbookViewId="0">
      <selection activeCell="D3" sqref="D3"/>
    </sheetView>
  </sheetViews>
  <sheetFormatPr defaultRowHeight="15"/>
  <cols>
    <col min="1" max="1" width="2.85546875" customWidth="1"/>
    <col min="2" max="2" width="12.42578125" bestFit="1" customWidth="1"/>
    <col min="3" max="3" width="14.5703125" customWidth="1"/>
    <col min="4" max="4" width="32.28515625" bestFit="1" customWidth="1"/>
    <col min="5" max="5" width="9.140625" customWidth="1"/>
    <col min="7" max="7" width="17.85546875" bestFit="1" customWidth="1"/>
  </cols>
  <sheetData>
    <row r="2" spans="2:13">
      <c r="B2" s="147" t="s">
        <v>0</v>
      </c>
      <c r="C2" s="147" t="s">
        <v>259</v>
      </c>
      <c r="D2" s="147" t="s">
        <v>128</v>
      </c>
      <c r="F2" s="147" t="s">
        <v>413</v>
      </c>
      <c r="G2" s="147" t="s">
        <v>128</v>
      </c>
    </row>
    <row r="3" spans="2:13">
      <c r="B3" s="148" t="s">
        <v>260</v>
      </c>
      <c r="C3" s="149">
        <v>-1</v>
      </c>
      <c r="D3" s="150" t="str" cm="1">
        <f t="array" ref="D3:D9">IFERROR(VLOOKUP(cupsOCoffee,coffeeLookup,2,TRUE),"You can't drink less than 0 Coffees!")</f>
        <v>You can't drink less than 0 Coffees!</v>
      </c>
      <c r="F3" s="150">
        <v>0</v>
      </c>
      <c r="G3" s="150" t="s">
        <v>414</v>
      </c>
      <c r="M3" t="s">
        <v>408</v>
      </c>
    </row>
    <row r="4" spans="2:13">
      <c r="B4" s="148" t="s">
        <v>261</v>
      </c>
      <c r="C4" s="149">
        <v>3</v>
      </c>
      <c r="D4" s="150" t="str">
        <v>Coffee lightweight</v>
      </c>
      <c r="F4" s="150">
        <v>1</v>
      </c>
      <c r="G4" s="150" t="s">
        <v>416</v>
      </c>
      <c r="M4" t="s">
        <v>409</v>
      </c>
    </row>
    <row r="5" spans="2:13">
      <c r="B5" s="148" t="s">
        <v>262</v>
      </c>
      <c r="C5" s="149">
        <v>12</v>
      </c>
      <c r="D5" s="150" t="str">
        <v>Hyper-Teletubbie</v>
      </c>
      <c r="F5" s="150">
        <v>5</v>
      </c>
      <c r="G5" s="150" t="s">
        <v>415</v>
      </c>
      <c r="M5" t="s">
        <v>410</v>
      </c>
    </row>
    <row r="6" spans="2:13">
      <c r="B6" s="148" t="s">
        <v>263</v>
      </c>
      <c r="C6" s="149">
        <v>3</v>
      </c>
      <c r="D6" s="150" t="str">
        <v>Coffee lightweight</v>
      </c>
      <c r="F6" s="150">
        <v>10</v>
      </c>
      <c r="G6" s="150" t="s">
        <v>417</v>
      </c>
      <c r="M6" t="s">
        <v>411</v>
      </c>
    </row>
    <row r="7" spans="2:13">
      <c r="B7" s="148" t="s">
        <v>264</v>
      </c>
      <c r="C7" s="149">
        <v>0</v>
      </c>
      <c r="D7" s="150" t="str">
        <v>Tea drinker</v>
      </c>
      <c r="M7" t="s">
        <v>412</v>
      </c>
    </row>
    <row r="8" spans="2:13">
      <c r="B8" s="148" t="s">
        <v>265</v>
      </c>
      <c r="C8" s="149">
        <v>100</v>
      </c>
      <c r="D8" s="150" t="str">
        <v>Hyper-Teletubbie</v>
      </c>
    </row>
    <row r="9" spans="2:13">
      <c r="B9" s="148" t="s">
        <v>266</v>
      </c>
      <c r="C9" s="149">
        <v>5</v>
      </c>
      <c r="D9" s="150" t="str">
        <v>Caffeine fiend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7F15-EA7B-4C84-8529-449FFF9725A5}">
  <dimension ref="A1:I19"/>
  <sheetViews>
    <sheetView topLeftCell="A7" zoomScaleNormal="100" workbookViewId="0">
      <selection activeCell="F5" sqref="F5"/>
    </sheetView>
  </sheetViews>
  <sheetFormatPr defaultRowHeight="15"/>
  <cols>
    <col min="1" max="1" width="17.85546875" customWidth="1"/>
    <col min="2" max="2" width="5.85546875" style="7" customWidth="1"/>
    <col min="3" max="3" width="16.140625" style="7" bestFit="1" customWidth="1"/>
    <col min="4" max="4" width="2.7109375" customWidth="1"/>
    <col min="5" max="5" width="5.5703125" bestFit="1" customWidth="1"/>
    <col min="6" max="6" width="16.140625" bestFit="1" customWidth="1"/>
  </cols>
  <sheetData>
    <row r="1" spans="1:9" ht="21">
      <c r="A1" s="87" t="s">
        <v>267</v>
      </c>
    </row>
    <row r="2" spans="1:9" ht="18">
      <c r="I2" s="40" t="s">
        <v>453</v>
      </c>
    </row>
    <row r="3" spans="1:9" s="10" customFormat="1" ht="30">
      <c r="A3" s="105" t="s">
        <v>268</v>
      </c>
      <c r="B3" s="106" t="s">
        <v>269</v>
      </c>
      <c r="C3" s="106" t="s">
        <v>270</v>
      </c>
      <c r="E3" s="107" t="s">
        <v>269</v>
      </c>
      <c r="F3" s="107" t="s">
        <v>3</v>
      </c>
      <c r="I3" s="40" t="s">
        <v>454</v>
      </c>
    </row>
    <row r="4" spans="1:9">
      <c r="A4" s="4" t="s">
        <v>271</v>
      </c>
      <c r="B4" s="170">
        <v>6</v>
      </c>
      <c r="C4" s="5" t="str">
        <f>VLOOKUP(rating,ratinglookup,2,TRUE)</f>
        <v>Medium</v>
      </c>
      <c r="E4" s="83">
        <v>0</v>
      </c>
      <c r="F4" s="83" t="s">
        <v>455</v>
      </c>
    </row>
    <row r="5" spans="1:9">
      <c r="A5" s="4" t="s">
        <v>272</v>
      </c>
      <c r="B5" s="170">
        <v>11</v>
      </c>
      <c r="C5" s="5" t="str">
        <f>VLOOKUP(rating,ratinglookup,2,TRUE)</f>
        <v>Hot</v>
      </c>
      <c r="E5" s="83">
        <v>3</v>
      </c>
      <c r="F5" s="83" t="s">
        <v>273</v>
      </c>
    </row>
    <row r="6" spans="1:9">
      <c r="A6" s="4" t="s">
        <v>274</v>
      </c>
      <c r="B6" s="170">
        <v>5</v>
      </c>
      <c r="C6" s="5" t="str">
        <f>VLOOKUP(rating,ratinglookup,2,TRUE)</f>
        <v>Medium</v>
      </c>
      <c r="E6" s="83">
        <v>5</v>
      </c>
      <c r="F6" s="83" t="s">
        <v>275</v>
      </c>
    </row>
    <row r="7" spans="1:9">
      <c r="A7" s="4" t="s">
        <v>276</v>
      </c>
      <c r="B7" s="170">
        <v>3</v>
      </c>
      <c r="C7" s="5" t="str">
        <f>VLOOKUP(rating,ratinglookup,2,TRUE)</f>
        <v>Mild</v>
      </c>
      <c r="E7" s="83">
        <v>7</v>
      </c>
      <c r="F7" s="83" t="s">
        <v>277</v>
      </c>
    </row>
    <row r="8" spans="1:9">
      <c r="A8" s="4" t="s">
        <v>278</v>
      </c>
      <c r="B8" s="170">
        <v>8</v>
      </c>
      <c r="C8" s="5" t="str">
        <f>VLOOKUP(rating,ratinglookup,2,TRUE)</f>
        <v>Medium Hot</v>
      </c>
      <c r="E8" s="83">
        <v>10</v>
      </c>
      <c r="F8" s="83" t="s">
        <v>279</v>
      </c>
    </row>
    <row r="9" spans="1:9">
      <c r="A9" s="4" t="s">
        <v>280</v>
      </c>
      <c r="B9" s="170">
        <v>16</v>
      </c>
      <c r="C9" s="5" t="str">
        <f>VLOOKUP(rating,ratinglookup,2,TRUE)</f>
        <v>Very Hot</v>
      </c>
      <c r="E9" s="83">
        <v>15</v>
      </c>
      <c r="F9" s="83" t="s">
        <v>281</v>
      </c>
    </row>
    <row r="10" spans="1:9">
      <c r="A10" s="4" t="s">
        <v>282</v>
      </c>
      <c r="B10" s="170">
        <v>2</v>
      </c>
      <c r="C10" s="5" t="str">
        <f>VLOOKUP(rating,ratinglookup,2,TRUE)</f>
        <v>Casserole</v>
      </c>
      <c r="E10" s="83">
        <v>18</v>
      </c>
      <c r="F10" s="83" t="s">
        <v>283</v>
      </c>
    </row>
    <row r="11" spans="1:9">
      <c r="A11" s="4" t="s">
        <v>284</v>
      </c>
      <c r="B11" s="170">
        <v>11</v>
      </c>
      <c r="C11" s="5" t="str">
        <f>VLOOKUP(rating,ratinglookup,2,TRUE)</f>
        <v>Hot</v>
      </c>
    </row>
    <row r="12" spans="1:9">
      <c r="A12" s="4" t="s">
        <v>285</v>
      </c>
      <c r="B12" s="170">
        <v>18</v>
      </c>
      <c r="C12" s="5" t="str">
        <f>VLOOKUP(rating,ratinglookup,2,TRUE)</f>
        <v>Heath warning!!!</v>
      </c>
    </row>
    <row r="13" spans="1:9">
      <c r="A13" s="4" t="s">
        <v>286</v>
      </c>
      <c r="B13" s="170">
        <v>12</v>
      </c>
      <c r="C13" s="5" t="str">
        <f>VLOOKUP(rating,ratinglookup,2,TRUE)</f>
        <v>Hot</v>
      </c>
    </row>
    <row r="14" spans="1:9">
      <c r="A14" s="4" t="s">
        <v>287</v>
      </c>
      <c r="B14" s="170">
        <v>7</v>
      </c>
      <c r="C14" s="5" t="str">
        <f>VLOOKUP(rating,ratinglookup,2,TRUE)</f>
        <v>Medium Hot</v>
      </c>
    </row>
    <row r="15" spans="1:9">
      <c r="A15" s="4" t="s">
        <v>288</v>
      </c>
      <c r="B15" s="170">
        <v>2</v>
      </c>
      <c r="C15" s="5" t="str">
        <f>VLOOKUP(rating,ratinglookup,2,TRUE)</f>
        <v>Casserole</v>
      </c>
    </row>
    <row r="16" spans="1:9">
      <c r="A16" s="4" t="s">
        <v>289</v>
      </c>
      <c r="B16" s="170">
        <v>7</v>
      </c>
      <c r="C16" s="5" t="str">
        <f>VLOOKUP(rating,ratinglookup,2,TRUE)</f>
        <v>Medium Hot</v>
      </c>
    </row>
    <row r="17" spans="1:3">
      <c r="A17" s="4" t="s">
        <v>290</v>
      </c>
      <c r="B17" s="170">
        <v>2</v>
      </c>
      <c r="C17" s="5" t="str">
        <f>VLOOKUP(rating,ratinglookup,2,TRUE)</f>
        <v>Casserole</v>
      </c>
    </row>
    <row r="18" spans="1:3">
      <c r="A18" s="4" t="s">
        <v>291</v>
      </c>
      <c r="B18" s="170">
        <v>8</v>
      </c>
      <c r="C18" s="5" t="str">
        <f>VLOOKUP(rating,ratinglookup,2,TRUE)</f>
        <v>Medium Hot</v>
      </c>
    </row>
    <row r="19" spans="1:3">
      <c r="A19" s="4" t="s">
        <v>292</v>
      </c>
      <c r="B19" s="170">
        <v>2</v>
      </c>
      <c r="C19" s="5" t="str">
        <f>VLOOKUP(rating,ratinglookup,2,TRUE)</f>
        <v>Casserole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77F4-9758-40FF-8708-96DE2B4EF106}">
  <dimension ref="A1:J17"/>
  <sheetViews>
    <sheetView showGridLines="0" zoomScale="90" zoomScaleNormal="90" workbookViewId="0">
      <selection activeCell="E8" sqref="E8"/>
    </sheetView>
  </sheetViews>
  <sheetFormatPr defaultRowHeight="15"/>
  <cols>
    <col min="1" max="1" width="22.140625" customWidth="1"/>
    <col min="3" max="3" width="7.28515625" style="7" customWidth="1"/>
    <col min="4" max="4" width="3.28515625" customWidth="1"/>
    <col min="5" max="5" width="8.85546875" bestFit="1" customWidth="1"/>
    <col min="6" max="6" width="9.7109375" bestFit="1" customWidth="1"/>
  </cols>
  <sheetData>
    <row r="1" spans="1:10" ht="18.75">
      <c r="A1" s="108" t="s">
        <v>293</v>
      </c>
    </row>
    <row r="3" spans="1:10" s="10" customFormat="1" ht="47.25">
      <c r="A3" s="109" t="s">
        <v>294</v>
      </c>
      <c r="B3" s="110" t="s">
        <v>295</v>
      </c>
      <c r="C3" s="110" t="s">
        <v>296</v>
      </c>
    </row>
    <row r="4" spans="1:10" ht="18">
      <c r="A4" s="4" t="s">
        <v>297</v>
      </c>
      <c r="B4" s="5">
        <v>20</v>
      </c>
      <c r="C4" s="5" t="str" cm="1">
        <f t="array" ref="C4:C17">VLOOKUP(DogNeck,jacketLookup,2)</f>
        <v>Small</v>
      </c>
      <c r="E4" s="111" t="s">
        <v>298</v>
      </c>
      <c r="F4" s="111" t="s">
        <v>299</v>
      </c>
      <c r="G4" s="7"/>
      <c r="J4" s="40" t="s">
        <v>440</v>
      </c>
    </row>
    <row r="5" spans="1:10" ht="18">
      <c r="A5" s="4" t="s">
        <v>300</v>
      </c>
      <c r="B5" s="5">
        <v>22</v>
      </c>
      <c r="C5" s="5" t="str">
        <v>Small</v>
      </c>
      <c r="E5" s="83">
        <v>0</v>
      </c>
      <c r="F5" s="83" t="s">
        <v>301</v>
      </c>
      <c r="J5" s="40" t="s">
        <v>441</v>
      </c>
    </row>
    <row r="6" spans="1:10" ht="18">
      <c r="A6" s="4" t="s">
        <v>302</v>
      </c>
      <c r="B6" s="5">
        <v>19</v>
      </c>
      <c r="C6" s="5" t="str">
        <v>Small</v>
      </c>
      <c r="E6" s="83">
        <v>10</v>
      </c>
      <c r="F6" s="83" t="s">
        <v>303</v>
      </c>
      <c r="J6" s="40" t="s">
        <v>442</v>
      </c>
    </row>
    <row r="7" spans="1:10">
      <c r="A7" s="4" t="s">
        <v>304</v>
      </c>
      <c r="B7" s="5">
        <v>13</v>
      </c>
      <c r="C7" s="5" t="str">
        <v>XS</v>
      </c>
      <c r="E7" s="83">
        <v>18</v>
      </c>
      <c r="F7" s="83" t="s">
        <v>443</v>
      </c>
    </row>
    <row r="8" spans="1:10">
      <c r="A8" s="4" t="s">
        <v>305</v>
      </c>
      <c r="B8" s="5">
        <v>44</v>
      </c>
      <c r="C8" s="5" t="str">
        <v>M</v>
      </c>
      <c r="E8" s="83">
        <v>40</v>
      </c>
      <c r="F8" s="83" t="s">
        <v>306</v>
      </c>
    </row>
    <row r="9" spans="1:10">
      <c r="A9" s="4" t="s">
        <v>307</v>
      </c>
      <c r="B9" s="5">
        <v>27</v>
      </c>
      <c r="C9" s="5" t="str">
        <v>Small</v>
      </c>
      <c r="E9" s="83">
        <v>60</v>
      </c>
      <c r="F9" s="83" t="s">
        <v>308</v>
      </c>
    </row>
    <row r="10" spans="1:10">
      <c r="A10" s="4" t="s">
        <v>309</v>
      </c>
      <c r="B10" s="5">
        <v>21</v>
      </c>
      <c r="C10" s="5" t="str">
        <v>Small</v>
      </c>
      <c r="E10" s="83">
        <v>80</v>
      </c>
      <c r="F10" s="83" t="s">
        <v>444</v>
      </c>
    </row>
    <row r="11" spans="1:10">
      <c r="A11" s="4" t="s">
        <v>310</v>
      </c>
      <c r="B11" s="5">
        <v>14</v>
      </c>
      <c r="C11" s="5" t="str">
        <v>XS</v>
      </c>
      <c r="E11" s="83">
        <v>100</v>
      </c>
      <c r="F11" s="83" t="s">
        <v>311</v>
      </c>
    </row>
    <row r="12" spans="1:10">
      <c r="A12" s="4" t="s">
        <v>312</v>
      </c>
      <c r="B12" s="5">
        <v>15</v>
      </c>
      <c r="C12" s="5" t="str">
        <v>XS</v>
      </c>
    </row>
    <row r="13" spans="1:10">
      <c r="A13" s="4" t="s">
        <v>313</v>
      </c>
      <c r="B13" s="5">
        <v>38</v>
      </c>
      <c r="C13" s="5" t="str">
        <v>Small</v>
      </c>
    </row>
    <row r="14" spans="1:10">
      <c r="A14" s="4" t="s">
        <v>314</v>
      </c>
      <c r="B14" s="5">
        <v>15</v>
      </c>
      <c r="C14" s="5" t="str">
        <v>XS</v>
      </c>
    </row>
    <row r="15" spans="1:10">
      <c r="A15" s="4" t="s">
        <v>315</v>
      </c>
      <c r="B15" s="5">
        <v>19</v>
      </c>
      <c r="C15" s="5" t="str">
        <v>Small</v>
      </c>
    </row>
    <row r="16" spans="1:10">
      <c r="A16" s="4" t="s">
        <v>316</v>
      </c>
      <c r="B16" s="5">
        <v>25</v>
      </c>
      <c r="C16" s="5" t="str">
        <v>Small</v>
      </c>
    </row>
    <row r="17" spans="1:3">
      <c r="A17" s="4" t="s">
        <v>317</v>
      </c>
      <c r="B17" s="5">
        <v>200</v>
      </c>
      <c r="C17" s="5" t="str">
        <v>XXL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66AA-A0BD-49D3-A3C8-F3F66D701FDD}">
  <dimension ref="A1:L16"/>
  <sheetViews>
    <sheetView zoomScale="80" zoomScaleNormal="80" workbookViewId="0">
      <selection activeCell="E4" sqref="E4"/>
    </sheetView>
  </sheetViews>
  <sheetFormatPr defaultRowHeight="15"/>
  <cols>
    <col min="1" max="1" width="16.85546875" customWidth="1"/>
    <col min="2" max="2" width="6.7109375" bestFit="1" customWidth="1"/>
    <col min="3" max="3" width="10.5703125" customWidth="1"/>
    <col min="4" max="4" width="21.140625" customWidth="1"/>
    <col min="5" max="5" width="19.42578125" customWidth="1"/>
    <col min="6" max="6" width="15" customWidth="1"/>
    <col min="7" max="7" width="2.42578125" customWidth="1"/>
    <col min="8" max="9" width="8.85546875" bestFit="1" customWidth="1"/>
  </cols>
  <sheetData>
    <row r="1" spans="1:12" ht="18.75">
      <c r="A1" s="6" t="s">
        <v>318</v>
      </c>
    </row>
    <row r="3" spans="1:12" s="10" customFormat="1">
      <c r="A3" s="90" t="s">
        <v>69</v>
      </c>
      <c r="B3" s="92" t="s">
        <v>244</v>
      </c>
      <c r="C3" s="92" t="s">
        <v>242</v>
      </c>
      <c r="D3" s="92" t="s">
        <v>319</v>
      </c>
      <c r="E3" s="92" t="s">
        <v>320</v>
      </c>
      <c r="F3" s="92" t="s">
        <v>321</v>
      </c>
      <c r="H3"/>
      <c r="I3"/>
      <c r="J3"/>
    </row>
    <row r="4" spans="1:12" ht="16.5">
      <c r="A4" s="4" t="s">
        <v>322</v>
      </c>
      <c r="B4" s="76">
        <v>1</v>
      </c>
      <c r="C4" s="171">
        <v>22</v>
      </c>
      <c r="D4" s="172">
        <f t="shared" ref="D4:D15" si="0">B4*C4</f>
        <v>22</v>
      </c>
      <c r="E4" s="76">
        <f>VLOOKUP(truckqty,DiscountLookup,2,TRUE)</f>
        <v>0.1</v>
      </c>
      <c r="F4" s="76">
        <f t="shared" ref="F4:F15" si="1">D4-E4</f>
        <v>21.9</v>
      </c>
      <c r="H4" s="111" t="s">
        <v>242</v>
      </c>
      <c r="I4" s="112" t="s">
        <v>323</v>
      </c>
      <c r="L4" s="162" t="s">
        <v>445</v>
      </c>
    </row>
    <row r="5" spans="1:12" ht="18">
      <c r="A5" s="4" t="s">
        <v>324</v>
      </c>
      <c r="B5" s="76">
        <v>1</v>
      </c>
      <c r="C5" s="171">
        <v>3</v>
      </c>
      <c r="D5" s="172">
        <f t="shared" si="0"/>
        <v>3</v>
      </c>
      <c r="E5" s="76">
        <f>VLOOKUP(truckqty,DiscountLookup,2,TRUE)</f>
        <v>0</v>
      </c>
      <c r="F5" s="76">
        <f t="shared" si="1"/>
        <v>3</v>
      </c>
      <c r="H5" s="83">
        <v>0</v>
      </c>
      <c r="I5" s="113">
        <v>0</v>
      </c>
      <c r="L5" s="40" t="s">
        <v>456</v>
      </c>
    </row>
    <row r="6" spans="1:12" ht="18">
      <c r="A6" s="4" t="s">
        <v>325</v>
      </c>
      <c r="B6" s="76">
        <v>1</v>
      </c>
      <c r="C6" s="171">
        <v>11</v>
      </c>
      <c r="D6" s="172">
        <f t="shared" si="0"/>
        <v>11</v>
      </c>
      <c r="E6" s="76">
        <f>VLOOKUP(truckqty,DiscountLookup,2,TRUE)</f>
        <v>0.05</v>
      </c>
      <c r="F6" s="76">
        <f t="shared" si="1"/>
        <v>10.95</v>
      </c>
      <c r="H6" s="83">
        <v>5</v>
      </c>
      <c r="I6" s="113">
        <v>2.5000000000000001E-2</v>
      </c>
      <c r="L6" s="40" t="s">
        <v>457</v>
      </c>
    </row>
    <row r="7" spans="1:12">
      <c r="A7" s="4" t="s">
        <v>326</v>
      </c>
      <c r="B7" s="76">
        <v>1.5</v>
      </c>
      <c r="C7" s="171">
        <v>3</v>
      </c>
      <c r="D7" s="172">
        <f t="shared" si="0"/>
        <v>4.5</v>
      </c>
      <c r="E7" s="76">
        <f>VLOOKUP(truckqty,DiscountLookup,2,TRUE)</f>
        <v>0</v>
      </c>
      <c r="F7" s="76">
        <f t="shared" si="1"/>
        <v>4.5</v>
      </c>
      <c r="H7" s="83">
        <v>10</v>
      </c>
      <c r="I7" s="113">
        <v>0.05</v>
      </c>
    </row>
    <row r="8" spans="1:12">
      <c r="A8" s="4" t="s">
        <v>327</v>
      </c>
      <c r="B8" s="76">
        <v>1</v>
      </c>
      <c r="C8" s="171">
        <v>17</v>
      </c>
      <c r="D8" s="172">
        <f t="shared" si="0"/>
        <v>17</v>
      </c>
      <c r="E8" s="76">
        <f>VLOOKUP(truckqty,DiscountLookup,2,TRUE)</f>
        <v>7.4999999999999997E-2</v>
      </c>
      <c r="F8" s="76">
        <f t="shared" si="1"/>
        <v>16.925000000000001</v>
      </c>
      <c r="H8" s="83">
        <v>15</v>
      </c>
      <c r="I8" s="113">
        <v>7.4999999999999997E-2</v>
      </c>
    </row>
    <row r="9" spans="1:12">
      <c r="A9" s="4" t="s">
        <v>328</v>
      </c>
      <c r="B9" s="76">
        <v>0.75</v>
      </c>
      <c r="C9" s="171">
        <v>4</v>
      </c>
      <c r="D9" s="172">
        <f t="shared" si="0"/>
        <v>3</v>
      </c>
      <c r="E9" s="76">
        <f>VLOOKUP(truckqty,DiscountLookup,2,TRUE)</f>
        <v>0</v>
      </c>
      <c r="F9" s="76">
        <f t="shared" si="1"/>
        <v>3</v>
      </c>
      <c r="H9" s="83">
        <v>20</v>
      </c>
      <c r="I9" s="113">
        <v>0.1</v>
      </c>
    </row>
    <row r="10" spans="1:12">
      <c r="A10" s="4" t="s">
        <v>329</v>
      </c>
      <c r="B10" s="76">
        <v>1.5</v>
      </c>
      <c r="C10" s="171">
        <v>2</v>
      </c>
      <c r="D10" s="172">
        <f t="shared" si="0"/>
        <v>3</v>
      </c>
      <c r="E10" s="76">
        <f>VLOOKUP(truckqty,DiscountLookup,2,TRUE)</f>
        <v>0</v>
      </c>
      <c r="F10" s="76">
        <f t="shared" si="1"/>
        <v>3</v>
      </c>
      <c r="H10" s="83">
        <v>25</v>
      </c>
      <c r="I10" s="113">
        <v>0.125</v>
      </c>
    </row>
    <row r="11" spans="1:12">
      <c r="A11" s="4" t="s">
        <v>330</v>
      </c>
      <c r="B11" s="76">
        <v>0.75</v>
      </c>
      <c r="C11" s="171">
        <v>1</v>
      </c>
      <c r="D11" s="172">
        <f t="shared" si="0"/>
        <v>0.75</v>
      </c>
      <c r="E11" s="76">
        <f>VLOOKUP(truckqty,DiscountLookup,2,TRUE)</f>
        <v>0</v>
      </c>
      <c r="F11" s="76">
        <f t="shared" si="1"/>
        <v>0.75</v>
      </c>
      <c r="H11" s="83">
        <v>30</v>
      </c>
      <c r="I11" s="113">
        <v>0.15</v>
      </c>
    </row>
    <row r="12" spans="1:12">
      <c r="A12" s="4" t="s">
        <v>331</v>
      </c>
      <c r="B12" s="76">
        <v>2</v>
      </c>
      <c r="C12" s="171">
        <v>12</v>
      </c>
      <c r="D12" s="172">
        <f t="shared" si="0"/>
        <v>24</v>
      </c>
      <c r="E12" s="76">
        <f>VLOOKUP(truckqty,DiscountLookup,2,TRUE)</f>
        <v>0.05</v>
      </c>
      <c r="F12" s="76">
        <f t="shared" si="1"/>
        <v>23.95</v>
      </c>
    </row>
    <row r="13" spans="1:12">
      <c r="A13" s="4" t="s">
        <v>332</v>
      </c>
      <c r="B13" s="76">
        <v>0.5</v>
      </c>
      <c r="C13" s="171">
        <v>3</v>
      </c>
      <c r="D13" s="172">
        <f t="shared" si="0"/>
        <v>1.5</v>
      </c>
      <c r="E13" s="76">
        <f>VLOOKUP(truckqty,DiscountLookup,2,TRUE)</f>
        <v>0</v>
      </c>
      <c r="F13" s="76">
        <f t="shared" si="1"/>
        <v>1.5</v>
      </c>
    </row>
    <row r="14" spans="1:12">
      <c r="A14" s="4" t="s">
        <v>333</v>
      </c>
      <c r="B14" s="76">
        <v>2</v>
      </c>
      <c r="C14" s="171">
        <v>14</v>
      </c>
      <c r="D14" s="172">
        <f t="shared" si="0"/>
        <v>28</v>
      </c>
      <c r="E14" s="76">
        <f>VLOOKUP(truckqty,DiscountLookup,2,TRUE)</f>
        <v>0.05</v>
      </c>
      <c r="F14" s="76">
        <f t="shared" si="1"/>
        <v>27.95</v>
      </c>
    </row>
    <row r="15" spans="1:12">
      <c r="A15" s="4" t="s">
        <v>334</v>
      </c>
      <c r="B15" s="76">
        <v>5</v>
      </c>
      <c r="C15" s="171">
        <v>29</v>
      </c>
      <c r="D15" s="172">
        <f t="shared" si="0"/>
        <v>145</v>
      </c>
      <c r="E15" s="76">
        <f>VLOOKUP(truckqty,DiscountLookup,2,TRUE)</f>
        <v>0.125</v>
      </c>
      <c r="F15" s="76">
        <f t="shared" si="1"/>
        <v>144.875</v>
      </c>
    </row>
    <row r="16" spans="1:12">
      <c r="A16" s="114" t="s">
        <v>335</v>
      </c>
      <c r="B16" s="115">
        <f t="shared" ref="B16:F16" si="2">SUM(B4:B15)</f>
        <v>18</v>
      </c>
      <c r="C16" s="116">
        <f t="shared" si="2"/>
        <v>121</v>
      </c>
      <c r="D16" s="116"/>
      <c r="E16" s="115">
        <f t="shared" si="2"/>
        <v>0.45</v>
      </c>
      <c r="F16" s="115">
        <f t="shared" si="2"/>
        <v>262.3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93FA-E1C5-4E7D-B921-161595014B6D}">
  <dimension ref="A1:N31"/>
  <sheetViews>
    <sheetView showGridLines="0" workbookViewId="0">
      <selection activeCell="K32" sqref="K32"/>
    </sheetView>
  </sheetViews>
  <sheetFormatPr defaultRowHeight="15"/>
  <cols>
    <col min="1" max="1" width="28.28515625" bestFit="1" customWidth="1"/>
    <col min="2" max="2" width="12.7109375" bestFit="1" customWidth="1"/>
    <col min="3" max="3" width="9.140625" style="7"/>
    <col min="4" max="4" width="10.5703125" style="7" bestFit="1" customWidth="1"/>
    <col min="5" max="5" width="10.42578125" style="7" bestFit="1" customWidth="1"/>
    <col min="6" max="6" width="9.140625" style="7"/>
    <col min="7" max="7" width="3" customWidth="1"/>
    <col min="8" max="8" width="10.7109375" customWidth="1"/>
    <col min="9" max="9" width="7.85546875" bestFit="1" customWidth="1"/>
    <col min="10" max="10" width="8.7109375" customWidth="1"/>
    <col min="11" max="14" width="7.85546875" bestFit="1" customWidth="1"/>
  </cols>
  <sheetData>
    <row r="1" spans="1:14" ht="21">
      <c r="A1" s="87" t="s">
        <v>336</v>
      </c>
    </row>
    <row r="3" spans="1:14">
      <c r="A3" s="12" t="s">
        <v>337</v>
      </c>
      <c r="B3" s="12" t="s">
        <v>338</v>
      </c>
      <c r="C3" s="117" t="s">
        <v>339</v>
      </c>
      <c r="D3" s="117" t="s">
        <v>340</v>
      </c>
      <c r="E3" s="117" t="s">
        <v>341</v>
      </c>
      <c r="F3" s="117" t="s">
        <v>342</v>
      </c>
    </row>
    <row r="4" spans="1:14">
      <c r="A4" s="4" t="s">
        <v>343</v>
      </c>
      <c r="B4" s="4" t="s">
        <v>344</v>
      </c>
      <c r="C4" s="5">
        <v>6</v>
      </c>
      <c r="D4" s="5" t="s">
        <v>345</v>
      </c>
      <c r="E4" s="118" cm="1">
        <f t="array" ref="E4:E23">HLOOKUP(center,ExamLookup,2,FALSE)</f>
        <v>43260</v>
      </c>
      <c r="F4" s="119">
        <v>0.4375</v>
      </c>
      <c r="H4" s="120" t="s">
        <v>346</v>
      </c>
      <c r="I4" s="120" t="s">
        <v>347</v>
      </c>
      <c r="J4" s="120" t="s">
        <v>348</v>
      </c>
      <c r="K4" s="120" t="s">
        <v>115</v>
      </c>
      <c r="L4" s="120" t="s">
        <v>349</v>
      </c>
      <c r="M4" s="120" t="s">
        <v>350</v>
      </c>
      <c r="N4" s="120" t="s">
        <v>345</v>
      </c>
    </row>
    <row r="5" spans="1:14">
      <c r="A5" s="4" t="s">
        <v>351</v>
      </c>
      <c r="B5" s="4" t="s">
        <v>352</v>
      </c>
      <c r="C5" s="5">
        <v>2</v>
      </c>
      <c r="D5" s="5" t="s">
        <v>115</v>
      </c>
      <c r="E5" s="118">
        <v>43266</v>
      </c>
      <c r="F5" s="119">
        <v>0.41666666666666669</v>
      </c>
      <c r="H5" s="120" t="s">
        <v>341</v>
      </c>
      <c r="I5" s="121">
        <v>43264</v>
      </c>
      <c r="J5" s="121">
        <v>43257</v>
      </c>
      <c r="K5" s="121">
        <v>43266</v>
      </c>
      <c r="L5" s="121">
        <v>43262</v>
      </c>
      <c r="M5" s="121">
        <v>43265</v>
      </c>
      <c r="N5" s="121">
        <v>43260</v>
      </c>
    </row>
    <row r="6" spans="1:14">
      <c r="A6" s="4" t="s">
        <v>353</v>
      </c>
      <c r="B6" s="4" t="s">
        <v>354</v>
      </c>
      <c r="C6" s="5">
        <v>2</v>
      </c>
      <c r="D6" s="5" t="s">
        <v>349</v>
      </c>
      <c r="E6" s="118">
        <v>43262</v>
      </c>
      <c r="F6" s="119">
        <v>0.58333333333333337</v>
      </c>
    </row>
    <row r="7" spans="1:14">
      <c r="A7" s="4" t="s">
        <v>355</v>
      </c>
      <c r="B7" s="4" t="s">
        <v>356</v>
      </c>
      <c r="C7" s="5">
        <v>3</v>
      </c>
      <c r="D7" s="5" t="s">
        <v>115</v>
      </c>
      <c r="E7" s="118">
        <v>43266</v>
      </c>
      <c r="F7" s="119">
        <v>0.4375</v>
      </c>
    </row>
    <row r="8" spans="1:14" ht="18">
      <c r="A8" s="4" t="s">
        <v>357</v>
      </c>
      <c r="B8" s="4" t="s">
        <v>358</v>
      </c>
      <c r="C8" s="5">
        <v>5</v>
      </c>
      <c r="D8" s="5" t="s">
        <v>347</v>
      </c>
      <c r="E8" s="118">
        <v>43264</v>
      </c>
      <c r="F8" s="119">
        <v>0.41666666666666669</v>
      </c>
      <c r="H8" s="40" t="s">
        <v>431</v>
      </c>
    </row>
    <row r="9" spans="1:14" ht="18">
      <c r="A9" s="4" t="s">
        <v>359</v>
      </c>
      <c r="B9" s="4" t="s">
        <v>352</v>
      </c>
      <c r="C9" s="5">
        <v>7</v>
      </c>
      <c r="D9" s="5" t="s">
        <v>350</v>
      </c>
      <c r="E9" s="118">
        <v>43265</v>
      </c>
      <c r="F9" s="119">
        <v>0.45833333333333331</v>
      </c>
      <c r="H9" s="40" t="s">
        <v>438</v>
      </c>
    </row>
    <row r="10" spans="1:14" ht="18">
      <c r="A10" s="4" t="s">
        <v>360</v>
      </c>
      <c r="B10" s="4" t="s">
        <v>361</v>
      </c>
      <c r="C10" s="5">
        <v>8</v>
      </c>
      <c r="D10" s="5" t="s">
        <v>345</v>
      </c>
      <c r="E10" s="118">
        <v>43260</v>
      </c>
      <c r="F10" s="119">
        <v>0.47916666666666669</v>
      </c>
      <c r="H10" s="40" t="s">
        <v>432</v>
      </c>
    </row>
    <row r="11" spans="1:14" ht="18">
      <c r="A11" s="4" t="s">
        <v>362</v>
      </c>
      <c r="B11" s="4" t="s">
        <v>344</v>
      </c>
      <c r="C11" s="5">
        <v>1</v>
      </c>
      <c r="D11" s="5" t="s">
        <v>115</v>
      </c>
      <c r="E11" s="118">
        <v>43266</v>
      </c>
      <c r="F11" s="119">
        <v>0.47916666666666669</v>
      </c>
      <c r="H11" s="40" t="s">
        <v>433</v>
      </c>
    </row>
    <row r="12" spans="1:14" ht="18">
      <c r="A12" s="4" t="s">
        <v>363</v>
      </c>
      <c r="B12" s="4" t="s">
        <v>352</v>
      </c>
      <c r="C12" s="5">
        <v>4</v>
      </c>
      <c r="D12" s="5" t="s">
        <v>115</v>
      </c>
      <c r="E12" s="118">
        <v>43266</v>
      </c>
      <c r="F12" s="119">
        <v>0.52083333333333337</v>
      </c>
      <c r="H12" s="40" t="s">
        <v>434</v>
      </c>
    </row>
    <row r="13" spans="1:14" ht="18">
      <c r="A13" s="4" t="s">
        <v>364</v>
      </c>
      <c r="B13" s="4" t="s">
        <v>354</v>
      </c>
      <c r="C13" s="5">
        <v>5</v>
      </c>
      <c r="D13" s="5" t="s">
        <v>348</v>
      </c>
      <c r="E13" s="118">
        <v>43257</v>
      </c>
      <c r="F13" s="119">
        <v>0.58333333333333337</v>
      </c>
      <c r="H13" s="40" t="s">
        <v>435</v>
      </c>
    </row>
    <row r="14" spans="1:14" ht="16.5">
      <c r="A14" s="4" t="s">
        <v>365</v>
      </c>
      <c r="B14" s="4" t="s">
        <v>358</v>
      </c>
      <c r="C14" s="5">
        <v>6</v>
      </c>
      <c r="D14" s="5" t="s">
        <v>347</v>
      </c>
      <c r="E14" s="118">
        <v>43264</v>
      </c>
      <c r="F14" s="119">
        <v>0.44444444444444442</v>
      </c>
      <c r="H14" s="162" t="s">
        <v>436</v>
      </c>
    </row>
    <row r="15" spans="1:14" ht="16.5">
      <c r="A15" s="4" t="s">
        <v>366</v>
      </c>
      <c r="B15" s="4" t="s">
        <v>367</v>
      </c>
      <c r="C15" s="5">
        <v>2</v>
      </c>
      <c r="D15" s="5" t="s">
        <v>350</v>
      </c>
      <c r="E15" s="118">
        <v>43265</v>
      </c>
      <c r="F15" s="119">
        <v>0.5</v>
      </c>
      <c r="H15" s="162" t="s">
        <v>437</v>
      </c>
    </row>
    <row r="16" spans="1:14">
      <c r="A16" s="4" t="s">
        <v>439</v>
      </c>
      <c r="B16" s="4" t="s">
        <v>368</v>
      </c>
      <c r="C16" s="5">
        <v>6</v>
      </c>
      <c r="D16" s="5" t="s">
        <v>350</v>
      </c>
      <c r="E16" s="118">
        <v>43265</v>
      </c>
      <c r="F16" s="119">
        <v>0.60416666666666663</v>
      </c>
    </row>
    <row r="17" spans="1:6">
      <c r="A17" s="4" t="s">
        <v>369</v>
      </c>
      <c r="B17" s="4" t="s">
        <v>370</v>
      </c>
      <c r="C17" s="5">
        <v>4</v>
      </c>
      <c r="D17" s="5" t="s">
        <v>348</v>
      </c>
      <c r="E17" s="118">
        <v>43257</v>
      </c>
      <c r="F17" s="119">
        <v>0.61111111111111105</v>
      </c>
    </row>
    <row r="18" spans="1:6">
      <c r="A18" s="4" t="s">
        <v>371</v>
      </c>
      <c r="B18" s="4" t="s">
        <v>372</v>
      </c>
      <c r="C18" s="5">
        <v>6</v>
      </c>
      <c r="D18" s="5" t="s">
        <v>345</v>
      </c>
      <c r="E18" s="118">
        <v>43260</v>
      </c>
      <c r="F18" s="119">
        <v>0.58333333333333337</v>
      </c>
    </row>
    <row r="19" spans="1:6">
      <c r="A19" s="4" t="s">
        <v>373</v>
      </c>
      <c r="B19" s="4" t="s">
        <v>374</v>
      </c>
      <c r="C19" s="5">
        <v>8</v>
      </c>
      <c r="D19" s="5" t="s">
        <v>347</v>
      </c>
      <c r="E19" s="118">
        <v>43264</v>
      </c>
      <c r="F19" s="119">
        <v>0.47222222222222227</v>
      </c>
    </row>
    <row r="20" spans="1:6">
      <c r="A20" s="4" t="s">
        <v>375</v>
      </c>
      <c r="B20" s="4" t="s">
        <v>356</v>
      </c>
      <c r="C20" s="5">
        <v>3</v>
      </c>
      <c r="D20" s="5" t="s">
        <v>349</v>
      </c>
      <c r="E20" s="118">
        <v>43262</v>
      </c>
      <c r="F20" s="119">
        <v>0.60416666666666663</v>
      </c>
    </row>
    <row r="21" spans="1:6">
      <c r="A21" s="4" t="s">
        <v>376</v>
      </c>
      <c r="B21" s="4" t="s">
        <v>354</v>
      </c>
      <c r="C21" s="5">
        <v>6</v>
      </c>
      <c r="D21" s="5" t="s">
        <v>349</v>
      </c>
      <c r="E21" s="118">
        <v>43262</v>
      </c>
      <c r="F21" s="119">
        <v>0.63888888888888895</v>
      </c>
    </row>
    <row r="22" spans="1:6">
      <c r="A22" s="4" t="s">
        <v>377</v>
      </c>
      <c r="B22" s="4" t="s">
        <v>367</v>
      </c>
      <c r="C22" s="5">
        <v>8</v>
      </c>
      <c r="D22" s="5" t="s">
        <v>345</v>
      </c>
      <c r="E22" s="118">
        <v>43260</v>
      </c>
      <c r="F22" s="119">
        <v>0.625</v>
      </c>
    </row>
    <row r="23" spans="1:6">
      <c r="A23" s="4" t="s">
        <v>378</v>
      </c>
      <c r="B23" s="4" t="s">
        <v>356</v>
      </c>
      <c r="C23" s="5">
        <v>5</v>
      </c>
      <c r="D23" s="5" t="s">
        <v>115</v>
      </c>
      <c r="E23" s="118">
        <v>43266</v>
      </c>
      <c r="F23" s="119">
        <v>0.60416666666666663</v>
      </c>
    </row>
    <row r="26" spans="1:6">
      <c r="A26" s="122" t="s">
        <v>379</v>
      </c>
      <c r="B26" s="123" t="s">
        <v>439</v>
      </c>
      <c r="C26" s="13" t="s">
        <v>380</v>
      </c>
    </row>
    <row r="27" spans="1:6">
      <c r="A27" s="122" t="s">
        <v>381</v>
      </c>
      <c r="B27" s="123" t="str">
        <f>VLOOKUP(pupil,ExamData,2,FALSE)</f>
        <v>Harp</v>
      </c>
      <c r="C27"/>
    </row>
    <row r="28" spans="1:6">
      <c r="A28" s="122" t="s">
        <v>382</v>
      </c>
      <c r="B28" s="123">
        <f>VLOOKUP(pupil,ExamData,3,FALSE)</f>
        <v>6</v>
      </c>
      <c r="C28"/>
    </row>
    <row r="29" spans="1:6">
      <c r="A29" s="122" t="s">
        <v>383</v>
      </c>
      <c r="B29" s="123" t="str">
        <f>VLOOKUP(pupil,ExamData,4,FALSE)</f>
        <v>Oxford</v>
      </c>
      <c r="C29"/>
    </row>
    <row r="30" spans="1:6">
      <c r="A30" s="122" t="s">
        <v>384</v>
      </c>
      <c r="B30" s="164">
        <f>VLOOKUP(pupil,ExamData,5,FALSE)</f>
        <v>43265</v>
      </c>
      <c r="C30"/>
    </row>
    <row r="31" spans="1:6">
      <c r="A31" s="122" t="s">
        <v>385</v>
      </c>
      <c r="B31" s="165">
        <f>VLOOKUP(pupil,ExamData,6,FALSE)</f>
        <v>0.60416666666666663</v>
      </c>
      <c r="C3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7EA5-ABBF-437A-BE5A-5A20494B4DBF}">
  <dimension ref="B1:V12"/>
  <sheetViews>
    <sheetView showGridLines="0" workbookViewId="0">
      <selection activeCell="K28" sqref="K28"/>
    </sheetView>
  </sheetViews>
  <sheetFormatPr defaultRowHeight="12.75"/>
  <cols>
    <col min="1" max="1" width="2.85546875" style="127" customWidth="1"/>
    <col min="2" max="2" width="9.140625" style="127"/>
    <col min="3" max="3" width="15" style="127" customWidth="1"/>
    <col min="4" max="4" width="10.42578125" style="127" customWidth="1"/>
    <col min="5" max="5" width="15.5703125" style="127" customWidth="1"/>
    <col min="6" max="6" width="5" style="127" customWidth="1"/>
    <col min="7" max="7" width="9.140625" style="127" customWidth="1"/>
    <col min="8" max="8" width="13.5703125" style="127" customWidth="1"/>
    <col min="9" max="16384" width="9.140625" style="127"/>
  </cols>
  <sheetData>
    <row r="1" spans="2:22" ht="13.5" thickBot="1"/>
    <row r="2" spans="2:22">
      <c r="B2" s="124" t="s">
        <v>386</v>
      </c>
      <c r="C2" s="125"/>
      <c r="D2" s="125"/>
      <c r="E2" s="126"/>
      <c r="G2" s="128" t="s">
        <v>101</v>
      </c>
      <c r="H2" s="129"/>
      <c r="L2" s="151" t="s">
        <v>418</v>
      </c>
      <c r="M2" s="152"/>
      <c r="N2" s="152"/>
      <c r="O2" s="152"/>
      <c r="P2" s="152"/>
      <c r="Q2" s="152"/>
      <c r="R2" s="152"/>
      <c r="S2" s="152"/>
      <c r="T2" s="152"/>
      <c r="U2" s="152"/>
      <c r="V2" s="153"/>
    </row>
    <row r="3" spans="2:22">
      <c r="B3" s="130" t="s">
        <v>387</v>
      </c>
      <c r="C3" s="131" t="s">
        <v>69</v>
      </c>
      <c r="D3" s="132" t="s">
        <v>244</v>
      </c>
      <c r="E3" s="133" t="s">
        <v>388</v>
      </c>
      <c r="G3" s="134" t="s">
        <v>387</v>
      </c>
      <c r="H3" s="135" t="s">
        <v>389</v>
      </c>
      <c r="L3" s="154" t="s">
        <v>419</v>
      </c>
      <c r="M3" s="155"/>
      <c r="N3" s="155"/>
      <c r="O3" s="155"/>
      <c r="P3" s="155"/>
      <c r="Q3" s="155"/>
      <c r="R3" s="155"/>
      <c r="S3" s="155"/>
      <c r="T3" s="155"/>
      <c r="U3" s="155"/>
      <c r="V3" s="156"/>
    </row>
    <row r="4" spans="2:22">
      <c r="B4" s="136" t="s">
        <v>390</v>
      </c>
      <c r="C4" s="137" t="s">
        <v>391</v>
      </c>
      <c r="D4" s="138">
        <v>89.99</v>
      </c>
      <c r="E4" s="139">
        <v>5</v>
      </c>
      <c r="G4" s="140" t="s">
        <v>69</v>
      </c>
      <c r="H4" s="141" t="str">
        <f>VLOOKUP(Code,Stock,MATCH($G4,$B$3:$E$3,0),FALSE)</f>
        <v>Bookcase</v>
      </c>
      <c r="L4" s="154" t="s">
        <v>420</v>
      </c>
      <c r="M4" s="155"/>
      <c r="N4" s="155"/>
      <c r="O4" s="155"/>
      <c r="P4" s="155"/>
      <c r="Q4" s="155"/>
      <c r="R4" s="155"/>
      <c r="S4" s="155"/>
      <c r="T4" s="155"/>
      <c r="U4" s="155"/>
      <c r="V4" s="156"/>
    </row>
    <row r="5" spans="2:22" ht="13.5" thickBot="1">
      <c r="B5" s="136" t="s">
        <v>392</v>
      </c>
      <c r="C5" s="137" t="s">
        <v>393</v>
      </c>
      <c r="D5" s="138">
        <v>21</v>
      </c>
      <c r="E5" s="139">
        <v>7</v>
      </c>
      <c r="G5" s="140" t="s">
        <v>244</v>
      </c>
      <c r="H5" s="141">
        <f>VLOOKUP(Code,Stock,MATCH($G5,$B$3:$E$3,0),FALSE)</f>
        <v>112.5</v>
      </c>
      <c r="L5" s="157" t="s">
        <v>421</v>
      </c>
      <c r="M5" s="158"/>
      <c r="N5" s="158"/>
      <c r="O5" s="158"/>
      <c r="P5" s="158"/>
      <c r="Q5" s="158"/>
      <c r="R5" s="158"/>
      <c r="S5" s="158"/>
      <c r="T5" s="158"/>
      <c r="U5" s="158"/>
      <c r="V5" s="159"/>
    </row>
    <row r="6" spans="2:22">
      <c r="B6" s="136" t="s">
        <v>394</v>
      </c>
      <c r="C6" s="137" t="s">
        <v>395</v>
      </c>
      <c r="D6" s="138">
        <v>312</v>
      </c>
      <c r="E6" s="139">
        <v>0</v>
      </c>
      <c r="G6" s="142" t="s">
        <v>396</v>
      </c>
      <c r="H6" s="141">
        <f>VLOOKUP(Code,Stock,MATCH("Number in stock",$B$3:$E$3,0),FALSE)</f>
        <v>40</v>
      </c>
    </row>
    <row r="7" spans="2:22">
      <c r="B7" s="136" t="s">
        <v>397</v>
      </c>
      <c r="C7" s="137" t="s">
        <v>398</v>
      </c>
      <c r="D7" s="138">
        <v>199.99</v>
      </c>
      <c r="E7" s="139">
        <v>12</v>
      </c>
    </row>
    <row r="8" spans="2:22">
      <c r="B8" s="136" t="s">
        <v>389</v>
      </c>
      <c r="C8" s="137" t="s">
        <v>399</v>
      </c>
      <c r="D8" s="138">
        <v>112.5</v>
      </c>
      <c r="E8" s="139">
        <v>40</v>
      </c>
    </row>
    <row r="9" spans="2:22">
      <c r="B9" s="136" t="s">
        <v>400</v>
      </c>
      <c r="C9" s="137" t="s">
        <v>401</v>
      </c>
      <c r="D9" s="138">
        <v>45</v>
      </c>
      <c r="E9" s="139">
        <v>9</v>
      </c>
    </row>
    <row r="10" spans="2:22">
      <c r="B10" s="136" t="s">
        <v>402</v>
      </c>
      <c r="C10" s="137" t="s">
        <v>403</v>
      </c>
      <c r="D10" s="138">
        <v>87.99</v>
      </c>
      <c r="E10" s="139">
        <v>13</v>
      </c>
    </row>
    <row r="11" spans="2:22">
      <c r="B11" s="136" t="s">
        <v>404</v>
      </c>
      <c r="C11" s="137" t="s">
        <v>405</v>
      </c>
      <c r="D11" s="138">
        <v>32.99</v>
      </c>
      <c r="E11" s="139">
        <v>8</v>
      </c>
    </row>
    <row r="12" spans="2:22">
      <c r="B12" s="143" t="s">
        <v>406</v>
      </c>
      <c r="C12" s="144" t="s">
        <v>407</v>
      </c>
      <c r="D12" s="145">
        <v>231</v>
      </c>
      <c r="E12" s="1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41</vt:i4>
      </vt:variant>
    </vt:vector>
  </HeadingPairs>
  <TitlesOfParts>
    <vt:vector size="56" baseType="lpstr">
      <vt:lpstr>Poohsticks</vt:lpstr>
      <vt:lpstr>Playground</vt:lpstr>
      <vt:lpstr>Bob the Builder</vt:lpstr>
      <vt:lpstr>Holiday</vt:lpstr>
      <vt:lpstr>Cars - Main List</vt:lpstr>
      <vt:lpstr>Cars Tax Lookup Table</vt:lpstr>
      <vt:lpstr>Staff Bonus</vt:lpstr>
      <vt:lpstr>Library</vt:lpstr>
      <vt:lpstr>Widget Sales</vt:lpstr>
      <vt:lpstr>Teletubbies Coffee</vt:lpstr>
      <vt:lpstr>Curry</vt:lpstr>
      <vt:lpstr>Dog Jacket</vt:lpstr>
      <vt:lpstr>Truck Shop Class 5T</vt:lpstr>
      <vt:lpstr>Music Exams</vt:lpstr>
      <vt:lpstr>Catalogue</vt:lpstr>
      <vt:lpstr>BasePrices</vt:lpstr>
      <vt:lpstr>BonusLookup</vt:lpstr>
      <vt:lpstr>center</vt:lpstr>
      <vt:lpstr>checks_lookup</vt:lpstr>
      <vt:lpstr>Code</vt:lpstr>
      <vt:lpstr>coffeeLookup</vt:lpstr>
      <vt:lpstr>cupsOCoffee</vt:lpstr>
      <vt:lpstr>Customers</vt:lpstr>
      <vt:lpstr>Destination</vt:lpstr>
      <vt:lpstr>DiscountLookup</vt:lpstr>
      <vt:lpstr>DogNeck</vt:lpstr>
      <vt:lpstr>Emissions</vt:lpstr>
      <vt:lpstr>ExamData</vt:lpstr>
      <vt:lpstr>ExamLookup</vt:lpstr>
      <vt:lpstr>Hours</vt:lpstr>
      <vt:lpstr>isbn</vt:lpstr>
      <vt:lpstr>jacketLookup</vt:lpstr>
      <vt:lpstr>Large</vt:lpstr>
      <vt:lpstr>Largest</vt:lpstr>
      <vt:lpstr>LibraryData</vt:lpstr>
      <vt:lpstr>lookup</vt:lpstr>
      <vt:lpstr>Medium</vt:lpstr>
      <vt:lpstr>Multipliers</vt:lpstr>
      <vt:lpstr>pricelookup</vt:lpstr>
      <vt:lpstr>pupil</vt:lpstr>
      <vt:lpstr>quantity</vt:lpstr>
      <vt:lpstr>Rates</vt:lpstr>
      <vt:lpstr>ratestable</vt:lpstr>
      <vt:lpstr>rating</vt:lpstr>
      <vt:lpstr>ratinglookup</vt:lpstr>
      <vt:lpstr>scores</vt:lpstr>
      <vt:lpstr>search_item</vt:lpstr>
      <vt:lpstr>Small</vt:lpstr>
      <vt:lpstr>Stock</vt:lpstr>
      <vt:lpstr>TaxTable</vt:lpstr>
      <vt:lpstr>TaxTableHeaders</vt:lpstr>
      <vt:lpstr>Threshold_1</vt:lpstr>
      <vt:lpstr>Threshold_2</vt:lpstr>
      <vt:lpstr>Threshold_3</vt:lpstr>
      <vt:lpstr>truckqty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Fernandes</dc:creator>
  <cp:lastModifiedBy>Amanda Fernandes</cp:lastModifiedBy>
  <dcterms:created xsi:type="dcterms:W3CDTF">2022-04-12T16:42:04Z</dcterms:created>
  <dcterms:modified xsi:type="dcterms:W3CDTF">2022-04-13T20:14:47Z</dcterms:modified>
</cp:coreProperties>
</file>