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B2D0C88A-1AFB-40B9-A8D3-8EB83091ACB8}" xr6:coauthVersionLast="47" xr6:coauthVersionMax="47" xr10:uidLastSave="{00000000-0000-0000-0000-000000000000}"/>
  <bookViews>
    <workbookView xWindow="0" yWindow="3192" windowWidth="17280" windowHeight="8964" xr2:uid="{FB057829-92D5-4823-A08F-5D86C98916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30" i="1" l="1" a="1"/>
  <c r="S30" i="1" s="1"/>
  <c r="W26" i="1"/>
  <c r="U26" i="1"/>
  <c r="W23" i="1"/>
  <c r="U23" i="1"/>
  <c r="S23" i="1"/>
  <c r="S26" i="1" s="1"/>
  <c r="Z31" i="1" l="1" a="1"/>
  <c r="Z31" i="1" s="1"/>
  <c r="X38" i="1" s="1" a="1"/>
  <c r="X38" i="1" s="1"/>
  <c r="H23" i="2" l="1"/>
  <c r="I20" i="2"/>
  <c r="I18" i="2"/>
  <c r="H25" i="2"/>
  <c r="I12" i="2"/>
  <c r="H16" i="2"/>
  <c r="H21" i="2"/>
  <c r="H20" i="2"/>
  <c r="H19" i="2"/>
  <c r="H18" i="2"/>
  <c r="H17" i="2"/>
  <c r="H15" i="2"/>
  <c r="H14" i="2"/>
  <c r="H13" i="2"/>
  <c r="H12" i="2"/>
  <c r="F15" i="2"/>
  <c r="F14" i="2"/>
  <c r="F13" i="2"/>
  <c r="F12" i="2"/>
  <c r="E24" i="2"/>
  <c r="E23" i="2"/>
  <c r="E22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A23" i="2"/>
  <c r="A22" i="2"/>
  <c r="A21" i="2"/>
  <c r="A19" i="2"/>
  <c r="A18" i="2"/>
  <c r="A17" i="2"/>
  <c r="A16" i="2"/>
  <c r="A14" i="2"/>
  <c r="A13" i="2"/>
  <c r="A12" i="2"/>
  <c r="A11" i="2"/>
  <c r="A10" i="2"/>
  <c r="A9" i="2"/>
  <c r="B6" i="2"/>
  <c r="A6" i="2"/>
  <c r="T4" i="2"/>
  <c r="R1" i="2"/>
  <c r="P2" i="2"/>
  <c r="P1" i="2"/>
  <c r="T10" i="2"/>
  <c r="T9" i="2"/>
  <c r="T2" i="2"/>
  <c r="T1" i="2"/>
  <c r="R2" i="2"/>
  <c r="F3" i="1" a="1"/>
  <c r="F3" i="1" s="1"/>
  <c r="F8" i="1" s="1"/>
  <c r="F10" i="1" l="1"/>
  <c r="K2" i="1" s="1"/>
  <c r="R4" i="2"/>
  <c r="T5" i="2" s="1"/>
  <c r="P8" i="2" s="1"/>
  <c r="H8" i="1"/>
  <c r="S4" i="1"/>
  <c r="T4" i="1"/>
  <c r="U4" i="1"/>
  <c r="G10" i="1"/>
  <c r="H10" i="1"/>
  <c r="G8" i="1"/>
  <c r="M5" i="1" l="1"/>
  <c r="P5" i="1" s="1"/>
  <c r="M2" i="1"/>
  <c r="M4" i="1"/>
  <c r="P4" i="1" s="1"/>
  <c r="M3" i="1"/>
  <c r="P3" i="1" s="1"/>
  <c r="M6" i="1"/>
  <c r="P6" i="1" s="1"/>
  <c r="L2" i="1"/>
  <c r="L6" i="1"/>
  <c r="O6" i="1" s="1"/>
  <c r="L5" i="1"/>
  <c r="O5" i="1" s="1"/>
  <c r="L4" i="1"/>
  <c r="O4" i="1" s="1"/>
  <c r="L3" i="1"/>
  <c r="O3" i="1" s="1"/>
  <c r="K5" i="1"/>
  <c r="N5" i="1" s="1"/>
  <c r="K6" i="1"/>
  <c r="N6" i="1" s="1"/>
  <c r="K4" i="1"/>
  <c r="N4" i="1" s="1"/>
  <c r="K3" i="1"/>
  <c r="N2" i="1"/>
  <c r="N3" i="1" l="1"/>
  <c r="N7" i="1" s="1"/>
  <c r="S3" i="1" s="1"/>
  <c r="X3" i="1" s="1" a="1"/>
  <c r="K7" i="1"/>
  <c r="O2" i="1"/>
  <c r="O7" i="1" s="1"/>
  <c r="T3" i="1" s="1"/>
  <c r="Y3" i="1" s="1" a="1"/>
  <c r="L7" i="1"/>
  <c r="P2" i="1"/>
  <c r="P7" i="1" s="1"/>
  <c r="U3" i="1" s="1"/>
  <c r="Z3" i="1" s="1" a="1"/>
  <c r="Z3" i="1" s="1"/>
  <c r="C11" i="1" s="1" a="1"/>
  <c r="C11" i="1" s="1"/>
  <c r="U8" i="1" s="1"/>
  <c r="P12" i="1" s="1"/>
  <c r="M7" i="1"/>
  <c r="Y3" i="1" l="1"/>
  <c r="T9" i="1" s="1"/>
  <c r="X3" i="1"/>
  <c r="X8" i="1"/>
  <c r="Z8" i="1"/>
  <c r="U9" i="1"/>
  <c r="Y8" i="1" l="1"/>
  <c r="L15" i="1" s="1"/>
  <c r="J14" i="1"/>
  <c r="J15" i="1"/>
  <c r="S9" i="1"/>
  <c r="J11" i="1"/>
  <c r="K11" i="1"/>
  <c r="K13" i="1"/>
  <c r="K14" i="1"/>
  <c r="J12" i="1"/>
  <c r="K12" i="1"/>
  <c r="L12" i="1"/>
  <c r="L14" i="1"/>
  <c r="L13" i="1"/>
  <c r="K15" i="1"/>
  <c r="L11" i="1"/>
  <c r="U13" i="1" s="1"/>
  <c r="P11" i="1" s="1"/>
  <c r="T14" i="1"/>
  <c r="N12" i="1" s="1"/>
  <c r="S14" i="1"/>
  <c r="N11" i="1" s="1"/>
  <c r="A11" i="1" a="1"/>
  <c r="A11" i="1" s="1"/>
  <c r="S8" i="1" s="1"/>
  <c r="N10" i="1" s="1"/>
  <c r="U14" i="1"/>
  <c r="O12" i="1" s="1"/>
  <c r="B11" i="1" a="1"/>
  <c r="B11" i="1" s="1"/>
  <c r="T8" i="1" s="1"/>
  <c r="O11" i="1" s="1"/>
  <c r="J13" i="1" l="1"/>
  <c r="T13" i="1"/>
  <c r="P10" i="1" s="1"/>
  <c r="S13" i="1"/>
  <c r="O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<sst xmlns="http://schemas.openxmlformats.org/spreadsheetml/2006/main" count="133" uniqueCount="87">
  <si>
    <t>Data Asli</t>
  </si>
  <si>
    <t>X1</t>
  </si>
  <si>
    <t>X2</t>
  </si>
  <si>
    <t>X3</t>
  </si>
  <si>
    <t>Data yang sudah dikurangkan NPM</t>
  </si>
  <si>
    <t>Xbar1</t>
  </si>
  <si>
    <t>Xbar2</t>
  </si>
  <si>
    <t>Xbar3</t>
  </si>
  <si>
    <t>Rata-rata</t>
  </si>
  <si>
    <t>Standar deviasi</t>
  </si>
  <si>
    <t>σ1</t>
  </si>
  <si>
    <t>σ2</t>
  </si>
  <si>
    <t>σ3</t>
  </si>
  <si>
    <t xml:space="preserve">Total </t>
  </si>
  <si>
    <t>Standarisasi</t>
  </si>
  <si>
    <t>Z1</t>
  </si>
  <si>
    <t>Z2</t>
  </si>
  <si>
    <t>Z3</t>
  </si>
  <si>
    <t>Var</t>
  </si>
  <si>
    <t xml:space="preserve">Z1 </t>
  </si>
  <si>
    <t>X1-Xbar1</t>
  </si>
  <si>
    <t>X2-Xbar2</t>
  </si>
  <si>
    <t>X3-Xbar3</t>
  </si>
  <si>
    <t>(X1-Xbar1)^2</t>
  </si>
  <si>
    <t>(X2-Xbar2)^2</t>
  </si>
  <si>
    <t>(X3-Xbar3)^2</t>
  </si>
  <si>
    <t>Manual</t>
  </si>
  <si>
    <t>Formula</t>
  </si>
  <si>
    <t>Matriks varian dari z</t>
  </si>
  <si>
    <t>Matriks kovarian dari z</t>
  </si>
  <si>
    <t>Cov</t>
  </si>
  <si>
    <t>Var Z1</t>
  </si>
  <si>
    <t>Var Z2</t>
  </si>
  <si>
    <t>Var Z3</t>
  </si>
  <si>
    <t>Cov Z1,Z2</t>
  </si>
  <si>
    <t>Cov Z1,Z3</t>
  </si>
  <si>
    <t>Cov Z2,Z3</t>
  </si>
  <si>
    <t>Z1,Z2</t>
  </si>
  <si>
    <t>Z1,Z3</t>
  </si>
  <si>
    <t>Z2,Z3</t>
  </si>
  <si>
    <t>Matriks varian kovarian data Z</t>
  </si>
  <si>
    <t>Total</t>
  </si>
  <si>
    <t>-</t>
  </si>
  <si>
    <t>X</t>
  </si>
  <si>
    <t>=</t>
  </si>
  <si>
    <t>|</t>
  </si>
  <si>
    <t>λ1</t>
  </si>
  <si>
    <t>λ2</t>
  </si>
  <si>
    <t>λ3</t>
  </si>
  <si>
    <t>+</t>
  </si>
  <si>
    <t>Jadi matriks varian dan kovarian</t>
  </si>
  <si>
    <t>dari data z yaitu pada tabel diatas</t>
  </si>
  <si>
    <t xml:space="preserve">matriks tersebut yaitu </t>
  </si>
  <si>
    <t>Eigenvectors dari matriks varian dan kovarian data Z</t>
  </si>
  <si>
    <t>Eigenvalues dari matriks varian dan kovarian data Z</t>
  </si>
  <si>
    <t>Jadi setelah mencari eigenvalues bisa mencari</t>
  </si>
  <si>
    <t>eigenvectornya dengan lambda 1 sampai 3, lalu</t>
  </si>
  <si>
    <t>belum normalisasi                     sudah normalisasi</t>
  </si>
  <si>
    <t xml:space="preserve">Jadi setelah mencari eigenvectors lambda pertama </t>
  </si>
  <si>
    <t>bisa mencari eigenvectornya dengan lambda kedua</t>
  </si>
  <si>
    <t>lambda yang 2 mendapatkan nilai e2.</t>
  </si>
  <si>
    <t>lambda yang 1 mendapatkan nilai e1.</t>
  </si>
  <si>
    <t xml:space="preserve">Jadi setelah mencari eigenvectors lambda kedua </t>
  </si>
  <si>
    <t>bisa mencari eigenvectornya dengan lambda terakhir</t>
  </si>
  <si>
    <t>yaitu lambda yang 3 mendapatkan nilai e3.</t>
  </si>
  <si>
    <t xml:space="preserve">Setelah mencari determinan dari matriks dan menggunakan </t>
  </si>
  <si>
    <t xml:space="preserve">metode sarrus bisa didapatkan hasil ketiga lambda dari </t>
  </si>
  <si>
    <t>Model persamaan PCA</t>
  </si>
  <si>
    <t>Y1 = 0.6922X1 + 0.7128X2 + 0.1131X3</t>
  </si>
  <si>
    <t>Y2 = -0.2269X1 + 0.0674X2 + 0.9716X3</t>
  </si>
  <si>
    <t>Y3 = 0.6826X1 - 0.7006X2 + 0.2081X3</t>
  </si>
  <si>
    <t>M dimensi baru</t>
  </si>
  <si>
    <t>Eigen value lebih dari 1</t>
  </si>
  <si>
    <t>Eigenvalue 1 : λ1 = 1.476911728715107  ≈ 1.4769</t>
  </si>
  <si>
    <t>Eigenvalue 2 : λ2=1.0161634905699886≈1.0162</t>
  </si>
  <si>
    <t>Memilih % proporsi kumulatif dari total varians lebih dari 70%</t>
  </si>
  <si>
    <t>Varians 1</t>
  </si>
  <si>
    <t>Varians 2</t>
  </si>
  <si>
    <t>Varians 3</t>
  </si>
  <si>
    <t>% proporsi kumulatif dari total varians</t>
  </si>
  <si>
    <t>Hasil dataset dari model PCA</t>
  </si>
  <si>
    <t>Z</t>
  </si>
  <si>
    <t>W</t>
  </si>
  <si>
    <t>y</t>
  </si>
  <si>
    <t>Jadi sudah didapatkan</t>
  </si>
  <si>
    <t>data set baru dengan</t>
  </si>
  <si>
    <t>hasil PCA yaitu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</si>
</sst>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006699"/>
        <bgColor indexed="64"/>
      </patternFill>
    </fill>
    <fill>
      <patternFill patternType="solid">
        <fgColor rgb="FFFF999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3" xfId="0" applyBorder="1"/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12" xfId="0" applyBorder="1"/>
    <xf numFmtId="0" fontId="0" fillId="10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0" fillId="15" borderId="9" xfId="0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0" fontId="0" fillId="15" borderId="0" xfId="0" applyFill="1" applyAlignment="1">
      <alignment horizontal="center"/>
    </xf>
    <xf numFmtId="0" fontId="0" fillId="15" borderId="12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7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2" xfId="0" applyFill="1" applyBorder="1" applyAlignment="1">
      <alignment horizontal="center"/>
    </xf>
    <xf numFmtId="0" fontId="0" fillId="17" borderId="15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17" borderId="8" xfId="0" applyFill="1" applyBorder="1" applyAlignment="1">
      <alignment horizontal="center"/>
    </xf>
    <xf numFmtId="0" fontId="0" fillId="17" borderId="13" xfId="0" applyFill="1" applyBorder="1" applyAlignment="1">
      <alignment horizontal="center"/>
    </xf>
    <xf numFmtId="0" fontId="0" fillId="17" borderId="7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9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2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4" borderId="10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6" borderId="6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2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1" borderId="1" xfId="0" applyFill="1" applyBorder="1" applyAlignment="1">
      <alignment horizontal="center"/>
    </xf>
    <xf numFmtId="0" fontId="0" fillId="21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2" borderId="1" xfId="0" applyFill="1" applyBorder="1" applyAlignment="1">
      <alignment horizontal="center"/>
    </xf>
    <xf numFmtId="0" fontId="0" fillId="23" borderId="1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4" borderId="10" xfId="0" applyFill="1" applyBorder="1" applyAlignment="1">
      <alignment horizontal="center"/>
    </xf>
    <xf numFmtId="0" fontId="0" fillId="24" borderId="9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7" xfId="0" applyFill="1" applyBorder="1" applyAlignment="1">
      <alignment horizontal="center"/>
    </xf>
    <xf numFmtId="0" fontId="0" fillId="24" borderId="10" xfId="0" applyFill="1" applyBorder="1" applyAlignment="1">
      <alignment horizontal="center"/>
    </xf>
    <xf numFmtId="0" fontId="0" fillId="24" borderId="11" xfId="0" applyFill="1" applyBorder="1" applyAlignment="1">
      <alignment horizontal="center"/>
    </xf>
    <xf numFmtId="0" fontId="0" fillId="24" borderId="9" xfId="0" applyFill="1" applyBorder="1" applyAlignment="1">
      <alignment horizontal="center"/>
    </xf>
    <xf numFmtId="0" fontId="0" fillId="24" borderId="3" xfId="0" applyFill="1" applyBorder="1" applyAlignment="1">
      <alignment horizontal="center"/>
    </xf>
    <xf numFmtId="0" fontId="0" fillId="24" borderId="0" xfId="0" applyFill="1" applyAlignment="1">
      <alignment horizontal="center"/>
    </xf>
    <xf numFmtId="0" fontId="0" fillId="24" borderId="12" xfId="0" applyFill="1" applyBorder="1" applyAlignment="1">
      <alignment horizontal="center"/>
    </xf>
    <xf numFmtId="0" fontId="0" fillId="24" borderId="1" xfId="0" applyFill="1" applyBorder="1" applyAlignment="1">
      <alignment horizontal="center"/>
    </xf>
    <xf numFmtId="0" fontId="0" fillId="24" borderId="6" xfId="0" applyFill="1" applyBorder="1" applyAlignment="1">
      <alignment horizontal="center"/>
    </xf>
    <xf numFmtId="0" fontId="0" fillId="24" borderId="8" xfId="0" applyFill="1" applyBorder="1" applyAlignment="1">
      <alignment horizontal="center"/>
    </xf>
    <xf numFmtId="0" fontId="0" fillId="24" borderId="13" xfId="0" applyFill="1" applyBorder="1" applyAlignment="1">
      <alignment horizontal="center"/>
    </xf>
    <xf numFmtId="0" fontId="0" fillId="2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66"/>
      <color rgb="FF99FF99"/>
      <color rgb="FFFF0066"/>
      <color rgb="FF99FF33"/>
      <color rgb="FFFFFFCC"/>
      <color rgb="FFCCECFF"/>
      <color rgb="FFFFCCFF"/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0</xdr:rowOff>
    </xdr:from>
    <xdr:to>
      <xdr:col>3</xdr:col>
      <xdr:colOff>10160</xdr:colOff>
      <xdr:row>39</xdr:row>
      <xdr:rowOff>103197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EF87969-ED5B-D23A-9484-2E6E54BB39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48000"/>
          <a:ext cx="3766372" cy="4047668"/>
        </a:xfrm>
        <a:prstGeom prst="rect">
          <a:avLst/>
        </a:prstGeom>
      </xdr:spPr>
    </xdr:pic>
    <xdr:clientData/>
  </xdr:twoCellAnchor>
  <xdr:twoCellAnchor editAs="oneCell">
    <xdr:from>
      <xdr:col>4</xdr:col>
      <xdr:colOff>6550</xdr:colOff>
      <xdr:row>17</xdr:row>
      <xdr:rowOff>17930</xdr:rowOff>
    </xdr:from>
    <xdr:to>
      <xdr:col>7</xdr:col>
      <xdr:colOff>387527</xdr:colOff>
      <xdr:row>39</xdr:row>
      <xdr:rowOff>53789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A3C749C-7DCD-463A-75BC-E5A395E75C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960" t="2994" r="6613" b="2200"/>
        <a:stretch/>
      </xdr:blipFill>
      <xdr:spPr>
        <a:xfrm>
          <a:off x="4377583" y="3149666"/>
          <a:ext cx="2801293" cy="4088694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17</xdr:row>
      <xdr:rowOff>1</xdr:rowOff>
    </xdr:from>
    <xdr:to>
      <xdr:col>11</xdr:col>
      <xdr:colOff>719417</xdr:colOff>
      <xdr:row>39</xdr:row>
      <xdr:rowOff>28796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8994FC0-0CBD-B823-357B-79C3C7D75A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r="1153" b="1924"/>
        <a:stretch/>
      </xdr:blipFill>
      <xdr:spPr>
        <a:xfrm>
          <a:off x="8343900" y="3108961"/>
          <a:ext cx="2776817" cy="4052155"/>
        </a:xfrm>
        <a:prstGeom prst="rect">
          <a:avLst/>
        </a:prstGeom>
      </xdr:spPr>
    </xdr:pic>
    <xdr:clientData/>
  </xdr:twoCellAnchor>
  <xdr:twoCellAnchor editAs="oneCell">
    <xdr:from>
      <xdr:col>13</xdr:col>
      <xdr:colOff>181069</xdr:colOff>
      <xdr:row>17</xdr:row>
      <xdr:rowOff>1204</xdr:rowOff>
    </xdr:from>
    <xdr:to>
      <xdr:col>16</xdr:col>
      <xdr:colOff>423497</xdr:colOff>
      <xdr:row>39</xdr:row>
      <xdr:rowOff>10110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8FD6B4D-8269-D02C-0C3C-31F4FD8046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l="1563" t="1580" r="1778" b="2156"/>
        <a:stretch/>
      </xdr:blipFill>
      <xdr:spPr>
        <a:xfrm>
          <a:off x="12083509" y="3110164"/>
          <a:ext cx="2833228" cy="4032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C8E3-1C46-4DC3-8A58-948669BF33E6}">
  <dimension ref="A1:AD47"/>
  <sheetViews>
    <sheetView tabSelected="1" topLeftCell="G15" zoomScale="63" zoomScaleNormal="99" workbookViewId="0">
      <selection activeCell="Y22" sqref="Y22"/>
    </sheetView>
  </sheetViews>
  <sheetFormatPr defaultRowHeight="14.4" x14ac:dyDescent="0.3"/>
  <cols>
    <col min="1" max="1" width="17" style="7" customWidth="1"/>
    <col min="2" max="2" width="19.88671875" style="7" customWidth="1"/>
    <col min="3" max="3" width="17.88671875" style="7" customWidth="1"/>
    <col min="4" max="4" width="8.88671875" style="7"/>
    <col min="5" max="5" width="8.88671875" style="7" bestFit="1" customWidth="1"/>
    <col min="6" max="6" width="12.88671875" style="7" bestFit="1" customWidth="1"/>
    <col min="7" max="7" width="13.5546875" style="7" bestFit="1" customWidth="1"/>
    <col min="8" max="8" width="5.77734375" style="7" bestFit="1" customWidth="1"/>
    <col min="9" max="9" width="7.33203125" style="7" customWidth="1"/>
    <col min="10" max="10" width="13" style="7" bestFit="1" customWidth="1"/>
    <col min="11" max="11" width="12.44140625" style="7" bestFit="1" customWidth="1"/>
    <col min="12" max="12" width="13" style="7" bestFit="1" customWidth="1"/>
    <col min="13" max="13" width="8.44140625" style="7" bestFit="1" customWidth="1"/>
    <col min="14" max="14" width="12.33203125" style="7" bestFit="1" customWidth="1"/>
    <col min="15" max="15" width="13.109375" style="7" customWidth="1"/>
    <col min="16" max="16" width="12.33203125" style="7" bestFit="1" customWidth="1"/>
    <col min="17" max="17" width="8.88671875" style="7"/>
    <col min="18" max="18" width="7.6640625" style="7" bestFit="1" customWidth="1"/>
    <col min="19" max="19" width="6.21875" style="7" customWidth="1"/>
    <col min="20" max="20" width="6.5546875" style="7" customWidth="1"/>
    <col min="21" max="21" width="7.5546875" style="7" customWidth="1"/>
    <col min="22" max="22" width="9.5546875" style="7" customWidth="1"/>
    <col min="23" max="23" width="8.88671875" style="7" customWidth="1"/>
    <col min="24" max="24" width="16.5546875" style="7" customWidth="1"/>
    <col min="25" max="25" width="16" style="7" customWidth="1"/>
    <col min="26" max="26" width="18.109375" style="7" customWidth="1"/>
    <col min="27" max="27" width="8.88671875" style="7"/>
    <col min="28" max="28" width="6.109375" style="7" customWidth="1"/>
    <col min="29" max="29" width="6.44140625" style="7" customWidth="1"/>
    <col min="30" max="30" width="11.5546875" style="7" bestFit="1" customWidth="1"/>
    <col min="31" max="31" width="6.44140625" style="7" customWidth="1"/>
    <col min="32" max="16384" width="8.88671875" style="7"/>
  </cols>
  <sheetData>
    <row r="1" spans="1:30" x14ac:dyDescent="0.3">
      <c r="A1" s="70" t="s">
        <v>0</v>
      </c>
      <c r="B1" s="71"/>
      <c r="C1" s="72"/>
      <c r="F1" s="73" t="s">
        <v>4</v>
      </c>
      <c r="G1" s="73"/>
      <c r="H1" s="73"/>
      <c r="I1" s="13"/>
      <c r="K1" s="3" t="s">
        <v>20</v>
      </c>
      <c r="L1" s="3" t="s">
        <v>21</v>
      </c>
      <c r="M1" s="3" t="s">
        <v>22</v>
      </c>
      <c r="N1" s="3" t="s">
        <v>23</v>
      </c>
      <c r="O1" s="3" t="s">
        <v>24</v>
      </c>
      <c r="P1" s="3" t="s">
        <v>25</v>
      </c>
      <c r="S1" s="74" t="s">
        <v>9</v>
      </c>
      <c r="T1" s="74"/>
      <c r="U1" s="74"/>
      <c r="X1" s="69" t="s">
        <v>14</v>
      </c>
      <c r="Y1" s="69"/>
      <c r="Z1" s="69"/>
      <c r="AB1"/>
      <c r="AC1"/>
      <c r="AD1"/>
    </row>
    <row r="2" spans="1:30" x14ac:dyDescent="0.3">
      <c r="A2" s="1" t="s">
        <v>1</v>
      </c>
      <c r="B2" s="1" t="s">
        <v>2</v>
      </c>
      <c r="C2" s="1" t="s">
        <v>3</v>
      </c>
      <c r="F2" s="2" t="s">
        <v>1</v>
      </c>
      <c r="G2" s="2" t="s">
        <v>2</v>
      </c>
      <c r="H2" s="2" t="s">
        <v>3</v>
      </c>
      <c r="I2" s="13"/>
      <c r="K2" s="8">
        <f>F3-F10</f>
        <v>-150</v>
      </c>
      <c r="L2" s="8">
        <f>G3-G10</f>
        <v>130</v>
      </c>
      <c r="M2" s="8">
        <f>H3-H10</f>
        <v>-10</v>
      </c>
      <c r="N2" s="8">
        <f>K2^2</f>
        <v>22500</v>
      </c>
      <c r="O2" s="8">
        <f>L2^2</f>
        <v>16900</v>
      </c>
      <c r="P2" s="8">
        <f>M2^2</f>
        <v>100</v>
      </c>
      <c r="S2" s="9" t="s">
        <v>10</v>
      </c>
      <c r="T2" s="9" t="s">
        <v>11</v>
      </c>
      <c r="U2" s="9" t="s">
        <v>12</v>
      </c>
      <c r="X2" s="5" t="s">
        <v>15</v>
      </c>
      <c r="Y2" s="5" t="s">
        <v>16</v>
      </c>
      <c r="Z2" s="5" t="s">
        <v>17</v>
      </c>
    </row>
    <row r="3" spans="1:30" x14ac:dyDescent="0.3">
      <c r="A3" s="8">
        <v>150</v>
      </c>
      <c r="B3" s="8">
        <v>500</v>
      </c>
      <c r="C3" s="8">
        <v>300</v>
      </c>
      <c r="F3" s="8" cm="1">
        <f t="array" ref="F3:H7">(A3:C7)-93</f>
        <v>57</v>
      </c>
      <c r="G3" s="8">
        <v>407</v>
      </c>
      <c r="H3" s="8">
        <v>207</v>
      </c>
      <c r="I3" s="13"/>
      <c r="K3" s="8">
        <f>F4-F10</f>
        <v>100</v>
      </c>
      <c r="L3" s="8">
        <f>G4-G10</f>
        <v>30</v>
      </c>
      <c r="M3" s="8">
        <f>H4-H10</f>
        <v>290</v>
      </c>
      <c r="N3" s="8">
        <f t="shared" ref="N3:N6" si="0">K3^2</f>
        <v>10000</v>
      </c>
      <c r="O3" s="8">
        <f t="shared" ref="O3:O6" si="1">L3^2</f>
        <v>900</v>
      </c>
      <c r="P3" s="8">
        <f t="shared" ref="P3:P6" si="2">M3^2</f>
        <v>84100</v>
      </c>
      <c r="R3" s="4" t="s">
        <v>26</v>
      </c>
      <c r="S3" s="8">
        <f>SQRT(SUM(N7)/(5-1))</f>
        <v>196.85019685029528</v>
      </c>
      <c r="T3" s="8">
        <f>SQRT(SUM(O7)/(5-1))</f>
        <v>148.32396974191326</v>
      </c>
      <c r="U3" s="8">
        <f>SQRT(SUM(P7)/(5-1))</f>
        <v>174.64249196572982</v>
      </c>
      <c r="X3" s="8" cm="1">
        <f t="array" ref="X3:X7">(F3:F7-F10)/S3</f>
        <v>-0.76200076200114297</v>
      </c>
      <c r="Y3" s="8" cm="1">
        <f t="array" ref="Y3:Y7">(G3:G7-G10)/T3</f>
        <v>0.87645982120221466</v>
      </c>
      <c r="Z3" s="8" cm="1">
        <f t="array" ref="Z3:Z7">(H3:H7-H10)/U3</f>
        <v>-5.7259833431386818E-2</v>
      </c>
    </row>
    <row r="4" spans="1:30" x14ac:dyDescent="0.3">
      <c r="A4" s="8">
        <v>400</v>
      </c>
      <c r="B4" s="8">
        <v>400</v>
      </c>
      <c r="C4" s="8">
        <v>600</v>
      </c>
      <c r="F4" s="8">
        <v>307</v>
      </c>
      <c r="G4" s="8">
        <v>307</v>
      </c>
      <c r="H4" s="8">
        <v>507</v>
      </c>
      <c r="I4" s="13"/>
      <c r="K4" s="8">
        <f>F5-F10</f>
        <v>-100</v>
      </c>
      <c r="L4" s="8">
        <f>G5-G10</f>
        <v>-220</v>
      </c>
      <c r="M4" s="8">
        <f>H5-H10</f>
        <v>-110</v>
      </c>
      <c r="N4" s="8">
        <f t="shared" si="0"/>
        <v>10000</v>
      </c>
      <c r="O4" s="8">
        <f t="shared" si="1"/>
        <v>48400</v>
      </c>
      <c r="P4" s="8">
        <f t="shared" si="2"/>
        <v>12100</v>
      </c>
      <c r="R4" s="4" t="s">
        <v>27</v>
      </c>
      <c r="S4" s="8">
        <f>_xlfn.STDEV.S(F3:F7)</f>
        <v>196.85019685029528</v>
      </c>
      <c r="T4" s="8">
        <f>_xlfn.STDEV.S(G3:G7)</f>
        <v>148.32396974191326</v>
      </c>
      <c r="U4" s="8">
        <f>_xlfn.STDEV.S(H3:H7)</f>
        <v>174.64249196572982</v>
      </c>
      <c r="X4" s="8">
        <v>0.50800050800076202</v>
      </c>
      <c r="Y4" s="8">
        <v>0.20225995873897262</v>
      </c>
      <c r="Z4" s="8">
        <v>1.6605351695102177</v>
      </c>
    </row>
    <row r="5" spans="1:30" x14ac:dyDescent="0.3">
      <c r="A5" s="8">
        <v>200</v>
      </c>
      <c r="B5" s="8">
        <v>150</v>
      </c>
      <c r="C5" s="8">
        <v>200</v>
      </c>
      <c r="F5" s="8">
        <v>107</v>
      </c>
      <c r="G5" s="8">
        <v>57</v>
      </c>
      <c r="H5" s="8">
        <v>107</v>
      </c>
      <c r="I5" s="13"/>
      <c r="K5" s="8">
        <f>F6-F10</f>
        <v>-150</v>
      </c>
      <c r="L5" s="8">
        <f>G6-G10</f>
        <v>-70</v>
      </c>
      <c r="M5" s="8">
        <f>H6-H10</f>
        <v>-10</v>
      </c>
      <c r="N5" s="8">
        <f t="shared" si="0"/>
        <v>22500</v>
      </c>
      <c r="O5" s="8">
        <f t="shared" si="1"/>
        <v>4900</v>
      </c>
      <c r="P5" s="8">
        <f t="shared" si="2"/>
        <v>100</v>
      </c>
      <c r="S5"/>
      <c r="T5"/>
      <c r="U5"/>
      <c r="V5"/>
      <c r="X5" s="8">
        <v>-0.50800050800076202</v>
      </c>
      <c r="Y5" s="8">
        <v>-1.4832396974191326</v>
      </c>
      <c r="Z5" s="8">
        <v>-0.62985816774525505</v>
      </c>
    </row>
    <row r="6" spans="1:30" x14ac:dyDescent="0.3">
      <c r="A6" s="8">
        <v>150</v>
      </c>
      <c r="B6" s="8">
        <v>300</v>
      </c>
      <c r="C6" s="8">
        <v>300</v>
      </c>
      <c r="F6" s="8">
        <v>57</v>
      </c>
      <c r="G6" s="8">
        <v>207</v>
      </c>
      <c r="H6" s="8">
        <v>207</v>
      </c>
      <c r="I6" s="13"/>
      <c r="K6" s="10">
        <f>F7-F10</f>
        <v>300</v>
      </c>
      <c r="L6" s="10">
        <f>G7-G10</f>
        <v>130</v>
      </c>
      <c r="M6" s="10">
        <f>H7-H10</f>
        <v>-160</v>
      </c>
      <c r="N6" s="10">
        <f t="shared" si="0"/>
        <v>90000</v>
      </c>
      <c r="O6" s="10">
        <f t="shared" si="1"/>
        <v>16900</v>
      </c>
      <c r="P6" s="10">
        <f t="shared" si="2"/>
        <v>25600</v>
      </c>
      <c r="S6" s="75" t="s">
        <v>18</v>
      </c>
      <c r="T6" s="75"/>
      <c r="U6" s="75"/>
      <c r="X6" s="8">
        <v>-0.76200076200114297</v>
      </c>
      <c r="Y6" s="8">
        <v>-0.47193990372426947</v>
      </c>
      <c r="Z6" s="8">
        <v>-5.7259833431386818E-2</v>
      </c>
    </row>
    <row r="7" spans="1:30" x14ac:dyDescent="0.3">
      <c r="A7" s="8">
        <v>600</v>
      </c>
      <c r="B7" s="8">
        <v>500</v>
      </c>
      <c r="C7" s="8">
        <v>150</v>
      </c>
      <c r="F7" s="8">
        <v>507</v>
      </c>
      <c r="G7" s="8">
        <v>407</v>
      </c>
      <c r="H7" s="8">
        <v>57</v>
      </c>
      <c r="I7" s="13"/>
      <c r="J7" s="3" t="s">
        <v>41</v>
      </c>
      <c r="K7" s="8">
        <f t="shared" ref="K7:P7" si="3">SUM(K2:K6)</f>
        <v>0</v>
      </c>
      <c r="L7" s="8">
        <f t="shared" si="3"/>
        <v>0</v>
      </c>
      <c r="M7" s="8">
        <f t="shared" si="3"/>
        <v>0</v>
      </c>
      <c r="N7" s="8">
        <f t="shared" si="3"/>
        <v>155000</v>
      </c>
      <c r="O7" s="8">
        <f t="shared" si="3"/>
        <v>88000</v>
      </c>
      <c r="P7" s="8">
        <f t="shared" si="3"/>
        <v>122000</v>
      </c>
      <c r="S7" s="12" t="s">
        <v>19</v>
      </c>
      <c r="T7" s="12" t="s">
        <v>16</v>
      </c>
      <c r="U7" s="12" t="s">
        <v>17</v>
      </c>
      <c r="X7" s="10">
        <v>1.5240015240022859</v>
      </c>
      <c r="Y7" s="10">
        <v>0.87645982120221466</v>
      </c>
      <c r="Z7" s="10">
        <v>-0.91615733490218909</v>
      </c>
    </row>
    <row r="8" spans="1:30" x14ac:dyDescent="0.3">
      <c r="E8" s="2" t="s">
        <v>13</v>
      </c>
      <c r="F8" s="8">
        <f>SUM(F3:F7)</f>
        <v>1035</v>
      </c>
      <c r="G8" s="8">
        <f>SUM(G3:G7)</f>
        <v>1385</v>
      </c>
      <c r="H8" s="8">
        <f>SUM(H3:H7)</f>
        <v>1085</v>
      </c>
      <c r="I8" s="13"/>
      <c r="K8"/>
      <c r="L8"/>
      <c r="M8"/>
      <c r="N8"/>
      <c r="O8"/>
      <c r="P8"/>
      <c r="R8" s="11" t="s">
        <v>26</v>
      </c>
      <c r="S8" s="8">
        <f>SUM(A11:A15)</f>
        <v>0.99999999999999989</v>
      </c>
      <c r="T8" s="8">
        <f>SUM(B11:B15)</f>
        <v>1</v>
      </c>
      <c r="U8" s="8">
        <f>SUM(C11:C15)</f>
        <v>0.99999999999999978</v>
      </c>
      <c r="W8" s="5" t="s">
        <v>8</v>
      </c>
      <c r="X8" s="8">
        <f>AVERAGE(X3:X7)</f>
        <v>0</v>
      </c>
      <c r="Y8" s="8">
        <f>AVERAGE(Y3:Y7)</f>
        <v>0</v>
      </c>
      <c r="Z8" s="8">
        <f>AVERAGE(Z3:Z7)</f>
        <v>0</v>
      </c>
    </row>
    <row r="9" spans="1:30" x14ac:dyDescent="0.3">
      <c r="A9" s="76" t="s">
        <v>28</v>
      </c>
      <c r="B9" s="76"/>
      <c r="C9" s="76"/>
      <c r="E9" s="2" t="s">
        <v>8</v>
      </c>
      <c r="F9" s="2" t="s">
        <v>5</v>
      </c>
      <c r="G9" s="2" t="s">
        <v>6</v>
      </c>
      <c r="H9" s="2" t="s">
        <v>7</v>
      </c>
      <c r="I9" s="13"/>
      <c r="J9" s="77" t="s">
        <v>29</v>
      </c>
      <c r="K9" s="77"/>
      <c r="L9" s="77"/>
      <c r="N9" s="78" t="s">
        <v>40</v>
      </c>
      <c r="O9" s="78"/>
      <c r="P9" s="78"/>
      <c r="R9" s="11" t="s">
        <v>27</v>
      </c>
      <c r="S9" s="8">
        <f>_xlfn.VAR.S(X3:X7)</f>
        <v>0.99999999999999989</v>
      </c>
      <c r="T9" s="8">
        <f>_xlfn.VAR.S(Y3:Y7)</f>
        <v>1</v>
      </c>
      <c r="U9" s="8">
        <f>_xlfn.VAR.S(Z3:Z7)</f>
        <v>0.99999999999999978</v>
      </c>
    </row>
    <row r="10" spans="1:30" x14ac:dyDescent="0.3">
      <c r="A10" s="6" t="s">
        <v>31</v>
      </c>
      <c r="B10" s="6" t="s">
        <v>32</v>
      </c>
      <c r="C10" s="6" t="s">
        <v>33</v>
      </c>
      <c r="F10" s="8">
        <f>AVERAGE(F3:F7)</f>
        <v>207</v>
      </c>
      <c r="G10" s="8">
        <f>AVERAGE(G3:G7)</f>
        <v>277</v>
      </c>
      <c r="H10" s="8">
        <f>AVERAGE(H3:H7)</f>
        <v>217</v>
      </c>
      <c r="I10" s="13"/>
      <c r="J10" s="14" t="s">
        <v>34</v>
      </c>
      <c r="K10" s="14" t="s">
        <v>35</v>
      </c>
      <c r="L10" s="14" t="s">
        <v>36</v>
      </c>
      <c r="N10" s="8">
        <f>S8</f>
        <v>0.99999999999999989</v>
      </c>
      <c r="O10" s="8">
        <f>S13</f>
        <v>0.47092907485988494</v>
      </c>
      <c r="P10" s="8">
        <f>T13</f>
        <v>-3.6360030588979353E-2</v>
      </c>
    </row>
    <row r="11" spans="1:30" x14ac:dyDescent="0.3">
      <c r="A11" s="8" cm="1">
        <f t="array" ref="A11:A15">(1/(5-1)*(X3:X7)^2)</f>
        <v>0.14516129032258063</v>
      </c>
      <c r="B11" s="8" cm="1">
        <f t="array" ref="B11:B15">(1/(5-1)*(Y3:Y7)^2)</f>
        <v>0.19204545454545452</v>
      </c>
      <c r="C11" s="8" cm="1">
        <f t="array" ref="C11:C15">(1/(5-1)*(Z3:Z7)^2)</f>
        <v>8.1967213114754087E-4</v>
      </c>
      <c r="J11" s="8">
        <f>(1/(5-1))*(X3-X8)*(Y3-Y8)</f>
        <v>-0.16696576290486828</v>
      </c>
      <c r="K11" s="8">
        <f>(1/(5-1))*(X3-X8)*(Z3-Z8)</f>
        <v>1.0908009176693819E-2</v>
      </c>
      <c r="L11" s="8">
        <f>(1/(5-1))*(Y3-Y8)*(Z3-Z8)</f>
        <v>-1.2546485842835471E-2</v>
      </c>
      <c r="N11" s="8">
        <f>S14</f>
        <v>0.47092907485988494</v>
      </c>
      <c r="O11" s="8">
        <f>T8</f>
        <v>1</v>
      </c>
      <c r="P11" s="8">
        <f>U13</f>
        <v>0.11098814399431384</v>
      </c>
      <c r="S11" s="68" t="s">
        <v>30</v>
      </c>
      <c r="T11" s="68"/>
      <c r="U11" s="68"/>
      <c r="W11" s="79" t="s">
        <v>67</v>
      </c>
      <c r="X11" s="79"/>
      <c r="Y11" s="79"/>
      <c r="Z11" s="79"/>
    </row>
    <row r="12" spans="1:30" x14ac:dyDescent="0.3">
      <c r="A12" s="8">
        <v>6.4516129032258063E-2</v>
      </c>
      <c r="B12" s="8">
        <v>1.0227272727272727E-2</v>
      </c>
      <c r="C12" s="8">
        <v>0.68934426229508183</v>
      </c>
      <c r="E12"/>
      <c r="F12"/>
      <c r="G12"/>
      <c r="J12" s="8">
        <f>(1/(5-1))*(X4-X8)*(Y4-Y8)</f>
        <v>2.5687040446902815E-2</v>
      </c>
      <c r="K12" s="8">
        <f>(1/(5-1))*(X4-X8)*(Z4-Z8)</f>
        <v>0.21088817741608051</v>
      </c>
      <c r="L12" s="8">
        <f>(1/(5-1))*(Y4-Y8)*(Z4-Z8)</f>
        <v>8.3964943717437387E-2</v>
      </c>
      <c r="N12" s="8">
        <f>T14</f>
        <v>-3.6360030588979353E-2</v>
      </c>
      <c r="O12" s="8">
        <f>U14</f>
        <v>0.11098814399431381</v>
      </c>
      <c r="P12" s="8">
        <f>U8</f>
        <v>0.99999999999999978</v>
      </c>
      <c r="S12" s="17" t="s">
        <v>37</v>
      </c>
      <c r="T12" s="17" t="s">
        <v>38</v>
      </c>
      <c r="U12" s="17" t="s">
        <v>39</v>
      </c>
      <c r="W12" s="35" t="s">
        <v>68</v>
      </c>
      <c r="X12" s="36"/>
      <c r="Y12" s="36"/>
      <c r="Z12" s="37"/>
    </row>
    <row r="13" spans="1:30" x14ac:dyDescent="0.3">
      <c r="A13" s="8">
        <v>6.4516129032258063E-2</v>
      </c>
      <c r="B13" s="8">
        <v>0.55000000000000004</v>
      </c>
      <c r="C13" s="8">
        <v>9.9180327868852461E-2</v>
      </c>
      <c r="J13" s="8">
        <f>(1/(5-1))*(X5-X8)*(Y5-Y8)</f>
        <v>0.18837162994395398</v>
      </c>
      <c r="K13" s="8">
        <f>(1/(5-1))*(X5-X8)*(Z5-Z8)</f>
        <v>7.9992067295754685E-2</v>
      </c>
      <c r="L13" s="8">
        <f>(1/(5-1))*(Y5-Y8)*(Z5-Z8)</f>
        <v>0.23355765953586036</v>
      </c>
      <c r="R13" s="15" t="s">
        <v>26</v>
      </c>
      <c r="S13" s="8">
        <f>SUM(J11:J15)</f>
        <v>0.47092907485988494</v>
      </c>
      <c r="T13" s="8">
        <f>SUM(K11:K15)</f>
        <v>-3.6360030588979353E-2</v>
      </c>
      <c r="U13" s="8">
        <f>SUM(L11:L15)</f>
        <v>0.11098814399431384</v>
      </c>
      <c r="W13" s="35" t="s">
        <v>69</v>
      </c>
      <c r="X13" s="36"/>
      <c r="Y13" s="36"/>
      <c r="Z13" s="37"/>
    </row>
    <row r="14" spans="1:30" x14ac:dyDescent="0.3">
      <c r="A14" s="8">
        <v>0.14516129032258063</v>
      </c>
      <c r="B14" s="8">
        <v>5.5681818181818186E-2</v>
      </c>
      <c r="C14" s="8">
        <v>8.1967213114754087E-4</v>
      </c>
      <c r="J14" s="8">
        <f>(1/(5-1))*(X6-X8)*(Y6-Y8)</f>
        <v>8.9904641564159851E-2</v>
      </c>
      <c r="K14" s="8">
        <f>(1/(5-1))*(X6-X8)*(Z6-Z8)</f>
        <v>1.0908009176693819E-2</v>
      </c>
      <c r="L14" s="8">
        <f>(1/(5-1))*(Y6-Y8)*(Z6-Z8)</f>
        <v>6.7558000692191002E-3</v>
      </c>
      <c r="N14" s="50" t="s">
        <v>50</v>
      </c>
      <c r="O14" s="51"/>
      <c r="P14" s="52"/>
      <c r="R14" s="15" t="s">
        <v>27</v>
      </c>
      <c r="S14" s="8">
        <f>_xlfn.COVARIANCE.S(X3:X7,Y3:Y7)</f>
        <v>0.47092907485988494</v>
      </c>
      <c r="T14" s="8">
        <f>_xlfn.COVARIANCE.S(X3:X7,Z3:Z7)</f>
        <v>-3.6360030588979353E-2</v>
      </c>
      <c r="U14" s="8">
        <f>_xlfn.COVARIANCE.S(Y3:Y7,Z3:Z7)</f>
        <v>0.11098814399431381</v>
      </c>
      <c r="W14" s="38" t="s">
        <v>70</v>
      </c>
      <c r="X14" s="39"/>
      <c r="Y14" s="39"/>
      <c r="Z14" s="40"/>
    </row>
    <row r="15" spans="1:30" x14ac:dyDescent="0.3">
      <c r="A15" s="8">
        <v>0.58064516129032251</v>
      </c>
      <c r="B15" s="8">
        <v>0.19204545454545452</v>
      </c>
      <c r="C15" s="8">
        <v>0.20983606557377046</v>
      </c>
      <c r="J15" s="8">
        <f>(1/(5-1))*(X7-X8)*(Y7-Y8)</f>
        <v>0.33393152580973656</v>
      </c>
      <c r="K15" s="8">
        <f>(1/(5-1))*(X7-X8)*(Z7-Z8)</f>
        <v>-0.34905629365420221</v>
      </c>
      <c r="L15" s="8">
        <f>(1/(5-1))*(Y7-Y8)*(Z7-Z8)</f>
        <v>-0.20074377348536754</v>
      </c>
      <c r="N15" s="53" t="s">
        <v>51</v>
      </c>
      <c r="O15" s="54"/>
      <c r="P15" s="55"/>
    </row>
    <row r="17" spans="1:27" x14ac:dyDescent="0.3">
      <c r="A17" s="80" t="s">
        <v>54</v>
      </c>
      <c r="B17" s="81"/>
      <c r="C17" s="82"/>
      <c r="E17" s="65" t="s">
        <v>53</v>
      </c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7"/>
      <c r="R17"/>
      <c r="S17" s="83" t="s">
        <v>71</v>
      </c>
      <c r="T17" s="83"/>
      <c r="U17" s="83"/>
      <c r="V17" s="83"/>
      <c r="W17" s="83"/>
      <c r="X17" s="83"/>
    </row>
    <row r="18" spans="1:27" x14ac:dyDescent="0.3">
      <c r="A18" s="18"/>
      <c r="C18" s="19"/>
      <c r="E18" s="13"/>
      <c r="F18"/>
      <c r="G18"/>
      <c r="H18"/>
      <c r="I18"/>
      <c r="J18"/>
      <c r="K18"/>
      <c r="L18"/>
      <c r="M18"/>
      <c r="N18"/>
      <c r="O18"/>
      <c r="P18"/>
      <c r="Q18" s="16"/>
      <c r="R18"/>
      <c r="S18" s="84" t="s">
        <v>72</v>
      </c>
      <c r="T18" s="84"/>
      <c r="U18" s="84"/>
      <c r="V18" s="84"/>
      <c r="W18" s="84"/>
      <c r="X18" s="84"/>
    </row>
    <row r="19" spans="1:27" x14ac:dyDescent="0.3">
      <c r="A19" s="18"/>
      <c r="C19" s="19"/>
      <c r="E19" s="18"/>
      <c r="Q19" s="19"/>
      <c r="S19" s="85" t="s">
        <v>73</v>
      </c>
      <c r="T19" s="86"/>
      <c r="U19" s="86"/>
      <c r="V19" s="86"/>
      <c r="W19" s="86"/>
      <c r="X19" s="87"/>
    </row>
    <row r="20" spans="1:27" x14ac:dyDescent="0.3">
      <c r="A20" s="18"/>
      <c r="C20" s="19"/>
      <c r="E20" s="18"/>
      <c r="Q20" s="19"/>
      <c r="S20" s="38" t="s">
        <v>74</v>
      </c>
      <c r="T20" s="39"/>
      <c r="U20" s="39"/>
      <c r="V20" s="39"/>
      <c r="W20" s="39"/>
      <c r="X20" s="40"/>
    </row>
    <row r="21" spans="1:27" x14ac:dyDescent="0.3">
      <c r="A21" s="18"/>
      <c r="C21" s="19"/>
      <c r="E21" s="18"/>
      <c r="Q21" s="19"/>
      <c r="S21" s="88" t="s">
        <v>75</v>
      </c>
      <c r="T21" s="88"/>
      <c r="U21" s="88"/>
      <c r="V21" s="88"/>
      <c r="W21" s="88"/>
      <c r="X21" s="88"/>
    </row>
    <row r="22" spans="1:27" x14ac:dyDescent="0.3">
      <c r="A22" s="18"/>
      <c r="C22" s="19"/>
      <c r="E22" s="18"/>
      <c r="Q22" s="19"/>
      <c r="S22" s="88" t="s">
        <v>76</v>
      </c>
      <c r="T22" s="88"/>
      <c r="U22" s="88" t="s">
        <v>77</v>
      </c>
      <c r="V22" s="88"/>
      <c r="W22" s="89" t="s">
        <v>78</v>
      </c>
      <c r="X22" s="88"/>
    </row>
    <row r="23" spans="1:27" x14ac:dyDescent="0.3">
      <c r="A23" s="18"/>
      <c r="C23" s="19"/>
      <c r="E23" s="18"/>
      <c r="P23"/>
      <c r="Q23" s="16"/>
      <c r="R23"/>
      <c r="S23" s="90">
        <f xml:space="preserve"> 1.4769/3</f>
        <v>0.49230000000000002</v>
      </c>
      <c r="T23" s="90"/>
      <c r="U23" s="90">
        <f>1.0162/3</f>
        <v>0.33873333333333333</v>
      </c>
      <c r="V23" s="90"/>
      <c r="W23" s="39">
        <f>0.5069/3</f>
        <v>0.16896666666666668</v>
      </c>
      <c r="X23" s="40"/>
    </row>
    <row r="24" spans="1:27" x14ac:dyDescent="0.3">
      <c r="A24" s="18"/>
      <c r="C24" s="19"/>
      <c r="E24" s="18"/>
      <c r="P24"/>
      <c r="Q24" s="16"/>
      <c r="R24"/>
      <c r="S24" s="91" t="s">
        <v>79</v>
      </c>
      <c r="T24" s="91"/>
      <c r="U24" s="91"/>
      <c r="V24" s="91"/>
      <c r="W24" s="91"/>
      <c r="X24" s="91"/>
    </row>
    <row r="25" spans="1:27" x14ac:dyDescent="0.3">
      <c r="A25" s="13"/>
      <c r="B25"/>
      <c r="C25" s="16"/>
      <c r="D25"/>
      <c r="E25" s="18"/>
      <c r="O25"/>
      <c r="P25"/>
      <c r="Q25" s="19"/>
      <c r="S25" s="91" t="s">
        <v>46</v>
      </c>
      <c r="T25" s="91"/>
      <c r="U25" s="91" t="s">
        <v>47</v>
      </c>
      <c r="V25" s="91"/>
      <c r="W25" s="91" t="s">
        <v>48</v>
      </c>
      <c r="X25" s="91"/>
    </row>
    <row r="26" spans="1:27" x14ac:dyDescent="0.3">
      <c r="A26" s="13"/>
      <c r="B26"/>
      <c r="C26" s="16"/>
      <c r="D26"/>
      <c r="E26" s="18"/>
      <c r="O26"/>
      <c r="P26"/>
      <c r="Q26" s="19"/>
      <c r="S26" s="90">
        <f>S23*100</f>
        <v>49.230000000000004</v>
      </c>
      <c r="T26" s="90"/>
      <c r="U26" s="90">
        <f>(S23+U23)*100</f>
        <v>83.103333333333325</v>
      </c>
      <c r="V26" s="90"/>
      <c r="W26" s="90">
        <f>(S23+U23+W23)*100</f>
        <v>100</v>
      </c>
      <c r="X26" s="90"/>
    </row>
    <row r="27" spans="1:27" x14ac:dyDescent="0.3">
      <c r="A27" s="13"/>
      <c r="B27"/>
      <c r="C27" s="16"/>
      <c r="D27"/>
      <c r="E27" s="13"/>
      <c r="F27"/>
      <c r="G27"/>
      <c r="H27"/>
      <c r="I27"/>
      <c r="J27"/>
      <c r="K27"/>
      <c r="L27"/>
      <c r="M27"/>
      <c r="O27"/>
      <c r="P27"/>
      <c r="Q27" s="16"/>
      <c r="R27"/>
      <c r="S27"/>
      <c r="T27"/>
      <c r="U27"/>
    </row>
    <row r="28" spans="1:27" x14ac:dyDescent="0.3">
      <c r="A28" s="18"/>
      <c r="C28" s="19"/>
      <c r="E28" s="18"/>
      <c r="O28"/>
      <c r="P28"/>
      <c r="Q28" s="16"/>
      <c r="R28"/>
      <c r="S28" s="92" t="s">
        <v>80</v>
      </c>
      <c r="T28" s="92"/>
      <c r="U28" s="92"/>
      <c r="V28" s="92"/>
      <c r="W28" s="92"/>
      <c r="X28" s="92"/>
      <c r="Y28" s="92"/>
      <c r="Z28" s="92"/>
      <c r="AA28" s="92"/>
    </row>
    <row r="29" spans="1:27" x14ac:dyDescent="0.3">
      <c r="A29" s="18"/>
      <c r="C29" s="19"/>
      <c r="E29" s="18"/>
      <c r="Q29" s="19"/>
      <c r="S29" s="93" t="s">
        <v>81</v>
      </c>
      <c r="T29" s="93"/>
      <c r="U29" s="93"/>
      <c r="W29" s="94" t="s">
        <v>82</v>
      </c>
      <c r="X29" s="94"/>
      <c r="Z29" s="94" t="s">
        <v>83</v>
      </c>
      <c r="AA29" s="94"/>
    </row>
    <row r="30" spans="1:27" x14ac:dyDescent="0.3">
      <c r="A30" s="18"/>
      <c r="C30" s="19"/>
      <c r="E30" s="18"/>
      <c r="Q30" s="19"/>
      <c r="S30" s="8" t="str" cm="1">
        <f t="array" ref="S30:U35">X2:Z7</f>
        <v>Z1</v>
      </c>
      <c r="T30" s="8" t="str">
        <v>Z2</v>
      </c>
      <c r="U30" s="8" t="str">
        <v>Z3</v>
      </c>
      <c r="W30" s="95"/>
      <c r="X30" s="95"/>
      <c r="Z30" s="95"/>
      <c r="AA30" s="95"/>
    </row>
    <row r="31" spans="1:27" x14ac:dyDescent="0.3">
      <c r="A31" s="18"/>
      <c r="C31" s="19"/>
      <c r="E31" s="18"/>
      <c r="Q31" s="19"/>
      <c r="S31" s="8">
        <v>-0.76200076200114297</v>
      </c>
      <c r="T31" s="8">
        <v>0.87645982120221466</v>
      </c>
      <c r="U31" s="8">
        <v>-5.7259833431386818E-2</v>
      </c>
      <c r="W31" s="8">
        <v>0.69920000000000004</v>
      </c>
      <c r="X31" s="8">
        <v>-0.22689999999999999</v>
      </c>
      <c r="Z31" s="8" cm="1">
        <f t="array" ref="Z31:AA35">MMULT(S31:U35,W31:X33)</f>
        <v>8.5473540600649572E-2</v>
      </c>
      <c r="AA31" s="8">
        <v>0.17633771068515317</v>
      </c>
    </row>
    <row r="32" spans="1:27" x14ac:dyDescent="0.3">
      <c r="A32" s="18"/>
      <c r="C32" s="19"/>
      <c r="E32" s="18"/>
      <c r="Q32" s="19"/>
      <c r="S32" s="8">
        <v>0.50800050800076202</v>
      </c>
      <c r="T32" s="8">
        <v>0.20225995873897262</v>
      </c>
      <c r="U32" s="8">
        <v>1.6605351695102177</v>
      </c>
      <c r="V32" s="8" t="s">
        <v>43</v>
      </c>
      <c r="W32" s="8">
        <v>0.71279999999999999</v>
      </c>
      <c r="X32" s="8">
        <v>6.7400000000000002E-2</v>
      </c>
      <c r="Y32" s="8" t="s">
        <v>44</v>
      </c>
      <c r="Z32" s="8">
        <v>0.68717138145487811</v>
      </c>
      <c r="AA32" s="8">
        <v>1.5117429766497614</v>
      </c>
    </row>
    <row r="33" spans="1:27" x14ac:dyDescent="0.3">
      <c r="A33" s="18"/>
      <c r="C33" s="19"/>
      <c r="E33" s="18"/>
      <c r="Q33" s="19"/>
      <c r="S33" s="8">
        <v>-0.50800050800076202</v>
      </c>
      <c r="T33" s="8">
        <v>-1.4832396974191326</v>
      </c>
      <c r="U33" s="8">
        <v>-0.62985816774525505</v>
      </c>
      <c r="W33" s="8">
        <v>0.11310000000000001</v>
      </c>
      <c r="X33" s="8">
        <v>0.97160000000000002</v>
      </c>
      <c r="Z33" s="8">
        <v>-1.4836841702864789</v>
      </c>
      <c r="AA33" s="8">
        <v>-0.59667523612196649</v>
      </c>
    </row>
    <row r="34" spans="1:27" x14ac:dyDescent="0.3">
      <c r="A34" s="18"/>
      <c r="C34" s="19"/>
      <c r="E34" s="18"/>
      <c r="Q34" s="19"/>
      <c r="S34" s="8">
        <v>-0.76200076200114297</v>
      </c>
      <c r="T34" s="8">
        <v>-0.47193990372426947</v>
      </c>
      <c r="U34" s="8">
        <v>-5.7259833431386818E-2</v>
      </c>
      <c r="Z34" s="8">
        <v>-0.87566578332694833</v>
      </c>
      <c r="AA34" s="8">
        <v>8.5455569225108136E-2</v>
      </c>
    </row>
    <row r="35" spans="1:27" x14ac:dyDescent="0.3">
      <c r="A35" s="18"/>
      <c r="C35" s="19"/>
      <c r="E35" s="18"/>
      <c r="Q35" s="19"/>
      <c r="S35" s="8">
        <v>1.5240015240022859</v>
      </c>
      <c r="T35" s="8">
        <v>0.87645982120221466</v>
      </c>
      <c r="U35" s="8">
        <v>-0.91615733490218909</v>
      </c>
      <c r="Z35" s="8">
        <v>1.5867050315578992</v>
      </c>
      <c r="AA35" s="8">
        <v>-1.1768610204380563</v>
      </c>
    </row>
    <row r="36" spans="1:27" x14ac:dyDescent="0.3">
      <c r="A36" s="18"/>
      <c r="C36" s="19"/>
      <c r="E36" s="18"/>
      <c r="Q36" s="19"/>
    </row>
    <row r="37" spans="1:27" x14ac:dyDescent="0.3">
      <c r="A37" s="18"/>
      <c r="C37" s="19"/>
      <c r="E37" s="18"/>
      <c r="Q37" s="19"/>
    </row>
    <row r="38" spans="1:27" x14ac:dyDescent="0.3">
      <c r="A38" s="18"/>
      <c r="C38" s="19"/>
      <c r="E38" s="18"/>
      <c r="Q38" s="19"/>
      <c r="S38"/>
      <c r="T38"/>
      <c r="U38"/>
      <c r="X38" s="96" cm="1">
        <f t="array" ref="X38:Y42">_xlfn.ANCHORARRAY(Z31)</f>
        <v>8.5473540600649572E-2</v>
      </c>
      <c r="Y38" s="97">
        <v>0.17633771068515317</v>
      </c>
    </row>
    <row r="39" spans="1:27" x14ac:dyDescent="0.3">
      <c r="A39" s="18"/>
      <c r="C39" s="19"/>
      <c r="E39" s="18"/>
      <c r="Q39" s="19"/>
      <c r="S39" s="102" t="s">
        <v>84</v>
      </c>
      <c r="T39" s="103"/>
      <c r="U39" s="104"/>
      <c r="X39" s="98">
        <v>0.68717138145487811</v>
      </c>
      <c r="Y39" s="99">
        <v>1.5117429766497614</v>
      </c>
    </row>
    <row r="40" spans="1:27" x14ac:dyDescent="0.3">
      <c r="A40" s="18"/>
      <c r="C40" s="19"/>
      <c r="E40" s="18"/>
      <c r="Q40" s="19"/>
      <c r="S40" s="105" t="s">
        <v>85</v>
      </c>
      <c r="T40" s="106"/>
      <c r="U40" s="107"/>
      <c r="V40" s="108" t="s">
        <v>83</v>
      </c>
      <c r="W40" s="109" t="s">
        <v>44</v>
      </c>
      <c r="X40" s="98">
        <v>-1.4836841702864789</v>
      </c>
      <c r="Y40" s="99">
        <v>-0.59667523612196649</v>
      </c>
    </row>
    <row r="41" spans="1:27" x14ac:dyDescent="0.3">
      <c r="A41" s="56" t="s">
        <v>65</v>
      </c>
      <c r="B41" s="57"/>
      <c r="C41" s="58"/>
      <c r="E41" s="44" t="s">
        <v>55</v>
      </c>
      <c r="F41" s="45"/>
      <c r="G41" s="46"/>
      <c r="I41" s="44" t="s">
        <v>58</v>
      </c>
      <c r="J41" s="45"/>
      <c r="K41" s="45"/>
      <c r="L41" s="46"/>
      <c r="N41" s="44" t="s">
        <v>62</v>
      </c>
      <c r="O41" s="45"/>
      <c r="P41" s="45"/>
      <c r="Q41" s="46"/>
      <c r="S41" s="110" t="s">
        <v>86</v>
      </c>
      <c r="T41" s="111"/>
      <c r="U41" s="112"/>
      <c r="X41" s="98">
        <v>-0.87566578332694833</v>
      </c>
      <c r="Y41" s="99">
        <v>8.5455569225108136E-2</v>
      </c>
    </row>
    <row r="42" spans="1:27" x14ac:dyDescent="0.3">
      <c r="A42" s="59" t="s">
        <v>66</v>
      </c>
      <c r="B42" s="60"/>
      <c r="C42" s="61"/>
      <c r="E42" s="47" t="s">
        <v>56</v>
      </c>
      <c r="F42" s="48"/>
      <c r="G42" s="49"/>
      <c r="I42" s="47" t="s">
        <v>59</v>
      </c>
      <c r="J42" s="48"/>
      <c r="K42" s="48"/>
      <c r="L42" s="49"/>
      <c r="N42" s="47" t="s">
        <v>63</v>
      </c>
      <c r="O42" s="48"/>
      <c r="P42" s="48"/>
      <c r="Q42" s="49"/>
      <c r="S42"/>
      <c r="T42"/>
      <c r="U42"/>
      <c r="X42" s="100">
        <v>1.5867050315578992</v>
      </c>
      <c r="Y42" s="101">
        <v>-1.1768610204380563</v>
      </c>
    </row>
    <row r="43" spans="1:27" x14ac:dyDescent="0.3">
      <c r="A43" s="62" t="s">
        <v>52</v>
      </c>
      <c r="B43" s="63"/>
      <c r="C43" s="64"/>
      <c r="E43" s="41" t="s">
        <v>61</v>
      </c>
      <c r="F43" s="42"/>
      <c r="G43" s="43"/>
      <c r="I43" s="41" t="s">
        <v>60</v>
      </c>
      <c r="J43" s="42"/>
      <c r="K43" s="42"/>
      <c r="L43" s="43"/>
      <c r="N43" s="41" t="s">
        <v>64</v>
      </c>
      <c r="O43" s="42"/>
      <c r="P43" s="42"/>
      <c r="Q43" s="43"/>
    </row>
    <row r="44" spans="1:27" x14ac:dyDescent="0.3">
      <c r="A44" s="18"/>
      <c r="C44" s="19"/>
      <c r="E44" s="44" t="s">
        <v>57</v>
      </c>
      <c r="F44" s="45"/>
      <c r="G44" s="46"/>
      <c r="I44" s="44" t="s">
        <v>57</v>
      </c>
      <c r="J44" s="45"/>
      <c r="K44" s="45"/>
      <c r="L44" s="46"/>
      <c r="N44" s="44" t="s">
        <v>57</v>
      </c>
      <c r="O44" s="45"/>
      <c r="P44" s="45"/>
      <c r="Q44" s="46"/>
    </row>
    <row r="45" spans="1:27" x14ac:dyDescent="0.3">
      <c r="A45" s="21" t="s">
        <v>46</v>
      </c>
      <c r="B45" s="22" t="s">
        <v>44</v>
      </c>
      <c r="C45" s="23">
        <v>1.4769117287150999</v>
      </c>
      <c r="E45" s="32">
        <v>6.1227999999999998</v>
      </c>
      <c r="F45" s="30"/>
      <c r="G45" s="32">
        <v>0.69220000000000004</v>
      </c>
      <c r="I45" s="32">
        <v>-0.23350000000000001</v>
      </c>
      <c r="J45" s="30"/>
      <c r="K45" s="30"/>
      <c r="L45" s="32">
        <v>-0.22689999999999999</v>
      </c>
      <c r="N45" s="32">
        <v>3.2803</v>
      </c>
      <c r="O45" s="30"/>
      <c r="P45" s="30"/>
      <c r="Q45" s="32">
        <v>0.68259999999999998</v>
      </c>
    </row>
    <row r="46" spans="1:27" x14ac:dyDescent="0.3">
      <c r="A46" s="24" t="s">
        <v>47</v>
      </c>
      <c r="B46" s="25" t="s">
        <v>44</v>
      </c>
      <c r="C46" s="26">
        <v>1.0161634905699799</v>
      </c>
      <c r="E46" s="33">
        <v>6.3045</v>
      </c>
      <c r="F46" s="30"/>
      <c r="G46" s="33">
        <v>0.71279999999999999</v>
      </c>
      <c r="I46" s="33">
        <v>6.9400000000000003E-2</v>
      </c>
      <c r="J46" s="30"/>
      <c r="K46" s="30"/>
      <c r="L46" s="33">
        <v>6.7400000000000002E-2</v>
      </c>
      <c r="N46" s="33">
        <v>-3.3666999999999998</v>
      </c>
      <c r="O46" s="30"/>
      <c r="P46" s="30"/>
      <c r="Q46" s="33">
        <v>-0.7006</v>
      </c>
    </row>
    <row r="47" spans="1:27" x14ac:dyDescent="0.3">
      <c r="A47" s="27" t="s">
        <v>48</v>
      </c>
      <c r="B47" s="28" t="s">
        <v>44</v>
      </c>
      <c r="C47" s="29">
        <v>0.50692478071490399</v>
      </c>
      <c r="E47" s="34">
        <v>1</v>
      </c>
      <c r="F47" s="31"/>
      <c r="G47" s="34">
        <v>0.11310000000000001</v>
      </c>
      <c r="H47" s="20"/>
      <c r="I47" s="34">
        <v>1</v>
      </c>
      <c r="J47" s="31"/>
      <c r="K47" s="31"/>
      <c r="L47" s="34">
        <v>0.97160000000000002</v>
      </c>
      <c r="M47" s="20"/>
      <c r="N47" s="34">
        <v>1</v>
      </c>
      <c r="O47" s="31"/>
      <c r="P47" s="31"/>
      <c r="Q47" s="34">
        <v>0.20810000000000001</v>
      </c>
    </row>
  </sheetData>
  <mergeCells count="57">
    <mergeCell ref="S40:U40"/>
    <mergeCell ref="S41:U41"/>
    <mergeCell ref="S28:AA28"/>
    <mergeCell ref="S29:U29"/>
    <mergeCell ref="W29:X30"/>
    <mergeCell ref="Z29:AA30"/>
    <mergeCell ref="S39:U39"/>
    <mergeCell ref="S24:X24"/>
    <mergeCell ref="S25:T25"/>
    <mergeCell ref="U25:V25"/>
    <mergeCell ref="W25:X25"/>
    <mergeCell ref="S26:T26"/>
    <mergeCell ref="U26:V26"/>
    <mergeCell ref="W26:X26"/>
    <mergeCell ref="U22:V22"/>
    <mergeCell ref="W22:X22"/>
    <mergeCell ref="S23:T23"/>
    <mergeCell ref="U23:V23"/>
    <mergeCell ref="W23:X23"/>
    <mergeCell ref="E44:G44"/>
    <mergeCell ref="I41:L41"/>
    <mergeCell ref="S11:U11"/>
    <mergeCell ref="X1:Z1"/>
    <mergeCell ref="A1:C1"/>
    <mergeCell ref="F1:H1"/>
    <mergeCell ref="S1:U1"/>
    <mergeCell ref="S6:U6"/>
    <mergeCell ref="A9:C9"/>
    <mergeCell ref="J9:L9"/>
    <mergeCell ref="N9:P9"/>
    <mergeCell ref="W11:Z11"/>
    <mergeCell ref="A17:C17"/>
    <mergeCell ref="S20:X20"/>
    <mergeCell ref="S21:X21"/>
    <mergeCell ref="S22:T22"/>
    <mergeCell ref="N14:P14"/>
    <mergeCell ref="N15:P15"/>
    <mergeCell ref="A41:C41"/>
    <mergeCell ref="A42:C42"/>
    <mergeCell ref="A43:C43"/>
    <mergeCell ref="E17:Q17"/>
    <mergeCell ref="E41:G41"/>
    <mergeCell ref="E42:G42"/>
    <mergeCell ref="E43:G43"/>
    <mergeCell ref="I43:L43"/>
    <mergeCell ref="I44:L44"/>
    <mergeCell ref="N41:Q41"/>
    <mergeCell ref="N43:Q43"/>
    <mergeCell ref="N44:Q44"/>
    <mergeCell ref="I42:L42"/>
    <mergeCell ref="N42:Q42"/>
    <mergeCell ref="W12:Z12"/>
    <mergeCell ref="W13:Z13"/>
    <mergeCell ref="W14:Z14"/>
    <mergeCell ref="S19:X19"/>
    <mergeCell ref="S18:X18"/>
    <mergeCell ref="S17:X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8ACB-8B20-4049-8668-EDAC42A78622}">
  <dimension ref="A1:U25"/>
  <sheetViews>
    <sheetView topLeftCell="A16" zoomScale="122" workbookViewId="0">
      <selection activeCell="H24" sqref="H24"/>
    </sheetView>
  </sheetViews>
  <sheetFormatPr defaultRowHeight="14.4" x14ac:dyDescent="0.3"/>
  <cols>
    <col min="1" max="1" width="7.5546875" style="7" customWidth="1"/>
    <col min="2" max="2" width="6.6640625" style="7" customWidth="1"/>
    <col min="3" max="3" width="7.33203125" style="7" customWidth="1"/>
    <col min="4" max="4" width="8.88671875" style="7"/>
    <col min="5" max="5" width="7.77734375" style="7" customWidth="1"/>
    <col min="6" max="6" width="7.21875" style="7" customWidth="1"/>
    <col min="7" max="7" width="8.88671875" style="7"/>
    <col min="8" max="8" width="8.109375" style="7" customWidth="1"/>
    <col min="9" max="9" width="7" style="7" customWidth="1"/>
    <col min="10" max="15" width="8.88671875" style="7"/>
    <col min="16" max="16" width="6.77734375" style="7" customWidth="1"/>
    <col min="17" max="17" width="8.88671875" style="7"/>
    <col min="18" max="18" width="7.33203125" style="7" customWidth="1"/>
    <col min="19" max="19" width="7.44140625" style="7" customWidth="1"/>
    <col min="20" max="20" width="7.5546875" style="7" customWidth="1"/>
    <col min="21" max="16384" width="8.88671875" style="7"/>
  </cols>
  <sheetData>
    <row r="1" spans="1:21" x14ac:dyDescent="0.3">
      <c r="A1" s="7">
        <v>-0.47699999999999998</v>
      </c>
      <c r="B1" s="7" t="s">
        <v>49</v>
      </c>
      <c r="C1" s="7">
        <v>0.47099999999999997</v>
      </c>
      <c r="D1" s="7" t="s">
        <v>44</v>
      </c>
      <c r="E1" s="7">
        <v>3.5999999999999997E-2</v>
      </c>
      <c r="G1" s="7">
        <v>-0.47689999999999999</v>
      </c>
      <c r="H1" s="7" t="s">
        <v>49</v>
      </c>
      <c r="I1" s="7">
        <v>0.47089999999999999</v>
      </c>
      <c r="J1" s="7" t="s">
        <v>44</v>
      </c>
      <c r="K1" s="7">
        <v>-3.6400000000000002E-2</v>
      </c>
      <c r="L1" s="7" t="s">
        <v>45</v>
      </c>
      <c r="M1" s="7" t="s">
        <v>43</v>
      </c>
      <c r="N1" s="7">
        <v>0.47689999999999999</v>
      </c>
      <c r="O1" s="7" t="s">
        <v>44</v>
      </c>
      <c r="P1" s="7">
        <f>G1*N1</f>
        <v>-0.22743360999999998</v>
      </c>
      <c r="Q1" s="7" t="s">
        <v>49</v>
      </c>
      <c r="R1" s="7">
        <f>I1*N1</f>
        <v>0.22457220999999999</v>
      </c>
      <c r="S1" s="7" t="s">
        <v>44</v>
      </c>
      <c r="T1" s="7">
        <f>K1*N1</f>
        <v>-1.7359160000000002E-2</v>
      </c>
    </row>
    <row r="2" spans="1:21" x14ac:dyDescent="0.3">
      <c r="A2" s="7">
        <v>0.47099999999999997</v>
      </c>
      <c r="B2" s="7" t="s">
        <v>42</v>
      </c>
      <c r="C2" s="7">
        <v>0.47699999999999998</v>
      </c>
      <c r="D2" s="7" t="s">
        <v>44</v>
      </c>
      <c r="E2" s="7">
        <v>-0.111</v>
      </c>
      <c r="G2" s="7">
        <v>0.47089999999999999</v>
      </c>
      <c r="H2" s="7" t="s">
        <v>42</v>
      </c>
      <c r="I2" s="7">
        <v>0.47689999999999999</v>
      </c>
      <c r="J2" s="7" t="s">
        <v>44</v>
      </c>
      <c r="K2" s="7">
        <v>-0.111</v>
      </c>
      <c r="L2" s="7" t="s">
        <v>45</v>
      </c>
      <c r="M2" s="7" t="s">
        <v>43</v>
      </c>
      <c r="N2" s="7">
        <v>0.47089999999999999</v>
      </c>
      <c r="O2" s="7" t="s">
        <v>44</v>
      </c>
      <c r="P2" s="7">
        <f>G2*N2</f>
        <v>0.22174680999999999</v>
      </c>
      <c r="Q2" s="7" t="s">
        <v>42</v>
      </c>
      <c r="R2" s="7">
        <f>I2*N2</f>
        <v>0.22457220999999999</v>
      </c>
      <c r="S2" s="7" t="s">
        <v>44</v>
      </c>
      <c r="T2" s="7">
        <f>K2*N2</f>
        <v>-5.2269900000000001E-2</v>
      </c>
    </row>
    <row r="3" spans="1:21" x14ac:dyDescent="0.3">
      <c r="A3" s="7">
        <v>-3.5999999999999997E-2</v>
      </c>
      <c r="B3" s="7" t="s">
        <v>49</v>
      </c>
      <c r="C3" s="7">
        <v>0.111</v>
      </c>
      <c r="D3" s="7" t="s">
        <v>44</v>
      </c>
      <c r="E3" s="7">
        <v>0.47699999999999998</v>
      </c>
      <c r="U3" s="7" t="s">
        <v>49</v>
      </c>
    </row>
    <row r="4" spans="1:21" x14ac:dyDescent="0.3">
      <c r="R4" s="7">
        <f>P1+P2</f>
        <v>-5.6867999999999919E-3</v>
      </c>
      <c r="S4" s="7" t="s">
        <v>44</v>
      </c>
      <c r="T4" s="7">
        <f>T1-0.0523</f>
        <v>-6.9659159999999998E-2</v>
      </c>
    </row>
    <row r="5" spans="1:21" x14ac:dyDescent="0.3">
      <c r="S5" s="7" t="s">
        <v>44</v>
      </c>
      <c r="T5" s="7">
        <f>T4/R4</f>
        <v>12.249271998311897</v>
      </c>
    </row>
    <row r="6" spans="1:21" x14ac:dyDescent="0.3">
      <c r="A6" s="7">
        <f>0.6998/0.111</f>
        <v>6.3045045045045045</v>
      </c>
      <c r="B6" s="7">
        <f>SQRT(13.4273)</f>
        <v>3.6643280420835689</v>
      </c>
    </row>
    <row r="7" spans="1:21" x14ac:dyDescent="0.3">
      <c r="B7" s="7">
        <v>1.67093305679</v>
      </c>
      <c r="P7" s="7">
        <v>-3.5999999999999997E-2</v>
      </c>
      <c r="Q7" s="7" t="s">
        <v>49</v>
      </c>
      <c r="R7" s="7">
        <v>0.111</v>
      </c>
      <c r="S7" s="7" t="s">
        <v>44</v>
      </c>
      <c r="T7" s="7">
        <v>0.47699999999999998</v>
      </c>
    </row>
    <row r="8" spans="1:21" x14ac:dyDescent="0.3">
      <c r="B8" s="7">
        <v>1.72051960811</v>
      </c>
      <c r="P8" s="7">
        <f>P7*T5</f>
        <v>-0.44097379193922825</v>
      </c>
      <c r="Q8" s="7" t="s">
        <v>49</v>
      </c>
      <c r="R8" s="7">
        <v>0.111</v>
      </c>
      <c r="S8" s="7" t="s">
        <v>44</v>
      </c>
      <c r="T8" s="7">
        <v>0.47699999999999998</v>
      </c>
    </row>
    <row r="9" spans="1:21" x14ac:dyDescent="0.3">
      <c r="A9" s="7">
        <f>-0.0006+(-0.0523)</f>
        <v>-5.2900000000000003E-2</v>
      </c>
      <c r="R9" s="7">
        <v>0.111</v>
      </c>
      <c r="S9" s="7" t="s">
        <v>44</v>
      </c>
      <c r="T9" s="7">
        <f>T8+0.44</f>
        <v>0.91700000000000004</v>
      </c>
    </row>
    <row r="10" spans="1:21" x14ac:dyDescent="0.3">
      <c r="A10" s="7">
        <f>A9/0.2214</f>
        <v>-0.23893405600722672</v>
      </c>
      <c r="S10" s="7" t="s">
        <v>44</v>
      </c>
      <c r="T10" s="7">
        <f>T9/R9</f>
        <v>8.2612612612612608</v>
      </c>
    </row>
    <row r="11" spans="1:21" x14ac:dyDescent="0.3">
      <c r="A11" s="7">
        <f>-0.0364*(-0.2389)</f>
        <v>8.6959600000000008E-3</v>
      </c>
      <c r="C11" s="7">
        <f>E19*E19</f>
        <v>0.24314760999999999</v>
      </c>
    </row>
    <row r="12" spans="1:21" x14ac:dyDescent="0.3">
      <c r="A12" s="7">
        <f>A11+0.0162</f>
        <v>2.4895960000000002E-2</v>
      </c>
      <c r="C12" s="7">
        <f>E17*E19</f>
        <v>0.23220078999999999</v>
      </c>
      <c r="F12" s="7">
        <f>6.1228^2</f>
        <v>37.488679839999996</v>
      </c>
      <c r="H12" s="7">
        <f>6.1228/F15</f>
        <v>0.69222681646514794</v>
      </c>
      <c r="I12" s="7">
        <f>3.2803^2</f>
        <v>10.76036809</v>
      </c>
    </row>
    <row r="13" spans="1:21" x14ac:dyDescent="0.3">
      <c r="A13" s="7">
        <f>A12/0.111</f>
        <v>0.22428792792792793</v>
      </c>
      <c r="C13" s="7">
        <f>E18*E19</f>
        <v>1.7948840000000001E-2</v>
      </c>
      <c r="F13" s="7">
        <f>6.3045^2</f>
        <v>39.746720250000003</v>
      </c>
      <c r="H13" s="7">
        <f>6.3045/F15</f>
        <v>0.71276931541198885</v>
      </c>
    </row>
    <row r="14" spans="1:21" x14ac:dyDescent="0.3">
      <c r="A14" s="7">
        <f>SQRT(0.9854)</f>
        <v>0.99267315869826966</v>
      </c>
      <c r="C14" s="7">
        <f>E17*E17</f>
        <v>0.22174680999999999</v>
      </c>
      <c r="F14" s="7">
        <f>F12+F13+1</f>
        <v>78.235400089999999</v>
      </c>
      <c r="H14" s="7">
        <f>1/F15</f>
        <v>0.11305723140804011</v>
      </c>
    </row>
    <row r="15" spans="1:21" x14ac:dyDescent="0.3">
      <c r="A15" s="7">
        <v>0.27290341947000002</v>
      </c>
      <c r="C15" s="7">
        <f>E19*E17</f>
        <v>0.23220078999999999</v>
      </c>
      <c r="F15" s="7">
        <f>SQRT(F14)</f>
        <v>8.8450777322757315</v>
      </c>
      <c r="H15" s="7">
        <f>0.0694^2</f>
        <v>4.8163600000000004E-3</v>
      </c>
    </row>
    <row r="16" spans="1:21" x14ac:dyDescent="0.3">
      <c r="A16" s="7">
        <f>SQRT(0.8359)</f>
        <v>0.9142756695876797</v>
      </c>
      <c r="C16" s="7">
        <f>E20*E17</f>
        <v>-5.2269900000000001E-2</v>
      </c>
      <c r="H16" s="7">
        <f>(0.0702/0.0214)^2</f>
        <v>10.760852476198796</v>
      </c>
    </row>
    <row r="17" spans="1:9" x14ac:dyDescent="0.3">
      <c r="A17" s="7">
        <f>-0.2335/0.9143</f>
        <v>-0.25538663458383465</v>
      </c>
      <c r="C17" s="7">
        <f>C11-C14</f>
        <v>2.1400799999999998E-2</v>
      </c>
      <c r="E17" s="7">
        <v>0.47089999999999999</v>
      </c>
      <c r="H17" s="7">
        <f>-0.0364*H16</f>
        <v>-0.39169503013363621</v>
      </c>
    </row>
    <row r="18" spans="1:9" x14ac:dyDescent="0.3">
      <c r="A18" s="7">
        <f>0.0694/0.9143</f>
        <v>7.5905063983375265E-2</v>
      </c>
      <c r="C18" s="7">
        <f>C13-(-C16)</f>
        <v>-3.432106E-2</v>
      </c>
      <c r="E18" s="7">
        <v>3.6400000000000002E-2</v>
      </c>
      <c r="H18" s="7">
        <f>-0.4931+0.1194</f>
        <v>-0.37369999999999998</v>
      </c>
      <c r="I18" s="7">
        <f>I12+H25+1</f>
        <v>23.095036979999996</v>
      </c>
    </row>
    <row r="19" spans="1:9" x14ac:dyDescent="0.3">
      <c r="A19" s="7">
        <f>1/0.9143</f>
        <v>1.0937329104232747</v>
      </c>
      <c r="C19" s="7">
        <f>C17/0.0702</f>
        <v>0.30485470085470084</v>
      </c>
      <c r="E19" s="7">
        <v>0.49309999999999998</v>
      </c>
      <c r="H19" s="7">
        <f>-0.0364*H16</f>
        <v>-0.39169503013363621</v>
      </c>
    </row>
    <row r="20" spans="1:9" x14ac:dyDescent="0.3">
      <c r="A20" s="7">
        <v>0.23220078999999999</v>
      </c>
      <c r="C20" s="7">
        <f>-0.0364*(0.3049)</f>
        <v>-1.1098360000000002E-2</v>
      </c>
      <c r="E20" s="7">
        <v>-0.111</v>
      </c>
      <c r="H20" s="7">
        <f>(-0.4931)+H17</f>
        <v>-0.88479503013363625</v>
      </c>
      <c r="I20" s="7">
        <f>SQRT(I18)</f>
        <v>4.8057295991347662</v>
      </c>
    </row>
    <row r="21" spans="1:9" x14ac:dyDescent="0.3">
      <c r="A21" s="7">
        <f>E17*E17</f>
        <v>0.22174680999999999</v>
      </c>
      <c r="C21" s="7">
        <f>(-0.431)+0.0111</f>
        <v>-0.4199</v>
      </c>
      <c r="H21" s="7">
        <f>0.3737/0.111</f>
        <v>3.3666666666666663</v>
      </c>
    </row>
    <row r="22" spans="1:9" x14ac:dyDescent="0.3">
      <c r="A22" s="7">
        <f>E17*E18</f>
        <v>1.7140760000000001E-2</v>
      </c>
      <c r="C22" s="7">
        <f>-0.482/0.111</f>
        <v>-4.3423423423423424</v>
      </c>
      <c r="E22" s="7">
        <f>0.3049/(-1.7428)</f>
        <v>-0.17494835896258895</v>
      </c>
    </row>
    <row r="23" spans="1:9" x14ac:dyDescent="0.3">
      <c r="A23" s="7">
        <f>E17*E19</f>
        <v>0.23220078999999999</v>
      </c>
      <c r="C23" s="7">
        <f>-SQRT(3.0374)</f>
        <v>-1.7428138167916847</v>
      </c>
      <c r="E23" s="7">
        <f>-4.3423/-1.7428</f>
        <v>2.4915652972228597</v>
      </c>
      <c r="H23" s="7">
        <f>3.2803/I20</f>
        <v>0.68258105919870982</v>
      </c>
    </row>
    <row r="24" spans="1:9" x14ac:dyDescent="0.3">
      <c r="E24" s="7">
        <f>1/-1.7428</f>
        <v>-0.57378930456736288</v>
      </c>
    </row>
    <row r="25" spans="1:9" x14ac:dyDescent="0.3">
      <c r="H25" s="7">
        <f>3.3667^2</f>
        <v>11.334668889999998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amandasari dinda</dc:creator>
  <cp:lastModifiedBy>amandasari dinda</cp:lastModifiedBy>
  <dcterms:created xsi:type="dcterms:W3CDTF">2024-04-30T20:50:15Z</dcterms:created>
  <dcterms:modified xsi:type="dcterms:W3CDTF">2024-05-05T07:19:19Z</dcterms:modified>
</cp:coreProperties>
</file>