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codeName="ThisWorkbook" hidePivotFieldList="1" defaultThemeVersion="124226"/>
  <mc:AlternateContent xmlns:mc="http://schemas.openxmlformats.org/markup-compatibility/2006">
    <mc:Choice Requires="x15">
      <x15ac:absPath xmlns:x15ac="http://schemas.microsoft.com/office/spreadsheetml/2010/11/ac" url="C:\Users\Hp\Desktop\excel\"/>
    </mc:Choice>
  </mc:AlternateContent>
  <bookViews>
    <workbookView xWindow="0" yWindow="0" windowWidth="23040" windowHeight="9060" activeTab="3"/>
  </bookViews>
  <sheets>
    <sheet name="Dashboard" sheetId="4" r:id="rId1"/>
    <sheet name="Data" sheetId="2" r:id="rId2"/>
    <sheet name="Calc" sheetId="3" r:id="rId3"/>
    <sheet name="Sheet4" sheetId="12" r:id="rId4"/>
    <sheet name="Sheet1" sheetId="13" state="hidden" r:id="rId5"/>
  </sheets>
  <definedNames>
    <definedName name="_xlnm._FilterDatabase" localSheetId="1" hidden="1">Data!$A$1:$F$193</definedName>
    <definedName name="PROFIT">#REF!</definedName>
  </definedNames>
  <calcPr calcId="162913"/>
</workbook>
</file>

<file path=xl/calcChain.xml><?xml version="1.0" encoding="utf-8"?>
<calcChain xmlns="http://schemas.openxmlformats.org/spreadsheetml/2006/main">
  <c r="BS37" i="12" l="1"/>
  <c r="BS38" i="12"/>
  <c r="BS39" i="12"/>
  <c r="BS40" i="12"/>
  <c r="BS41" i="12"/>
  <c r="BS42" i="12"/>
  <c r="BS43" i="12"/>
  <c r="BS44" i="12"/>
  <c r="BR37" i="12"/>
  <c r="BR38" i="12"/>
  <c r="BR39" i="12"/>
  <c r="BR40" i="12"/>
  <c r="BR41" i="12"/>
  <c r="BR42" i="12"/>
  <c r="BR43" i="12"/>
  <c r="BR44" i="12"/>
  <c r="BS36" i="12"/>
  <c r="BR36" i="12"/>
  <c r="BQ37" i="12"/>
  <c r="BQ38" i="12"/>
  <c r="BQ39" i="12"/>
  <c r="BQ40" i="12"/>
  <c r="BQ41" i="12"/>
  <c r="BQ42" i="12"/>
  <c r="BQ43" i="12"/>
  <c r="BQ44" i="12"/>
  <c r="BP37" i="12"/>
  <c r="BP38" i="12"/>
  <c r="BP39" i="12"/>
  <c r="BP40" i="12"/>
  <c r="BP41" i="12"/>
  <c r="BP42" i="12"/>
  <c r="BP43" i="12"/>
  <c r="BP44" i="12"/>
  <c r="BP36" i="12"/>
  <c r="BQ36" i="12"/>
  <c r="BO24" i="12"/>
  <c r="BO25" i="12"/>
  <c r="BO26" i="12"/>
  <c r="BO27" i="12"/>
  <c r="BO28" i="12"/>
  <c r="BO29" i="12"/>
  <c r="BO30" i="12"/>
  <c r="BO31" i="12"/>
  <c r="BN24" i="12"/>
  <c r="BN25" i="12"/>
  <c r="BN26" i="12"/>
  <c r="BN27" i="12"/>
  <c r="BN28" i="12"/>
  <c r="BN29" i="12"/>
  <c r="BN30" i="12"/>
  <c r="BN31" i="12"/>
  <c r="BM24" i="12"/>
  <c r="BM25" i="12"/>
  <c r="BM26" i="12"/>
  <c r="BM27" i="12"/>
  <c r="BM28" i="12"/>
  <c r="BM29" i="12"/>
  <c r="BM30" i="12"/>
  <c r="BM31" i="12"/>
  <c r="BO23" i="12"/>
  <c r="BN23" i="12"/>
  <c r="BM23" i="12"/>
  <c r="BI46" i="12"/>
  <c r="BJ46" i="12"/>
  <c r="BK46" i="12"/>
  <c r="BL46" i="12"/>
  <c r="BH46" i="12"/>
  <c r="BL38" i="12"/>
  <c r="BL39" i="12"/>
  <c r="BL40" i="12"/>
  <c r="BL41" i="12"/>
  <c r="BL42" i="12"/>
  <c r="BL43" i="12"/>
  <c r="BL44" i="12"/>
  <c r="BL45" i="12"/>
  <c r="BK38" i="12"/>
  <c r="BK39" i="12"/>
  <c r="BK40" i="12"/>
  <c r="BK41" i="12"/>
  <c r="BK42" i="12"/>
  <c r="BK43" i="12"/>
  <c r="BK44" i="12"/>
  <c r="BK45" i="12"/>
  <c r="BJ38" i="12"/>
  <c r="BJ39" i="12"/>
  <c r="BJ40" i="12"/>
  <c r="BJ41" i="12"/>
  <c r="BJ42" i="12"/>
  <c r="BJ43" i="12"/>
  <c r="BJ44" i="12"/>
  <c r="BJ45" i="12"/>
  <c r="BI38" i="12"/>
  <c r="BI39" i="12"/>
  <c r="BI40" i="12"/>
  <c r="BI41" i="12"/>
  <c r="BI42" i="12"/>
  <c r="BI43" i="12"/>
  <c r="BI44" i="12"/>
  <c r="BI45" i="12"/>
  <c r="BI37" i="12"/>
  <c r="BJ37" i="12"/>
  <c r="BK37" i="12"/>
  <c r="BL37" i="12"/>
  <c r="BH38" i="12"/>
  <c r="BH39" i="12"/>
  <c r="BH40" i="12"/>
  <c r="BH41" i="12"/>
  <c r="BH42" i="12"/>
  <c r="BH43" i="12"/>
  <c r="BH44" i="12"/>
  <c r="BH45" i="12"/>
  <c r="BH37" i="12"/>
  <c r="BB45" i="12"/>
  <c r="BB44" i="12"/>
  <c r="BB43" i="12"/>
  <c r="BB42" i="12"/>
  <c r="BA45" i="12"/>
  <c r="BA44" i="12"/>
  <c r="BA43" i="12"/>
  <c r="BA42" i="12"/>
  <c r="AZ45" i="12"/>
  <c r="AZ44" i="12"/>
  <c r="AZ43" i="12"/>
  <c r="AZ42" i="12"/>
  <c r="BB41" i="12"/>
  <c r="BA41" i="12"/>
  <c r="AZ41" i="12"/>
  <c r="BB40" i="12"/>
  <c r="BA40" i="12"/>
  <c r="AZ40" i="12"/>
  <c r="BA39" i="12"/>
  <c r="AZ39" i="12"/>
  <c r="BB39" i="12"/>
  <c r="BB38" i="12"/>
  <c r="AZ38" i="12"/>
  <c r="BA38" i="12"/>
  <c r="BA37" i="12"/>
  <c r="BB37" i="12"/>
  <c r="AZ37" i="12"/>
  <c r="BH4" i="12"/>
  <c r="BH5" i="12"/>
  <c r="BH6" i="12"/>
  <c r="BH7" i="12"/>
  <c r="BH8" i="12"/>
  <c r="BH9" i="12"/>
  <c r="BH10" i="12"/>
  <c r="BH11" i="12"/>
  <c r="BH12" i="12"/>
  <c r="BH13" i="12"/>
  <c r="BH14" i="12"/>
  <c r="BH15" i="12"/>
  <c r="BH16" i="12"/>
  <c r="BH17" i="12"/>
  <c r="BH18" i="12"/>
  <c r="BH19" i="12"/>
  <c r="BH20" i="12"/>
  <c r="BH21" i="12"/>
  <c r="BH22" i="12"/>
  <c r="BH23" i="12"/>
  <c r="BH24" i="12"/>
  <c r="BH25" i="12"/>
  <c r="BH26" i="12"/>
  <c r="BH27" i="12"/>
  <c r="BH28" i="12"/>
  <c r="BH29" i="12"/>
  <c r="BH30" i="12"/>
  <c r="BH31" i="12"/>
  <c r="BH32" i="12"/>
  <c r="BH33" i="12"/>
  <c r="BH34" i="12"/>
  <c r="BG4" i="12"/>
  <c r="BG5" i="12"/>
  <c r="BG6" i="12"/>
  <c r="BG7" i="12"/>
  <c r="BG8" i="12"/>
  <c r="BG9" i="12"/>
  <c r="BG10" i="12"/>
  <c r="BG11" i="12"/>
  <c r="BG12" i="12"/>
  <c r="BG13" i="12"/>
  <c r="BG14" i="12"/>
  <c r="BG15" i="12"/>
  <c r="BG16" i="12"/>
  <c r="BG17" i="12"/>
  <c r="BG18" i="12"/>
  <c r="BG19" i="12"/>
  <c r="BG20" i="12"/>
  <c r="BG21" i="12"/>
  <c r="BG22" i="12"/>
  <c r="BG23" i="12"/>
  <c r="BG24" i="12"/>
  <c r="BG25" i="12"/>
  <c r="BG26" i="12"/>
  <c r="BG27" i="12"/>
  <c r="BG28" i="12"/>
  <c r="BG29" i="12"/>
  <c r="BG30" i="12"/>
  <c r="BG31" i="12"/>
  <c r="BG32" i="12"/>
  <c r="BG33" i="12"/>
  <c r="BG34" i="12"/>
  <c r="BF4" i="12"/>
  <c r="BF5" i="12"/>
  <c r="BF6" i="12"/>
  <c r="BF7" i="12"/>
  <c r="BF8" i="12"/>
  <c r="BF9" i="12"/>
  <c r="BF10" i="12"/>
  <c r="BF11" i="12"/>
  <c r="BF12" i="12"/>
  <c r="BF13" i="12"/>
  <c r="BF14" i="12"/>
  <c r="BF15" i="12"/>
  <c r="BF16" i="12"/>
  <c r="BF17" i="12"/>
  <c r="BF18" i="12"/>
  <c r="BF19" i="12"/>
  <c r="BF20" i="12"/>
  <c r="BF21" i="12"/>
  <c r="BF22" i="12"/>
  <c r="BF23" i="12"/>
  <c r="BF24" i="12"/>
  <c r="BF25" i="12"/>
  <c r="BF26" i="12"/>
  <c r="BF27" i="12"/>
  <c r="BF28" i="12"/>
  <c r="BF29" i="12"/>
  <c r="BF30" i="12"/>
  <c r="BF31" i="12"/>
  <c r="BF32" i="12"/>
  <c r="BF33" i="12"/>
  <c r="BF34" i="12"/>
  <c r="BH3" i="12"/>
  <c r="BG3" i="12"/>
  <c r="BF3" i="12"/>
  <c r="BE4" i="12"/>
  <c r="BE5" i="12"/>
  <c r="BE6" i="12"/>
  <c r="BE7" i="12"/>
  <c r="BE8" i="12"/>
  <c r="BE9" i="12"/>
  <c r="BE10" i="12"/>
  <c r="BE11" i="12"/>
  <c r="BE12" i="12"/>
  <c r="BE13" i="12"/>
  <c r="BE14" i="12"/>
  <c r="BE15" i="12"/>
  <c r="BE16" i="12"/>
  <c r="BE17" i="12"/>
  <c r="BE18" i="12"/>
  <c r="BE19" i="12"/>
  <c r="BE20" i="12"/>
  <c r="BE21" i="12"/>
  <c r="BE22" i="12"/>
  <c r="BE23" i="12"/>
  <c r="BE24" i="12"/>
  <c r="BE25" i="12"/>
  <c r="BE26" i="12"/>
  <c r="BE27" i="12"/>
  <c r="BE28" i="12"/>
  <c r="BE29" i="12"/>
  <c r="BE30" i="12"/>
  <c r="BE31" i="12"/>
  <c r="BE32" i="12"/>
  <c r="BE33" i="12"/>
  <c r="BE34" i="12"/>
  <c r="BE3" i="12"/>
  <c r="BD4" i="12"/>
  <c r="BD5" i="12"/>
  <c r="BD6" i="12"/>
  <c r="BD7" i="12"/>
  <c r="BD8" i="12"/>
  <c r="BD9" i="12"/>
  <c r="BD10" i="12"/>
  <c r="BD11" i="12"/>
  <c r="BD12" i="12"/>
  <c r="BD13" i="12"/>
  <c r="BD14" i="12"/>
  <c r="BD15" i="12"/>
  <c r="BD16" i="12"/>
  <c r="BD17" i="12"/>
  <c r="BD18" i="12"/>
  <c r="BD19" i="12"/>
  <c r="BD20" i="12"/>
  <c r="BD21" i="12"/>
  <c r="BD22" i="12"/>
  <c r="BD23" i="12"/>
  <c r="BD24" i="12"/>
  <c r="BD25" i="12"/>
  <c r="BD26" i="12"/>
  <c r="BD27" i="12"/>
  <c r="BD28" i="12"/>
  <c r="BD29" i="12"/>
  <c r="BD30" i="12"/>
  <c r="BD31" i="12"/>
  <c r="BD32" i="12"/>
  <c r="BD33" i="12"/>
  <c r="BD34" i="12"/>
  <c r="BD3" i="12"/>
  <c r="BC4" i="12"/>
  <c r="BC5" i="12"/>
  <c r="BC6" i="12"/>
  <c r="BC7" i="12"/>
  <c r="BC8" i="12"/>
  <c r="BC9" i="12"/>
  <c r="BC10" i="12"/>
  <c r="BC11" i="12"/>
  <c r="BC12" i="12"/>
  <c r="BC13" i="12"/>
  <c r="BC14" i="12"/>
  <c r="BC15" i="12"/>
  <c r="BC16" i="12"/>
  <c r="BC17" i="12"/>
  <c r="BC18" i="12"/>
  <c r="BC19" i="12"/>
  <c r="BC20" i="12"/>
  <c r="BC21" i="12"/>
  <c r="BC22" i="12"/>
  <c r="BC23" i="12"/>
  <c r="BC24" i="12"/>
  <c r="BC25" i="12"/>
  <c r="BC26" i="12"/>
  <c r="BC27" i="12"/>
  <c r="BC28" i="12"/>
  <c r="BC29" i="12"/>
  <c r="BC30" i="12"/>
  <c r="BC31" i="12"/>
  <c r="BC32" i="12"/>
  <c r="BC33" i="12"/>
  <c r="BC34" i="12"/>
  <c r="BC3" i="12"/>
  <c r="BB4" i="12"/>
  <c r="BB5" i="12"/>
  <c r="BB6" i="12"/>
  <c r="BB7" i="12"/>
  <c r="BB8" i="12"/>
  <c r="BB9" i="12"/>
  <c r="BB10" i="12"/>
  <c r="BB11" i="12"/>
  <c r="BB12" i="12"/>
  <c r="BB13" i="12"/>
  <c r="BB14" i="12"/>
  <c r="BB15" i="12"/>
  <c r="BB16" i="12"/>
  <c r="BB17" i="12"/>
  <c r="BB18" i="12"/>
  <c r="BB19" i="12"/>
  <c r="BB20" i="12"/>
  <c r="BB21" i="12"/>
  <c r="BB22" i="12"/>
  <c r="BB23" i="12"/>
  <c r="BB24" i="12"/>
  <c r="BB25" i="12"/>
  <c r="BB26" i="12"/>
  <c r="BB27" i="12"/>
  <c r="BB28" i="12"/>
  <c r="BB29" i="12"/>
  <c r="BB30" i="12"/>
  <c r="BB31" i="12"/>
  <c r="BB32" i="12"/>
  <c r="BB33" i="12"/>
  <c r="BB34" i="12"/>
  <c r="BB3" i="12"/>
  <c r="BA4" i="12"/>
  <c r="BA5" i="12"/>
  <c r="BA6" i="12"/>
  <c r="BA7" i="12"/>
  <c r="BA8" i="12"/>
  <c r="BA9" i="12"/>
  <c r="BA10" i="12"/>
  <c r="BA11" i="12"/>
  <c r="BA12" i="12"/>
  <c r="BA13" i="12"/>
  <c r="BA14" i="12"/>
  <c r="BA15" i="12"/>
  <c r="BA16" i="12"/>
  <c r="BA17" i="12"/>
  <c r="BA18" i="12"/>
  <c r="BA19" i="12"/>
  <c r="BA20" i="12"/>
  <c r="BA21" i="12"/>
  <c r="BA22" i="12"/>
  <c r="BA23" i="12"/>
  <c r="BA24" i="12"/>
  <c r="BA25" i="12"/>
  <c r="BA26" i="12"/>
  <c r="BA27" i="12"/>
  <c r="BA28" i="12"/>
  <c r="BA29" i="12"/>
  <c r="BA30" i="12"/>
  <c r="BA31" i="12"/>
  <c r="BA32" i="12"/>
  <c r="BA33" i="12"/>
  <c r="BA34" i="12"/>
  <c r="BA3" i="12"/>
  <c r="AZ3" i="12"/>
  <c r="AZ4" i="12"/>
  <c r="AZ5" i="12"/>
  <c r="AZ6" i="12"/>
  <c r="AZ7" i="12"/>
  <c r="AZ8" i="12"/>
  <c r="AZ9" i="12"/>
  <c r="AZ10" i="12"/>
  <c r="AZ11" i="12"/>
  <c r="AZ12" i="12"/>
  <c r="AZ13" i="12"/>
  <c r="AZ14" i="12"/>
  <c r="AZ15" i="12"/>
  <c r="AZ16" i="12"/>
  <c r="AZ17" i="12"/>
  <c r="AZ18" i="12"/>
  <c r="AZ19" i="12"/>
  <c r="AZ20" i="12"/>
  <c r="AZ21" i="12"/>
  <c r="AZ22" i="12"/>
  <c r="AZ23" i="12"/>
  <c r="AZ24" i="12"/>
  <c r="AZ25" i="12"/>
  <c r="AZ26" i="12"/>
  <c r="AZ27" i="12"/>
  <c r="AZ28" i="12"/>
  <c r="AZ29" i="12"/>
  <c r="AZ30" i="12"/>
  <c r="AZ31" i="12"/>
  <c r="AZ32" i="12"/>
  <c r="AZ33" i="12"/>
  <c r="AZ34" i="12"/>
  <c r="R19" i="4"/>
  <c r="O90" i="3"/>
  <c r="M90" i="3"/>
  <c r="AM4" i="12"/>
  <c r="AM5" i="12"/>
  <c r="AM6" i="12"/>
  <c r="AM7" i="12"/>
  <c r="AM8" i="12"/>
  <c r="AM9" i="12"/>
  <c r="AM10" i="12"/>
  <c r="AM11" i="12"/>
  <c r="AM12" i="12"/>
  <c r="AM13" i="12"/>
  <c r="AM14" i="12"/>
  <c r="AM3" i="12"/>
  <c r="AL4" i="12"/>
  <c r="AL5" i="12"/>
  <c r="AL6" i="12"/>
  <c r="AL7" i="12"/>
  <c r="AL8" i="12"/>
  <c r="AL9" i="12"/>
  <c r="AL10" i="12"/>
  <c r="AL11" i="12"/>
  <c r="AL12" i="12"/>
  <c r="AL13" i="12"/>
  <c r="AL14" i="12"/>
  <c r="AL3" i="12"/>
  <c r="AK4" i="12"/>
  <c r="AK5" i="12"/>
  <c r="AK6" i="12"/>
  <c r="AK7" i="12"/>
  <c r="AK8" i="12"/>
  <c r="AK9" i="12"/>
  <c r="AK10" i="12"/>
  <c r="AK11" i="12"/>
  <c r="AK12" i="12"/>
  <c r="AK13" i="12"/>
  <c r="AK14" i="12"/>
  <c r="AK3" i="12"/>
  <c r="AJ4" i="12"/>
  <c r="AJ5" i="12"/>
  <c r="AJ6" i="12"/>
  <c r="AJ7" i="12"/>
  <c r="AJ8" i="12"/>
  <c r="AJ9" i="12"/>
  <c r="AJ10" i="12"/>
  <c r="AJ11" i="12"/>
  <c r="AJ12" i="12"/>
  <c r="AJ13" i="12"/>
  <c r="AJ14" i="12"/>
  <c r="AJ3" i="12"/>
  <c r="AI4" i="12"/>
  <c r="AI5" i="12"/>
  <c r="AI6" i="12"/>
  <c r="AI7" i="12"/>
  <c r="AI8" i="12"/>
  <c r="AI9" i="12"/>
  <c r="AI10" i="12"/>
  <c r="AI11" i="12"/>
  <c r="AI12" i="12"/>
  <c r="AI13" i="12"/>
  <c r="AI14" i="12"/>
  <c r="AI3" i="12"/>
  <c r="AH4" i="12"/>
  <c r="AH5" i="12"/>
  <c r="AH6" i="12"/>
  <c r="AH7" i="12"/>
  <c r="AH8" i="12"/>
  <c r="AH9" i="12"/>
  <c r="AH10" i="12"/>
  <c r="AH11" i="12"/>
  <c r="AH12" i="12"/>
  <c r="AH13" i="12"/>
  <c r="AH14" i="12"/>
  <c r="AH3" i="12"/>
  <c r="AG4" i="12"/>
  <c r="AG5" i="12"/>
  <c r="AG6" i="12"/>
  <c r="AG7" i="12"/>
  <c r="AG8" i="12"/>
  <c r="AG9" i="12"/>
  <c r="AG10" i="12"/>
  <c r="AG11" i="12"/>
  <c r="AG12" i="12"/>
  <c r="AG13" i="12"/>
  <c r="AG14" i="12"/>
  <c r="AG3" i="12"/>
  <c r="AF4" i="12"/>
  <c r="AF5" i="12"/>
  <c r="AF6" i="12"/>
  <c r="AF7" i="12"/>
  <c r="AF8" i="12"/>
  <c r="AF9" i="12"/>
  <c r="AF10" i="12"/>
  <c r="AF11" i="12"/>
  <c r="AF12" i="12"/>
  <c r="AF13" i="12"/>
  <c r="AF14" i="12"/>
  <c r="AF3" i="12"/>
  <c r="AE4" i="12"/>
  <c r="AE5" i="12"/>
  <c r="AE6" i="12"/>
  <c r="AE7" i="12"/>
  <c r="AE8" i="12"/>
  <c r="AE9" i="12"/>
  <c r="AE10" i="12"/>
  <c r="AE11" i="12"/>
  <c r="AE12" i="12"/>
  <c r="AE13" i="12"/>
  <c r="AE14" i="12"/>
  <c r="AE3" i="12"/>
  <c r="S3" i="12"/>
  <c r="X14" i="12" l="1"/>
  <c r="Y14" i="12"/>
  <c r="Z14" i="12"/>
  <c r="AA14" i="12"/>
  <c r="X13" i="12"/>
  <c r="Y13" i="12"/>
  <c r="Z13" i="12"/>
  <c r="AA13" i="12"/>
  <c r="X12" i="12"/>
  <c r="Y12" i="12"/>
  <c r="Z12" i="12"/>
  <c r="AA12" i="12"/>
  <c r="X11" i="12"/>
  <c r="Y11" i="12"/>
  <c r="Z11" i="12"/>
  <c r="AA11" i="12"/>
  <c r="X10" i="12"/>
  <c r="Y10" i="12"/>
  <c r="Z10" i="12"/>
  <c r="AA10" i="12"/>
  <c r="X9" i="12"/>
  <c r="Y9" i="12"/>
  <c r="Z9" i="12"/>
  <c r="AA9" i="12"/>
  <c r="X8" i="12"/>
  <c r="Y8" i="12"/>
  <c r="Z8" i="12"/>
  <c r="AA8" i="12"/>
  <c r="X7" i="12"/>
  <c r="Y7" i="12"/>
  <c r="Z7" i="12"/>
  <c r="AA7" i="12"/>
  <c r="X6" i="12"/>
  <c r="Y6" i="12"/>
  <c r="Z6" i="12"/>
  <c r="AA6" i="12"/>
  <c r="X5" i="12"/>
  <c r="Y5" i="12"/>
  <c r="Z5" i="12"/>
  <c r="AA5" i="12"/>
  <c r="X4" i="12"/>
  <c r="Y4" i="12"/>
  <c r="Z4" i="12"/>
  <c r="AA4" i="12"/>
  <c r="W14" i="12"/>
  <c r="W13" i="12"/>
  <c r="W12" i="12"/>
  <c r="W11" i="12"/>
  <c r="W10" i="12"/>
  <c r="W9" i="12"/>
  <c r="W8" i="12"/>
  <c r="W7" i="12"/>
  <c r="W6" i="12"/>
  <c r="W5" i="12"/>
  <c r="W4" i="12"/>
  <c r="X3" i="12"/>
  <c r="Y3" i="12"/>
  <c r="Z3" i="12"/>
  <c r="AA3" i="12"/>
  <c r="W3" i="12"/>
  <c r="V14" i="12"/>
  <c r="V13" i="12"/>
  <c r="V12" i="12"/>
  <c r="V11" i="12"/>
  <c r="V10" i="12"/>
  <c r="V9" i="12"/>
  <c r="V8" i="12"/>
  <c r="V7" i="12"/>
  <c r="V6" i="12"/>
  <c r="V5" i="12"/>
  <c r="V4" i="12"/>
  <c r="V3" i="12"/>
  <c r="U14" i="12"/>
  <c r="U13" i="12"/>
  <c r="U12" i="12"/>
  <c r="U11" i="12"/>
  <c r="U10" i="12"/>
  <c r="U9" i="12"/>
  <c r="U8" i="12"/>
  <c r="U7" i="12"/>
  <c r="U6" i="12"/>
  <c r="U5" i="12"/>
  <c r="U4" i="12"/>
  <c r="U3" i="12"/>
  <c r="T14" i="12"/>
  <c r="T13" i="12"/>
  <c r="T12" i="12"/>
  <c r="T11" i="12"/>
  <c r="T10" i="12"/>
  <c r="T9" i="12"/>
  <c r="T8" i="12"/>
  <c r="T7" i="12"/>
  <c r="T6" i="12"/>
  <c r="T5" i="12"/>
  <c r="T4" i="12"/>
  <c r="T3" i="12"/>
  <c r="S14" i="12"/>
  <c r="S13" i="12"/>
  <c r="S12" i="12"/>
  <c r="S11" i="12"/>
  <c r="S10" i="12"/>
  <c r="S9" i="12"/>
  <c r="S8" i="12"/>
  <c r="S7" i="12"/>
  <c r="S6" i="12"/>
  <c r="S5" i="12"/>
  <c r="S4" i="12"/>
  <c r="I38" i="3"/>
  <c r="N11" i="12" l="1"/>
  <c r="M11" i="12"/>
  <c r="L11" i="12"/>
  <c r="K11" i="12"/>
  <c r="N10" i="12"/>
  <c r="M10" i="12"/>
  <c r="L10" i="12"/>
  <c r="K10" i="12"/>
  <c r="N9" i="12"/>
  <c r="M9" i="12"/>
  <c r="L9" i="12"/>
  <c r="K9" i="12"/>
  <c r="N8" i="12"/>
  <c r="M8" i="12"/>
  <c r="L8" i="12"/>
  <c r="K8" i="12"/>
  <c r="N7" i="12"/>
  <c r="M7" i="12"/>
  <c r="L7" i="12"/>
  <c r="K7" i="12"/>
  <c r="N6" i="12"/>
  <c r="M6" i="12"/>
  <c r="L6" i="12"/>
  <c r="K6" i="12"/>
  <c r="N5" i="12"/>
  <c r="M5" i="12"/>
  <c r="L5" i="12"/>
  <c r="K5" i="12"/>
  <c r="N4" i="12"/>
  <c r="M4" i="12"/>
  <c r="L4" i="12"/>
  <c r="K4" i="12"/>
  <c r="N3" i="12"/>
  <c r="M3" i="12"/>
  <c r="L3" i="12"/>
  <c r="K3" i="12"/>
  <c r="O6" i="12" l="1"/>
  <c r="C31" i="12" s="1"/>
  <c r="O5" i="12"/>
  <c r="C30" i="12" s="1"/>
  <c r="O7" i="12"/>
  <c r="C32" i="12" s="1"/>
  <c r="O9" i="12"/>
  <c r="C34" i="12" s="1"/>
  <c r="O11" i="12"/>
  <c r="C36" i="12" s="1"/>
  <c r="O3" i="12"/>
  <c r="C28" i="12" s="1"/>
  <c r="K12" i="12"/>
  <c r="O4" i="12"/>
  <c r="C29" i="12" s="1"/>
  <c r="O8" i="12"/>
  <c r="C33" i="12" s="1"/>
  <c r="O10" i="12"/>
  <c r="C35" i="12" s="1"/>
  <c r="C3" i="12"/>
  <c r="F4" i="12" l="1"/>
  <c r="F5" i="12"/>
  <c r="F6" i="12"/>
  <c r="F7" i="12"/>
  <c r="F8" i="12"/>
  <c r="F9" i="12"/>
  <c r="F10" i="12"/>
  <c r="F11" i="12"/>
  <c r="E4" i="12"/>
  <c r="E5" i="12"/>
  <c r="E6" i="12"/>
  <c r="E7" i="12"/>
  <c r="E8" i="12"/>
  <c r="E9" i="12"/>
  <c r="E10" i="12"/>
  <c r="E11" i="12"/>
  <c r="F3" i="12"/>
  <c r="E3" i="12"/>
  <c r="D4" i="12"/>
  <c r="D5" i="12"/>
  <c r="D6" i="12"/>
  <c r="D7" i="12"/>
  <c r="G7" i="12" s="1"/>
  <c r="D8" i="12"/>
  <c r="D9" i="12"/>
  <c r="D10" i="12"/>
  <c r="D11" i="12"/>
  <c r="D3" i="12"/>
  <c r="G3" i="12" s="1"/>
  <c r="C4" i="12"/>
  <c r="C5" i="12"/>
  <c r="C6" i="12"/>
  <c r="G6" i="12" s="1"/>
  <c r="C7" i="12"/>
  <c r="C8" i="12"/>
  <c r="G8" i="12" s="1"/>
  <c r="C21" i="12" s="1"/>
  <c r="C9" i="12"/>
  <c r="C10" i="12"/>
  <c r="G10" i="12" s="1"/>
  <c r="C11" i="12"/>
  <c r="G11" i="12" s="1"/>
  <c r="C24" i="12" s="1"/>
  <c r="G5" i="12" l="1"/>
  <c r="G4" i="12"/>
  <c r="C20" i="12"/>
  <c r="C19" i="12"/>
  <c r="C18" i="12"/>
  <c r="C16" i="12"/>
  <c r="C17" i="12"/>
  <c r="G9" i="12"/>
  <c r="C22" i="12" s="1"/>
  <c r="C23" i="12"/>
  <c r="G24" i="3"/>
  <c r="A12" i="3" l="1"/>
  <c r="I24" i="3" s="1"/>
  <c r="M6" i="2" l="1"/>
  <c r="C57" i="3" l="1"/>
  <c r="J58" i="2"/>
  <c r="L3" i="2"/>
  <c r="M3" i="2"/>
  <c r="N3" i="2"/>
  <c r="M54" i="3" l="1"/>
  <c r="N54" i="3"/>
  <c r="O54" i="3"/>
  <c r="P54" i="3"/>
  <c r="N55" i="3"/>
  <c r="O55" i="3"/>
  <c r="Q55" i="3"/>
  <c r="M56" i="3"/>
  <c r="N56" i="3"/>
  <c r="P56" i="3"/>
  <c r="R56" i="3"/>
  <c r="M57" i="3"/>
  <c r="P57" i="3"/>
  <c r="R57" i="3"/>
  <c r="M58" i="3"/>
  <c r="N58" i="3"/>
  <c r="O58" i="3"/>
  <c r="Q58" i="3"/>
  <c r="N59" i="3"/>
  <c r="O59" i="3"/>
  <c r="Q59" i="3"/>
  <c r="O60" i="3"/>
  <c r="Q60" i="3"/>
  <c r="R60" i="3"/>
  <c r="N61" i="3"/>
  <c r="O61" i="3"/>
  <c r="Q61" i="3"/>
  <c r="M62" i="3"/>
  <c r="P62" i="3"/>
  <c r="R62" i="3"/>
  <c r="M63" i="3"/>
  <c r="N63" i="3"/>
  <c r="O63" i="3"/>
  <c r="P63" i="3"/>
  <c r="M64" i="3"/>
  <c r="N64" i="3"/>
  <c r="P64" i="3"/>
  <c r="R64" i="3"/>
  <c r="P65" i="3"/>
  <c r="Q65" i="3"/>
  <c r="R65" i="3"/>
  <c r="M66" i="3"/>
  <c r="N66" i="3"/>
  <c r="O66" i="3"/>
  <c r="P66" i="3"/>
  <c r="P67" i="3"/>
  <c r="Q67" i="3"/>
  <c r="R67" i="3"/>
  <c r="M68" i="3"/>
  <c r="N68" i="3"/>
  <c r="P68" i="3"/>
  <c r="R68" i="3"/>
  <c r="M69" i="3"/>
  <c r="N69" i="3"/>
  <c r="O69" i="3"/>
  <c r="S69" i="3"/>
  <c r="O70" i="3"/>
  <c r="Q70" i="3"/>
  <c r="U70" i="3"/>
  <c r="O71" i="3"/>
  <c r="Q71" i="3"/>
  <c r="U71" i="3"/>
  <c r="P72" i="3"/>
  <c r="Q72" i="3"/>
  <c r="R72" i="3"/>
  <c r="M73" i="3"/>
  <c r="P73" i="3"/>
  <c r="R73" i="3"/>
  <c r="M74" i="3"/>
  <c r="N74" i="3"/>
  <c r="P74" i="3"/>
  <c r="R74" i="3"/>
  <c r="M75" i="3"/>
  <c r="N75" i="3"/>
  <c r="O75" i="3"/>
  <c r="S75" i="3"/>
  <c r="N76" i="3"/>
  <c r="O76" i="3"/>
  <c r="Q76" i="3"/>
  <c r="M77" i="3"/>
  <c r="N77" i="3"/>
  <c r="O77" i="3"/>
  <c r="Q77" i="3"/>
  <c r="M78" i="3"/>
  <c r="N78" i="3"/>
  <c r="P78" i="3"/>
  <c r="R78" i="3"/>
  <c r="M79" i="3"/>
  <c r="P79" i="3"/>
  <c r="R79" i="3"/>
  <c r="P80" i="3"/>
  <c r="Q80" i="3"/>
  <c r="R80" i="3"/>
  <c r="M81" i="3"/>
  <c r="P81" i="3"/>
  <c r="R81" i="3"/>
  <c r="P82" i="3"/>
  <c r="Q82" i="3"/>
  <c r="R82" i="3"/>
  <c r="O83" i="3"/>
  <c r="Q83" i="3"/>
  <c r="R83" i="3"/>
  <c r="N84" i="3"/>
  <c r="O84" i="3"/>
  <c r="Q84" i="3"/>
  <c r="O53" i="3"/>
  <c r="Q53" i="3"/>
  <c r="U53" i="3"/>
  <c r="C58" i="3" l="1"/>
  <c r="C59" i="3"/>
  <c r="C60" i="3"/>
  <c r="C61" i="3"/>
  <c r="C62" i="3"/>
  <c r="C63" i="3"/>
  <c r="C64" i="3"/>
  <c r="C65" i="3"/>
  <c r="C45" i="3" l="1"/>
  <c r="C46" i="3"/>
  <c r="C47" i="3"/>
  <c r="C48" i="3"/>
  <c r="C49" i="3"/>
  <c r="C50" i="3"/>
  <c r="C51" i="3"/>
  <c r="C52" i="3"/>
  <c r="C44"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2" i="2"/>
  <c r="G3" i="2"/>
  <c r="N70" i="3" s="1"/>
  <c r="G4" i="2"/>
  <c r="G5" i="2"/>
  <c r="G6" i="2"/>
  <c r="G7" i="2"/>
  <c r="R66" i="3" s="1"/>
  <c r="G8" i="2"/>
  <c r="G9" i="2"/>
  <c r="G10" i="2"/>
  <c r="G11" i="2"/>
  <c r="G12" i="2"/>
  <c r="G13" i="2"/>
  <c r="G14" i="2"/>
  <c r="G15" i="2"/>
  <c r="M84" i="3" s="1"/>
  <c r="G16" i="2"/>
  <c r="G17" i="2"/>
  <c r="G18" i="2"/>
  <c r="G19" i="2"/>
  <c r="G20" i="2"/>
  <c r="G21" i="2"/>
  <c r="G22" i="2"/>
  <c r="G23" i="2"/>
  <c r="U60" i="3" s="1"/>
  <c r="G24" i="2"/>
  <c r="G25" i="2"/>
  <c r="G26" i="2"/>
  <c r="G27" i="2"/>
  <c r="P69" i="3" s="1"/>
  <c r="G28" i="2"/>
  <c r="G29" i="2"/>
  <c r="G30" i="2"/>
  <c r="G31" i="2"/>
  <c r="Q73" i="3" s="1"/>
  <c r="G32" i="2"/>
  <c r="G33" i="2"/>
  <c r="G34" i="2"/>
  <c r="G35" i="2"/>
  <c r="T70" i="3" s="1"/>
  <c r="G36" i="2"/>
  <c r="G37" i="2"/>
  <c r="G38" i="2"/>
  <c r="H38" i="2" s="1"/>
  <c r="G39" i="2"/>
  <c r="U66" i="3" s="1"/>
  <c r="G40" i="2"/>
  <c r="G41" i="2"/>
  <c r="G42" i="2"/>
  <c r="G43" i="2"/>
  <c r="O82" i="3" s="1"/>
  <c r="G44" i="2"/>
  <c r="G45" i="2"/>
  <c r="G46" i="2"/>
  <c r="G47" i="2"/>
  <c r="S84" i="3" s="1"/>
  <c r="G48" i="2"/>
  <c r="G49" i="2"/>
  <c r="G50" i="2"/>
  <c r="G51" i="2"/>
  <c r="H51" i="2" s="1"/>
  <c r="G52" i="2"/>
  <c r="G53" i="2"/>
  <c r="G54" i="2"/>
  <c r="G55" i="2"/>
  <c r="N60" i="3" s="1"/>
  <c r="G56" i="2"/>
  <c r="G57" i="2"/>
  <c r="G58" i="2"/>
  <c r="G59" i="2"/>
  <c r="R69" i="3" s="1"/>
  <c r="G60" i="2"/>
  <c r="G61" i="2"/>
  <c r="G62" i="2"/>
  <c r="G63" i="2"/>
  <c r="S73" i="3" s="1"/>
  <c r="G64" i="2"/>
  <c r="H64" i="2" s="1"/>
  <c r="G65" i="2"/>
  <c r="G66" i="2"/>
  <c r="G67" i="2"/>
  <c r="M70" i="3" s="1"/>
  <c r="G68" i="2"/>
  <c r="G69" i="2"/>
  <c r="G70" i="2"/>
  <c r="Q78" i="3" s="1"/>
  <c r="G71" i="2"/>
  <c r="G72" i="2"/>
  <c r="G73" i="2"/>
  <c r="G74" i="2"/>
  <c r="T83" i="3" s="1"/>
  <c r="G75" i="2"/>
  <c r="U82" i="3" s="1"/>
  <c r="G76" i="2"/>
  <c r="G77" i="2"/>
  <c r="H77" i="2" s="1"/>
  <c r="G78" i="2"/>
  <c r="U75" i="3" s="1"/>
  <c r="G79" i="2"/>
  <c r="P84" i="3" s="1"/>
  <c r="G80" i="2"/>
  <c r="G81" i="2"/>
  <c r="G82" i="2"/>
  <c r="O81" i="3" s="1"/>
  <c r="G83" i="2"/>
  <c r="Q64" i="3" s="1"/>
  <c r="G84" i="2"/>
  <c r="G85" i="2"/>
  <c r="G86" i="2"/>
  <c r="S59" i="3" s="1"/>
  <c r="G87" i="2"/>
  <c r="T60" i="3" s="1"/>
  <c r="G88" i="2"/>
  <c r="G89" i="2"/>
  <c r="G90" i="2"/>
  <c r="H90" i="2" s="1"/>
  <c r="G91" i="2"/>
  <c r="U69" i="3" s="1"/>
  <c r="G92" i="2"/>
  <c r="G93" i="2"/>
  <c r="G94" i="2"/>
  <c r="N65" i="3" s="1"/>
  <c r="G95" i="2"/>
  <c r="O73" i="3" s="1"/>
  <c r="G96" i="2"/>
  <c r="G97" i="2"/>
  <c r="G98" i="2"/>
  <c r="R76" i="3" s="1"/>
  <c r="G99" i="2"/>
  <c r="S70" i="3" s="1"/>
  <c r="G100" i="2"/>
  <c r="T80" i="3" s="1"/>
  <c r="G101" i="2"/>
  <c r="U62" i="3" s="1"/>
  <c r="G102" i="2"/>
  <c r="S78" i="3" s="1"/>
  <c r="G103" i="2"/>
  <c r="H103" i="2" s="1"/>
  <c r="G104" i="2"/>
  <c r="U58" i="3" s="1"/>
  <c r="G105" i="2"/>
  <c r="P61" i="3" s="1"/>
  <c r="G106" i="2"/>
  <c r="M83" i="3" s="1"/>
  <c r="G107" i="2"/>
  <c r="N82" i="3" s="1"/>
  <c r="G108" i="2"/>
  <c r="O57" i="3" s="1"/>
  <c r="G109" i="2"/>
  <c r="Q56" i="3" s="1"/>
  <c r="G110" i="2"/>
  <c r="G111" i="2"/>
  <c r="R84" i="3" s="1"/>
  <c r="G112" i="2"/>
  <c r="S71" i="3" s="1"/>
  <c r="G113" i="2"/>
  <c r="T67" i="3" s="1"/>
  <c r="G114" i="2"/>
  <c r="U81" i="3" s="1"/>
  <c r="G115" i="2"/>
  <c r="S64" i="3" s="1"/>
  <c r="G116" i="2"/>
  <c r="H116" i="2" s="1"/>
  <c r="G117" i="2"/>
  <c r="U77" i="3" s="1"/>
  <c r="G118" i="2"/>
  <c r="P59" i="3" s="1"/>
  <c r="G119" i="2"/>
  <c r="M60" i="3" s="1"/>
  <c r="G120" i="2"/>
  <c r="N72" i="3" s="1"/>
  <c r="G121" i="2"/>
  <c r="O79" i="3" s="1"/>
  <c r="G122" i="2"/>
  <c r="Q68" i="3" s="1"/>
  <c r="G123" i="2"/>
  <c r="G124" i="2"/>
  <c r="R55" i="3" s="1"/>
  <c r="G125" i="2"/>
  <c r="S53" i="3" s="1"/>
  <c r="G126" i="2"/>
  <c r="T65" i="3" s="1"/>
  <c r="G127" i="2"/>
  <c r="U73" i="3" s="1"/>
  <c r="G128" i="2"/>
  <c r="S74" i="3" s="1"/>
  <c r="G129" i="2"/>
  <c r="H129" i="2" s="1"/>
  <c r="G130" i="2"/>
  <c r="U76" i="3" s="1"/>
  <c r="G131" i="2"/>
  <c r="P70" i="3" s="1"/>
  <c r="G132" i="2"/>
  <c r="M80" i="3" s="1"/>
  <c r="G133" i="2"/>
  <c r="N62" i="3" s="1"/>
  <c r="G134" i="2"/>
  <c r="O78" i="3" s="1"/>
  <c r="G135" i="2"/>
  <c r="Q66" i="3" s="1"/>
  <c r="G136" i="2"/>
  <c r="G137" i="2"/>
  <c r="R61" i="3" s="1"/>
  <c r="G138" i="2"/>
  <c r="S83" i="3" s="1"/>
  <c r="G139" i="2"/>
  <c r="T82" i="3" s="1"/>
  <c r="G140" i="2"/>
  <c r="U57" i="3" s="1"/>
  <c r="G141" i="2"/>
  <c r="S56" i="3" s="1"/>
  <c r="G142" i="2"/>
  <c r="H142" i="2" s="1"/>
  <c r="G143" i="2"/>
  <c r="U84" i="3" s="1"/>
  <c r="G144" i="2"/>
  <c r="P71" i="3" s="1"/>
  <c r="G145" i="2"/>
  <c r="M67" i="3" s="1"/>
  <c r="G146" i="2"/>
  <c r="N81" i="3" s="1"/>
  <c r="G147" i="2"/>
  <c r="O64" i="3" s="1"/>
  <c r="G148" i="2"/>
  <c r="Q54" i="3" s="1"/>
  <c r="G149" i="2"/>
  <c r="G150" i="2"/>
  <c r="R59" i="3" s="1"/>
  <c r="G151" i="2"/>
  <c r="S60" i="3" s="1"/>
  <c r="G152" i="2"/>
  <c r="T72" i="3" s="1"/>
  <c r="G153" i="2"/>
  <c r="U79" i="3" s="1"/>
  <c r="G154" i="2"/>
  <c r="S68" i="3" s="1"/>
  <c r="G155" i="2"/>
  <c r="H155" i="2" s="1"/>
  <c r="G156" i="2"/>
  <c r="U55" i="3" s="1"/>
  <c r="G157" i="2"/>
  <c r="P53" i="3" s="1"/>
  <c r="G158" i="2"/>
  <c r="M65" i="3" s="1"/>
  <c r="G159" i="2"/>
  <c r="N73" i="3" s="1"/>
  <c r="G160" i="2"/>
  <c r="O74" i="3" s="1"/>
  <c r="G161" i="2"/>
  <c r="Q63" i="3" s="1"/>
  <c r="G162" i="2"/>
  <c r="T76" i="3" s="1"/>
  <c r="G163" i="2"/>
  <c r="R70" i="3" s="1"/>
  <c r="G164" i="2"/>
  <c r="S80" i="3" s="1"/>
  <c r="G165" i="2"/>
  <c r="T62" i="3" s="1"/>
  <c r="G166" i="2"/>
  <c r="U78" i="3" s="1"/>
  <c r="G167" i="2"/>
  <c r="S66" i="3" s="1"/>
  <c r="G168" i="2"/>
  <c r="H168" i="2" s="1"/>
  <c r="G169" i="2"/>
  <c r="U61" i="3" s="1"/>
  <c r="G170" i="2"/>
  <c r="P83" i="3" s="1"/>
  <c r="G171" i="2"/>
  <c r="M82" i="3" s="1"/>
  <c r="G172" i="2"/>
  <c r="N57" i="3" s="1"/>
  <c r="G173" i="2"/>
  <c r="O56" i="3" s="1"/>
  <c r="G174" i="2"/>
  <c r="Q75" i="3" s="1"/>
  <c r="G175" i="2"/>
  <c r="T84" i="3" s="1"/>
  <c r="G176" i="2"/>
  <c r="R71" i="3" s="1"/>
  <c r="G177" i="2"/>
  <c r="S67" i="3" s="1"/>
  <c r="G178" i="2"/>
  <c r="T81" i="3" s="1"/>
  <c r="G179" i="2"/>
  <c r="U64" i="3" s="1"/>
  <c r="G180" i="2"/>
  <c r="S54" i="3" s="1"/>
  <c r="G181" i="2"/>
  <c r="H181" i="2" s="1"/>
  <c r="G182" i="2"/>
  <c r="U59" i="3" s="1"/>
  <c r="G183" i="2"/>
  <c r="P60" i="3" s="1"/>
  <c r="G184" i="2"/>
  <c r="M72" i="3" s="1"/>
  <c r="G185" i="2"/>
  <c r="N79" i="3" s="1"/>
  <c r="G186" i="2"/>
  <c r="O68" i="3" s="1"/>
  <c r="G187" i="2"/>
  <c r="Q69" i="3" s="1"/>
  <c r="G188" i="2"/>
  <c r="T55" i="3" s="1"/>
  <c r="G189" i="2"/>
  <c r="R53" i="3" s="1"/>
  <c r="G190" i="2"/>
  <c r="S65" i="3" s="1"/>
  <c r="G191" i="2"/>
  <c r="T73" i="3" s="1"/>
  <c r="G192" i="2"/>
  <c r="U74" i="3" s="1"/>
  <c r="G193" i="2"/>
  <c r="S63" i="3" s="1"/>
  <c r="G2" i="2"/>
  <c r="K3" i="2" s="1"/>
  <c r="A13" i="3"/>
  <c r="J24" i="3" s="1"/>
  <c r="A14" i="3"/>
  <c r="K33" i="3" s="1"/>
  <c r="A15" i="3"/>
  <c r="A16" i="3"/>
  <c r="A17" i="3"/>
  <c r="A18" i="3"/>
  <c r="A19" i="3"/>
  <c r="A20" i="3"/>
  <c r="B3" i="3"/>
  <c r="C3" i="3"/>
  <c r="D3" i="3"/>
  <c r="C13" i="3" s="1"/>
  <c r="E3" i="3"/>
  <c r="B4" i="3"/>
  <c r="C4" i="3"/>
  <c r="D4" i="3"/>
  <c r="E4" i="3"/>
  <c r="B5" i="3"/>
  <c r="C5" i="3"/>
  <c r="D5" i="3"/>
  <c r="C15" i="3" s="1"/>
  <c r="E5" i="3"/>
  <c r="B6" i="3"/>
  <c r="C6" i="3"/>
  <c r="D6" i="3"/>
  <c r="C16" i="3" s="1"/>
  <c r="E6" i="3"/>
  <c r="B7" i="3"/>
  <c r="C7" i="3"/>
  <c r="D7" i="3"/>
  <c r="E7" i="3"/>
  <c r="B8" i="3"/>
  <c r="C8" i="3"/>
  <c r="D8" i="3"/>
  <c r="E8" i="3"/>
  <c r="B9" i="3"/>
  <c r="C9" i="3"/>
  <c r="D9" i="3"/>
  <c r="C19" i="3" s="1"/>
  <c r="E9" i="3"/>
  <c r="B10" i="3"/>
  <c r="C10" i="3"/>
  <c r="D10" i="3"/>
  <c r="E10" i="3"/>
  <c r="D2" i="3"/>
  <c r="C12" i="3" s="1"/>
  <c r="E2" i="3"/>
  <c r="C2" i="3"/>
  <c r="B2" i="3"/>
  <c r="C27" i="3" l="1"/>
  <c r="H57" i="2"/>
  <c r="C23" i="3"/>
  <c r="C70" i="3" s="1"/>
  <c r="B26" i="3"/>
  <c r="B30" i="3"/>
  <c r="F2" i="3"/>
  <c r="E30" i="3"/>
  <c r="C26" i="3"/>
  <c r="B27" i="3"/>
  <c r="B74" i="3" s="1"/>
  <c r="C29" i="3"/>
  <c r="B31" i="3"/>
  <c r="B78" i="3" s="1"/>
  <c r="T17" i="3"/>
  <c r="E77" i="3"/>
  <c r="C74" i="3"/>
  <c r="C76" i="3"/>
  <c r="B73" i="3"/>
  <c r="B77" i="3"/>
  <c r="C73" i="3"/>
  <c r="F3" i="3"/>
  <c r="M76" i="3"/>
  <c r="B65" i="3"/>
  <c r="D65" i="3" s="1"/>
  <c r="B64" i="3"/>
  <c r="D64" i="3" s="1"/>
  <c r="B58" i="3"/>
  <c r="D58" i="3" s="1"/>
  <c r="B62" i="3"/>
  <c r="D62" i="3" s="1"/>
  <c r="B57" i="3"/>
  <c r="D57" i="3" s="1"/>
  <c r="B59" i="3"/>
  <c r="D59" i="3" s="1"/>
  <c r="B63" i="3"/>
  <c r="D63" i="3" s="1"/>
  <c r="F9" i="3"/>
  <c r="F8" i="3"/>
  <c r="C18" i="3" s="1"/>
  <c r="F4" i="3"/>
  <c r="C14" i="3" s="1"/>
  <c r="T58" i="3"/>
  <c r="Q74" i="3"/>
  <c r="H96" i="2"/>
  <c r="P55" i="3"/>
  <c r="H92" i="2"/>
  <c r="U72" i="3"/>
  <c r="H88" i="2"/>
  <c r="T54" i="3"/>
  <c r="H84" i="2"/>
  <c r="M71" i="3"/>
  <c r="H80" i="2"/>
  <c r="S57" i="3"/>
  <c r="H76" i="2"/>
  <c r="R58" i="3"/>
  <c r="H72" i="2"/>
  <c r="N80" i="3"/>
  <c r="H68" i="2"/>
  <c r="S55" i="3"/>
  <c r="H60" i="2"/>
  <c r="O72" i="3"/>
  <c r="H56" i="2"/>
  <c r="U54" i="3"/>
  <c r="H52" i="2"/>
  <c r="T71" i="3"/>
  <c r="H48" i="2"/>
  <c r="Q57" i="3"/>
  <c r="H44" i="2"/>
  <c r="P58" i="3"/>
  <c r="H40" i="2"/>
  <c r="U80" i="3"/>
  <c r="H36" i="2"/>
  <c r="T74" i="3"/>
  <c r="H32" i="2"/>
  <c r="M55" i="3"/>
  <c r="H28" i="2"/>
  <c r="S72" i="3"/>
  <c r="H24" i="2"/>
  <c r="R54" i="3"/>
  <c r="H20" i="2"/>
  <c r="N71" i="3"/>
  <c r="H16" i="2"/>
  <c r="T57" i="3"/>
  <c r="H12" i="2"/>
  <c r="S58" i="3"/>
  <c r="H8" i="2"/>
  <c r="O80" i="3"/>
  <c r="H4" i="2"/>
  <c r="D23" i="3"/>
  <c r="D70" i="3" s="1"/>
  <c r="C31" i="3"/>
  <c r="C78" i="3" s="1"/>
  <c r="C30" i="3"/>
  <c r="C28" i="3"/>
  <c r="C75" i="3" s="1"/>
  <c r="C25" i="3"/>
  <c r="C72" i="3" s="1"/>
  <c r="C24" i="3"/>
  <c r="C71" i="3" s="1"/>
  <c r="H192" i="2"/>
  <c r="H188" i="2"/>
  <c r="H184" i="2"/>
  <c r="H180" i="2"/>
  <c r="H176" i="2"/>
  <c r="H172" i="2"/>
  <c r="H164" i="2"/>
  <c r="H160" i="2"/>
  <c r="H156" i="2"/>
  <c r="H152" i="2"/>
  <c r="H148" i="2"/>
  <c r="H144" i="2"/>
  <c r="H140" i="2"/>
  <c r="H136" i="2"/>
  <c r="H132" i="2"/>
  <c r="H128" i="2"/>
  <c r="H124" i="2"/>
  <c r="H120" i="2"/>
  <c r="H112" i="2"/>
  <c r="H108" i="2"/>
  <c r="H104" i="2"/>
  <c r="H100" i="2"/>
  <c r="H94" i="2"/>
  <c r="H86" i="2"/>
  <c r="H78" i="2"/>
  <c r="H70" i="2"/>
  <c r="H55" i="2"/>
  <c r="H39" i="2"/>
  <c r="H23" i="2"/>
  <c r="H7" i="2"/>
  <c r="T21" i="3"/>
  <c r="P20" i="3"/>
  <c r="L19" i="3"/>
  <c r="T69" i="3"/>
  <c r="T66" i="3"/>
  <c r="T64" i="3"/>
  <c r="S82" i="3"/>
  <c r="B60" i="3"/>
  <c r="D60" i="3" s="1"/>
  <c r="B29" i="3"/>
  <c r="B28" i="3"/>
  <c r="B25" i="3"/>
  <c r="B24" i="3"/>
  <c r="B71" i="3" s="1"/>
  <c r="H191" i="2"/>
  <c r="H187" i="2"/>
  <c r="H183" i="2"/>
  <c r="H179" i="2"/>
  <c r="H175" i="2"/>
  <c r="H171" i="2"/>
  <c r="H167" i="2"/>
  <c r="H163" i="2"/>
  <c r="H159" i="2"/>
  <c r="H151" i="2"/>
  <c r="H147" i="2"/>
  <c r="H143" i="2"/>
  <c r="H139" i="2"/>
  <c r="H135" i="2"/>
  <c r="H131" i="2"/>
  <c r="H127" i="2"/>
  <c r="H123" i="2"/>
  <c r="H119" i="2"/>
  <c r="H115" i="2"/>
  <c r="H111" i="2"/>
  <c r="H107" i="2"/>
  <c r="H99" i="2"/>
  <c r="H91" i="2"/>
  <c r="H83" i="2"/>
  <c r="H75" i="2"/>
  <c r="H67" i="2"/>
  <c r="H35" i="2"/>
  <c r="H19" i="2"/>
  <c r="H3" i="2"/>
  <c r="Q49" i="3"/>
  <c r="Q35" i="3" s="1"/>
  <c r="M49" i="3"/>
  <c r="I49" i="3"/>
  <c r="N48" i="3"/>
  <c r="N34" i="3" s="1"/>
  <c r="J48" i="3"/>
  <c r="J34" i="3" s="1"/>
  <c r="O47" i="3"/>
  <c r="K47" i="3"/>
  <c r="P46" i="3"/>
  <c r="L46" i="3"/>
  <c r="L32" i="3" s="1"/>
  <c r="Q45" i="3"/>
  <c r="M45" i="3"/>
  <c r="I45" i="3"/>
  <c r="I31" i="3" s="1"/>
  <c r="N44" i="3"/>
  <c r="N30" i="3" s="1"/>
  <c r="J44" i="3"/>
  <c r="O43" i="3"/>
  <c r="K43" i="3"/>
  <c r="K29" i="3" s="1"/>
  <c r="P42" i="3"/>
  <c r="L42" i="3"/>
  <c r="L28" i="3" s="1"/>
  <c r="Q41" i="3"/>
  <c r="M41" i="3"/>
  <c r="M27" i="3" s="1"/>
  <c r="I41" i="3"/>
  <c r="I27" i="3" s="1"/>
  <c r="N40" i="3"/>
  <c r="N26" i="3" s="1"/>
  <c r="J40" i="3"/>
  <c r="O39" i="3"/>
  <c r="K39" i="3"/>
  <c r="K25" i="3" s="1"/>
  <c r="P38" i="3"/>
  <c r="P24" i="3" s="1"/>
  <c r="L38" i="3"/>
  <c r="L24" i="3" s="1"/>
  <c r="I14" i="3"/>
  <c r="M14" i="3"/>
  <c r="Q14" i="3"/>
  <c r="I15" i="3"/>
  <c r="M15" i="3"/>
  <c r="Q15" i="3"/>
  <c r="I16" i="3"/>
  <c r="M16" i="3"/>
  <c r="Q16" i="3"/>
  <c r="I17" i="3"/>
  <c r="M17" i="3"/>
  <c r="Q17" i="3"/>
  <c r="I18" i="3"/>
  <c r="M18" i="3"/>
  <c r="Q18" i="3"/>
  <c r="I19" i="3"/>
  <c r="M19" i="3"/>
  <c r="Q19" i="3"/>
  <c r="I20" i="3"/>
  <c r="M20" i="3"/>
  <c r="Q20" i="3"/>
  <c r="I21" i="3"/>
  <c r="M21" i="3"/>
  <c r="Q21" i="3"/>
  <c r="J13" i="3"/>
  <c r="N13" i="3"/>
  <c r="R13" i="3"/>
  <c r="P49" i="3"/>
  <c r="L49" i="3"/>
  <c r="Q48" i="3"/>
  <c r="M48" i="3"/>
  <c r="M34" i="3" s="1"/>
  <c r="I48" i="3"/>
  <c r="N47" i="3"/>
  <c r="N33" i="3" s="1"/>
  <c r="J47" i="3"/>
  <c r="J33" i="3" s="1"/>
  <c r="O46" i="3"/>
  <c r="O32" i="3" s="1"/>
  <c r="K46" i="3"/>
  <c r="P45" i="3"/>
  <c r="P31" i="3" s="1"/>
  <c r="L45" i="3"/>
  <c r="Q44" i="3"/>
  <c r="M44" i="3"/>
  <c r="I44" i="3"/>
  <c r="N43" i="3"/>
  <c r="N29" i="3" s="1"/>
  <c r="J43" i="3"/>
  <c r="O42" i="3"/>
  <c r="K42" i="3"/>
  <c r="K28" i="3" s="1"/>
  <c r="P41" i="3"/>
  <c r="P27" i="3" s="1"/>
  <c r="L41" i="3"/>
  <c r="Q40" i="3"/>
  <c r="M40" i="3"/>
  <c r="M26" i="3" s="1"/>
  <c r="I40" i="3"/>
  <c r="N39" i="3"/>
  <c r="J39" i="3"/>
  <c r="O38" i="3"/>
  <c r="O24" i="3" s="1"/>
  <c r="K38" i="3"/>
  <c r="J14" i="3"/>
  <c r="N14" i="3"/>
  <c r="R14" i="3"/>
  <c r="J15" i="3"/>
  <c r="N15" i="3"/>
  <c r="R15" i="3"/>
  <c r="J16" i="3"/>
  <c r="N16" i="3"/>
  <c r="R16" i="3"/>
  <c r="J17" i="3"/>
  <c r="N17" i="3"/>
  <c r="R17" i="3"/>
  <c r="J18" i="3"/>
  <c r="N18" i="3"/>
  <c r="R18" i="3"/>
  <c r="J19" i="3"/>
  <c r="N19" i="3"/>
  <c r="R19" i="3"/>
  <c r="J20" i="3"/>
  <c r="N20" i="3"/>
  <c r="R20" i="3"/>
  <c r="J21" i="3"/>
  <c r="N21" i="3"/>
  <c r="R21" i="3"/>
  <c r="K13" i="3"/>
  <c r="O13" i="3"/>
  <c r="S13" i="3"/>
  <c r="O49" i="3"/>
  <c r="O35" i="3" s="1"/>
  <c r="K49" i="3"/>
  <c r="P48" i="3"/>
  <c r="L48" i="3"/>
  <c r="L34" i="3" s="1"/>
  <c r="Q47" i="3"/>
  <c r="Q33" i="3" s="1"/>
  <c r="M47" i="3"/>
  <c r="M33" i="3" s="1"/>
  <c r="I47" i="3"/>
  <c r="N46" i="3"/>
  <c r="J46" i="3"/>
  <c r="O45" i="3"/>
  <c r="K45" i="3"/>
  <c r="P44" i="3"/>
  <c r="P30" i="3" s="1"/>
  <c r="L44" i="3"/>
  <c r="Q43" i="3"/>
  <c r="Q29" i="3" s="1"/>
  <c r="M43" i="3"/>
  <c r="I43" i="3"/>
  <c r="I29" i="3" s="1"/>
  <c r="N42" i="3"/>
  <c r="J42" i="3"/>
  <c r="O41" i="3"/>
  <c r="O27" i="3" s="1"/>
  <c r="K41" i="3"/>
  <c r="K27" i="3" s="1"/>
  <c r="P40" i="3"/>
  <c r="P26" i="3" s="1"/>
  <c r="L40" i="3"/>
  <c r="Q39" i="3"/>
  <c r="M39" i="3"/>
  <c r="M25" i="3" s="1"/>
  <c r="I39" i="3"/>
  <c r="I25" i="3" s="1"/>
  <c r="N38" i="3"/>
  <c r="J38" i="3"/>
  <c r="K14" i="3"/>
  <c r="O14" i="3"/>
  <c r="S14" i="3"/>
  <c r="K15" i="3"/>
  <c r="O15" i="3"/>
  <c r="S15" i="3"/>
  <c r="K16" i="3"/>
  <c r="O16" i="3"/>
  <c r="S16" i="3"/>
  <c r="K17" i="3"/>
  <c r="O17" i="3"/>
  <c r="S17" i="3"/>
  <c r="K18" i="3"/>
  <c r="O18" i="3"/>
  <c r="S18" i="3"/>
  <c r="K19" i="3"/>
  <c r="O19" i="3"/>
  <c r="S19" i="3"/>
  <c r="K20" i="3"/>
  <c r="O20" i="3"/>
  <c r="S20" i="3"/>
  <c r="K21" i="3"/>
  <c r="O21" i="3"/>
  <c r="S21" i="3"/>
  <c r="L13" i="3"/>
  <c r="P13" i="3"/>
  <c r="T13" i="3"/>
  <c r="N49" i="3"/>
  <c r="J49" i="3"/>
  <c r="J35" i="3" s="1"/>
  <c r="O48" i="3"/>
  <c r="K48" i="3"/>
  <c r="K34" i="3" s="1"/>
  <c r="P47" i="3"/>
  <c r="L47" i="3"/>
  <c r="L33" i="3" s="1"/>
  <c r="Q46" i="3"/>
  <c r="M46" i="3"/>
  <c r="M32" i="3" s="1"/>
  <c r="I46" i="3"/>
  <c r="N45" i="3"/>
  <c r="N31" i="3" s="1"/>
  <c r="J45" i="3"/>
  <c r="J31" i="3" s="1"/>
  <c r="O44" i="3"/>
  <c r="O30" i="3" s="1"/>
  <c r="K44" i="3"/>
  <c r="P43" i="3"/>
  <c r="P29" i="3" s="1"/>
  <c r="L43" i="3"/>
  <c r="L29" i="3" s="1"/>
  <c r="Q42" i="3"/>
  <c r="M42" i="3"/>
  <c r="I42" i="3"/>
  <c r="I28" i="3" s="1"/>
  <c r="N41" i="3"/>
  <c r="J41" i="3"/>
  <c r="O40" i="3"/>
  <c r="K40" i="3"/>
  <c r="K26" i="3" s="1"/>
  <c r="P39" i="3"/>
  <c r="P25" i="3" s="1"/>
  <c r="L39" i="3"/>
  <c r="Q38" i="3"/>
  <c r="M38" i="3"/>
  <c r="M24" i="3" s="1"/>
  <c r="L14" i="3"/>
  <c r="P14" i="3"/>
  <c r="T14" i="3"/>
  <c r="L15" i="3"/>
  <c r="P15" i="3"/>
  <c r="T15" i="3"/>
  <c r="L16" i="3"/>
  <c r="P16" i="3"/>
  <c r="T16" i="3"/>
  <c r="I13" i="3"/>
  <c r="P21" i="3"/>
  <c r="L20" i="3"/>
  <c r="T18" i="3"/>
  <c r="P17" i="3"/>
  <c r="T75" i="3"/>
  <c r="P76" i="3"/>
  <c r="H66" i="2"/>
  <c r="U65" i="3"/>
  <c r="H62" i="2"/>
  <c r="T68" i="3"/>
  <c r="H58" i="2"/>
  <c r="M59" i="3"/>
  <c r="H54" i="2"/>
  <c r="S81" i="3"/>
  <c r="H50" i="2"/>
  <c r="R75" i="3"/>
  <c r="H46" i="2"/>
  <c r="N83" i="3"/>
  <c r="H42" i="2"/>
  <c r="S76" i="3"/>
  <c r="H34" i="2"/>
  <c r="O65" i="3"/>
  <c r="H30" i="2"/>
  <c r="U68" i="3"/>
  <c r="H26" i="2"/>
  <c r="T59" i="3"/>
  <c r="H22" i="2"/>
  <c r="Q81" i="3"/>
  <c r="H18" i="2"/>
  <c r="P75" i="3"/>
  <c r="B61" i="3"/>
  <c r="D61" i="3" s="1"/>
  <c r="H14" i="2"/>
  <c r="U83" i="3"/>
  <c r="H10" i="2"/>
  <c r="T78" i="3"/>
  <c r="H6" i="2"/>
  <c r="B23" i="3"/>
  <c r="B70" i="3" s="1"/>
  <c r="E31" i="3"/>
  <c r="E78" i="3" s="1"/>
  <c r="E29" i="3"/>
  <c r="E76" i="3" s="1"/>
  <c r="E28" i="3"/>
  <c r="E75" i="3" s="1"/>
  <c r="E27" i="3"/>
  <c r="E74" i="3" s="1"/>
  <c r="E26" i="3"/>
  <c r="E73" i="3" s="1"/>
  <c r="E25" i="3"/>
  <c r="E72" i="3" s="1"/>
  <c r="E24" i="3"/>
  <c r="E71" i="3" s="1"/>
  <c r="H2" i="2"/>
  <c r="H190" i="2"/>
  <c r="H186" i="2"/>
  <c r="H182" i="2"/>
  <c r="H178" i="2"/>
  <c r="H174" i="2"/>
  <c r="H170" i="2"/>
  <c r="H166" i="2"/>
  <c r="H162" i="2"/>
  <c r="H158" i="2"/>
  <c r="H154" i="2"/>
  <c r="H150" i="2"/>
  <c r="H146" i="2"/>
  <c r="H138" i="2"/>
  <c r="H134" i="2"/>
  <c r="H130" i="2"/>
  <c r="H126" i="2"/>
  <c r="H122" i="2"/>
  <c r="H118" i="2"/>
  <c r="H114" i="2"/>
  <c r="H110" i="2"/>
  <c r="H106" i="2"/>
  <c r="H102" i="2"/>
  <c r="H98" i="2"/>
  <c r="H82" i="2"/>
  <c r="H74" i="2"/>
  <c r="H63" i="2"/>
  <c r="H47" i="2"/>
  <c r="H31" i="2"/>
  <c r="H15" i="2"/>
  <c r="Q13" i="3"/>
  <c r="L21" i="3"/>
  <c r="T19" i="3"/>
  <c r="P18" i="3"/>
  <c r="L17" i="3"/>
  <c r="F10" i="3"/>
  <c r="C20" i="3" s="1"/>
  <c r="F6" i="3"/>
  <c r="F7" i="3"/>
  <c r="C17" i="3" s="1"/>
  <c r="F5" i="3"/>
  <c r="T77" i="3"/>
  <c r="T63" i="3"/>
  <c r="H97" i="2"/>
  <c r="M53" i="3"/>
  <c r="H93" i="2"/>
  <c r="S79" i="3"/>
  <c r="H89" i="2"/>
  <c r="R77" i="3"/>
  <c r="H85" i="2"/>
  <c r="N67" i="3"/>
  <c r="H81" i="2"/>
  <c r="S61" i="3"/>
  <c r="H73" i="2"/>
  <c r="O62" i="3"/>
  <c r="H69" i="2"/>
  <c r="U63" i="3"/>
  <c r="H65" i="2"/>
  <c r="T53" i="3"/>
  <c r="H61" i="2"/>
  <c r="Q79" i="3"/>
  <c r="P77" i="3"/>
  <c r="O93" i="3" s="1"/>
  <c r="H53" i="2"/>
  <c r="U67" i="3"/>
  <c r="H49" i="2"/>
  <c r="T56" i="3"/>
  <c r="H45" i="2"/>
  <c r="M61" i="3"/>
  <c r="H41" i="2"/>
  <c r="S62" i="3"/>
  <c r="H37" i="2"/>
  <c r="R63" i="3"/>
  <c r="M95" i="3" s="1"/>
  <c r="H33" i="2"/>
  <c r="N53" i="3"/>
  <c r="H29" i="2"/>
  <c r="T79" i="3"/>
  <c r="H25" i="2"/>
  <c r="S77" i="3"/>
  <c r="H21" i="2"/>
  <c r="O67" i="3"/>
  <c r="H17" i="2"/>
  <c r="U56" i="3"/>
  <c r="H13" i="2"/>
  <c r="T61" i="3"/>
  <c r="H9" i="2"/>
  <c r="Q62" i="3"/>
  <c r="H5" i="2"/>
  <c r="E23" i="3"/>
  <c r="E70" i="3" s="1"/>
  <c r="D31" i="3"/>
  <c r="D78" i="3" s="1"/>
  <c r="D30" i="3"/>
  <c r="D77" i="3" s="1"/>
  <c r="D29" i="3"/>
  <c r="D76" i="3" s="1"/>
  <c r="D28" i="3"/>
  <c r="D75" i="3" s="1"/>
  <c r="D27" i="3"/>
  <c r="D74" i="3" s="1"/>
  <c r="D26" i="3"/>
  <c r="D73" i="3" s="1"/>
  <c r="D25" i="3"/>
  <c r="D72" i="3" s="1"/>
  <c r="D24" i="3"/>
  <c r="D71" i="3" s="1"/>
  <c r="H193" i="2"/>
  <c r="H189" i="2"/>
  <c r="H185" i="2"/>
  <c r="H177" i="2"/>
  <c r="H173" i="2"/>
  <c r="H169" i="2"/>
  <c r="H165" i="2"/>
  <c r="H161" i="2"/>
  <c r="H157" i="2"/>
  <c r="H153" i="2"/>
  <c r="H149" i="2"/>
  <c r="H145" i="2"/>
  <c r="H141" i="2"/>
  <c r="H137" i="2"/>
  <c r="H133" i="2"/>
  <c r="H125" i="2"/>
  <c r="H121" i="2"/>
  <c r="H117" i="2"/>
  <c r="H113" i="2"/>
  <c r="H109" i="2"/>
  <c r="H105" i="2"/>
  <c r="H101" i="2"/>
  <c r="H95" i="2"/>
  <c r="H87" i="2"/>
  <c r="H79" i="2"/>
  <c r="H71" i="2"/>
  <c r="H59" i="2"/>
  <c r="H43" i="2"/>
  <c r="H27" i="2"/>
  <c r="H11" i="2"/>
  <c r="M13" i="3"/>
  <c r="T20" i="3"/>
  <c r="P19" i="3"/>
  <c r="L18" i="3"/>
  <c r="J27" i="3"/>
  <c r="J30" i="3"/>
  <c r="J29" i="3"/>
  <c r="J26" i="3"/>
  <c r="J32" i="3"/>
  <c r="J28" i="3"/>
  <c r="J25" i="3"/>
  <c r="M28" i="3"/>
  <c r="P28" i="3"/>
  <c r="P33" i="3"/>
  <c r="Q24" i="3"/>
  <c r="Q26" i="3"/>
  <c r="Q32" i="3"/>
  <c r="Q30" i="3"/>
  <c r="Q28" i="3"/>
  <c r="Q27" i="3"/>
  <c r="Q25" i="3"/>
  <c r="Q34" i="3"/>
  <c r="Q31" i="3"/>
  <c r="P34" i="3"/>
  <c r="P35" i="3"/>
  <c r="P32" i="3"/>
  <c r="I35" i="3"/>
  <c r="I34" i="3"/>
  <c r="I33" i="3"/>
  <c r="I32" i="3"/>
  <c r="I30" i="3"/>
  <c r="I26" i="3"/>
  <c r="O31" i="3"/>
  <c r="O29" i="3"/>
  <c r="O26" i="3"/>
  <c r="O28" i="3"/>
  <c r="O25" i="3"/>
  <c r="O34" i="3"/>
  <c r="O33" i="3"/>
  <c r="N24" i="3"/>
  <c r="N32" i="3"/>
  <c r="N27" i="3"/>
  <c r="N25" i="3"/>
  <c r="N28" i="3"/>
  <c r="N35" i="3"/>
  <c r="M29" i="3"/>
  <c r="M30" i="3"/>
  <c r="M35" i="3"/>
  <c r="M31" i="3"/>
  <c r="L35" i="3"/>
  <c r="L31" i="3"/>
  <c r="L30" i="3"/>
  <c r="L27" i="3"/>
  <c r="L26" i="3"/>
  <c r="L25" i="3"/>
  <c r="K24" i="3"/>
  <c r="K32" i="3"/>
  <c r="K30" i="3"/>
  <c r="K35" i="3"/>
  <c r="K31" i="3"/>
  <c r="N96" i="3" l="1"/>
  <c r="N95" i="3"/>
  <c r="N93" i="3"/>
  <c r="R20" i="4" s="1"/>
  <c r="O92" i="3"/>
  <c r="M94" i="3"/>
  <c r="N90" i="3"/>
  <c r="B67" i="3"/>
  <c r="C67" i="3" s="1"/>
  <c r="M96" i="3"/>
  <c r="N92" i="3"/>
  <c r="F28" i="3"/>
  <c r="B75" i="3"/>
  <c r="F27" i="3"/>
  <c r="M92" i="3"/>
  <c r="O95" i="3"/>
  <c r="R21" i="4" s="1"/>
  <c r="F23" i="3"/>
  <c r="F29" i="3"/>
  <c r="B76" i="3"/>
  <c r="D79" i="3"/>
  <c r="B83" i="3" s="1"/>
  <c r="B87" i="3" s="1"/>
  <c r="N94" i="3"/>
  <c r="O91" i="3"/>
  <c r="N91" i="3"/>
  <c r="M91" i="3"/>
  <c r="O97" i="3"/>
  <c r="N97" i="3"/>
  <c r="M97" i="3"/>
  <c r="B46" i="3"/>
  <c r="D46" i="3" s="1"/>
  <c r="E46" i="3" s="1"/>
  <c r="B50" i="3"/>
  <c r="D50" i="3" s="1"/>
  <c r="E50" i="3" s="1"/>
  <c r="I5" i="3"/>
  <c r="J5" i="3" s="1"/>
  <c r="K5" i="3" s="1"/>
  <c r="I9" i="3"/>
  <c r="J9" i="3" s="1"/>
  <c r="K9" i="3" s="1"/>
  <c r="B47" i="3"/>
  <c r="D47" i="3" s="1"/>
  <c r="B51" i="3"/>
  <c r="D51" i="3" s="1"/>
  <c r="E51" i="3" s="1"/>
  <c r="I6" i="3"/>
  <c r="J6" i="3" s="1"/>
  <c r="K6" i="3" s="1"/>
  <c r="I10" i="3"/>
  <c r="J10" i="3" s="1"/>
  <c r="K10" i="3" s="1"/>
  <c r="B48" i="3"/>
  <c r="D48" i="3" s="1"/>
  <c r="E48" i="3" s="1"/>
  <c r="B52" i="3"/>
  <c r="D52" i="3" s="1"/>
  <c r="E52" i="3" s="1"/>
  <c r="I3" i="3"/>
  <c r="J3" i="3" s="1"/>
  <c r="K3" i="3" s="1"/>
  <c r="I7" i="3"/>
  <c r="J7" i="3" s="1"/>
  <c r="K7" i="3" s="1"/>
  <c r="I2" i="3"/>
  <c r="J2" i="3" s="1"/>
  <c r="K2" i="3" s="1"/>
  <c r="B45" i="3"/>
  <c r="D45" i="3" s="1"/>
  <c r="E45" i="3" s="1"/>
  <c r="B49" i="3"/>
  <c r="D49" i="3" s="1"/>
  <c r="B44" i="3"/>
  <c r="D44" i="3" s="1"/>
  <c r="E44" i="3" s="1"/>
  <c r="I4" i="3"/>
  <c r="J4" i="3" s="1"/>
  <c r="K4" i="3" s="1"/>
  <c r="I8" i="3"/>
  <c r="J8" i="3" s="1"/>
  <c r="K8" i="3" s="1"/>
  <c r="O96" i="3"/>
  <c r="M93" i="3"/>
  <c r="F24" i="3"/>
  <c r="F71" i="3" s="1"/>
  <c r="O94" i="3"/>
  <c r="F26" i="3"/>
  <c r="F31" i="3"/>
  <c r="E79" i="3"/>
  <c r="B84" i="3" s="1"/>
  <c r="F25" i="3"/>
  <c r="B72" i="3"/>
  <c r="F30" i="3"/>
  <c r="C77" i="3"/>
  <c r="C79" i="3" s="1"/>
  <c r="B82" i="3" s="1"/>
  <c r="M98" i="3"/>
  <c r="N98" i="3"/>
  <c r="O98" i="3"/>
  <c r="E47" i="3" l="1"/>
  <c r="A54" i="3"/>
  <c r="B54" i="3" s="1"/>
  <c r="B79" i="3"/>
  <c r="B81" i="3" s="1"/>
  <c r="B37" i="3"/>
  <c r="F74" i="3"/>
  <c r="E49" i="3"/>
  <c r="B39" i="3"/>
  <c r="F76" i="3"/>
  <c r="B35" i="3"/>
  <c r="F72" i="3"/>
  <c r="B41" i="3"/>
  <c r="F78" i="3"/>
  <c r="B34" i="3"/>
  <c r="B33" i="3"/>
  <c r="F70" i="3"/>
  <c r="B40" i="3"/>
  <c r="F77" i="3"/>
  <c r="B36" i="3"/>
  <c r="F73" i="3"/>
  <c r="B38" i="3"/>
  <c r="F75" i="3"/>
  <c r="F79" i="3" l="1"/>
  <c r="B85" i="3" s="1"/>
</calcChain>
</file>

<file path=xl/sharedStrings.xml><?xml version="1.0" encoding="utf-8"?>
<sst xmlns="http://schemas.openxmlformats.org/spreadsheetml/2006/main" count="954" uniqueCount="69">
  <si>
    <t>Q1</t>
  </si>
  <si>
    <t>Q2</t>
  </si>
  <si>
    <t>Q3</t>
  </si>
  <si>
    <t>Q4</t>
  </si>
  <si>
    <t>Region</t>
  </si>
  <si>
    <t>Month</t>
  </si>
  <si>
    <t>Budget</t>
  </si>
  <si>
    <t>Sales Mth</t>
  </si>
  <si>
    <t>England</t>
  </si>
  <si>
    <t>Germany</t>
  </si>
  <si>
    <t>France</t>
  </si>
  <si>
    <t>Spain</t>
  </si>
  <si>
    <t>Italy</t>
  </si>
  <si>
    <t>Sweeden</t>
  </si>
  <si>
    <t>Switzerland</t>
  </si>
  <si>
    <t>Greece</t>
  </si>
  <si>
    <t>Norway</t>
  </si>
  <si>
    <t>Pin Rouge</t>
  </si>
  <si>
    <t>Keepers Court</t>
  </si>
  <si>
    <t>Ten Aces</t>
  </si>
  <si>
    <t>Disco Bling</t>
  </si>
  <si>
    <t>Ringmeister</t>
  </si>
  <si>
    <t>Guest Wing</t>
  </si>
  <si>
    <t>Brandy Lane</t>
  </si>
  <si>
    <t>Dempsey</t>
  </si>
  <si>
    <t>Trustee Brown</t>
  </si>
  <si>
    <t>The Corporation</t>
  </si>
  <si>
    <t>Born To Excel</t>
  </si>
  <si>
    <t>Beltane</t>
  </si>
  <si>
    <t>My Bonny Lad</t>
  </si>
  <si>
    <t>Ultimate Fighter</t>
  </si>
  <si>
    <t>Lets Lighten Up</t>
  </si>
  <si>
    <t>Hey Blondie</t>
  </si>
  <si>
    <t>The Blues</t>
  </si>
  <si>
    <t>Festival Star</t>
  </si>
  <si>
    <t>Arctic Ocean</t>
  </si>
  <si>
    <t>Redhage</t>
  </si>
  <si>
    <t>Catlantic</t>
  </si>
  <si>
    <t>Coolism</t>
  </si>
  <si>
    <t>Love You Like That</t>
  </si>
  <si>
    <t>Teen Idol</t>
  </si>
  <si>
    <t>Honest Lies</t>
  </si>
  <si>
    <t>Kalahaar</t>
  </si>
  <si>
    <t>Babieca Noire</t>
  </si>
  <si>
    <t>Acorns</t>
  </si>
  <si>
    <t>Geiger Rio</t>
  </si>
  <si>
    <t>Megems Boy</t>
  </si>
  <si>
    <t>Metal Talk</t>
  </si>
  <si>
    <t>Even Astar</t>
  </si>
  <si>
    <t>Clients</t>
  </si>
  <si>
    <t>Quarter</t>
  </si>
  <si>
    <t>SALES</t>
  </si>
  <si>
    <t>All</t>
  </si>
  <si>
    <t>CAPSTONE PROJECT</t>
  </si>
  <si>
    <t>Profit</t>
  </si>
  <si>
    <t>PROFIT</t>
  </si>
  <si>
    <t>QUARTERLY REPORT</t>
  </si>
  <si>
    <t>LOSS</t>
  </si>
  <si>
    <t>REGION WISE REPORT</t>
  </si>
  <si>
    <t xml:space="preserve">Percent profit </t>
  </si>
  <si>
    <t>Profit sum</t>
  </si>
  <si>
    <t>Profit %</t>
  </si>
  <si>
    <t>Top 3 Employees of the Region</t>
  </si>
  <si>
    <t xml:space="preserve">1st </t>
  </si>
  <si>
    <t>2nd</t>
  </si>
  <si>
    <t>3rd</t>
  </si>
  <si>
    <t>ALL</t>
  </si>
  <si>
    <t>After making cells select format control which will give a link but before that you mention Q1,Q2 and all select its range in input range and in link select any other cell where you want to print it's result. Select the table of region and update it's 3rd value of vlookup by table where link is provided +1 then make table by selecting that region . At the end right click on table where values are pointed on format axis</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</si>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</sst>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_-* #,##0_-;\-* #,##0_-;_-* &quot;-&quot;??_-;_-@_-"/>
    <numFmt numFmtId="166" formatCode="0.0"/>
  </numFmts>
  <fonts count="18"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0"/>
      <name val="Calibri"/>
      <family val="2"/>
      <scheme val="minor"/>
    </font>
    <font>
      <sz val="11"/>
      <color theme="0"/>
      <name val="Calibri"/>
      <family val="2"/>
      <scheme val="minor"/>
    </font>
    <font>
      <sz val="16"/>
      <name val="Calibri"/>
      <family val="2"/>
      <scheme val="minor"/>
    </font>
    <font>
      <b/>
      <sz val="10"/>
      <color theme="0"/>
      <name val="Calibri"/>
      <family val="2"/>
      <scheme val="minor"/>
    </font>
    <font>
      <sz val="10"/>
      <color theme="0"/>
      <name val="Calibri"/>
      <family val="2"/>
      <scheme val="minor"/>
    </font>
    <font>
      <sz val="11"/>
      <name val="Calibri"/>
      <family val="2"/>
      <scheme val="minor"/>
    </font>
    <font>
      <b/>
      <sz val="11"/>
      <name val="Calibri"/>
      <family val="2"/>
      <scheme val="minor"/>
    </font>
    <font>
      <b/>
      <sz val="11"/>
      <color theme="1"/>
      <name val="Calibri"/>
      <family val="2"/>
      <scheme val="minor"/>
    </font>
    <font>
      <sz val="20"/>
      <name val="Cambria"/>
      <family val="1"/>
      <scheme val="major"/>
    </font>
    <font>
      <sz val="14"/>
      <name val="Calibri"/>
      <family val="2"/>
      <scheme val="minor"/>
    </font>
    <font>
      <b/>
      <sz val="16"/>
      <name val="Calibri"/>
      <family val="2"/>
      <scheme val="minor"/>
    </font>
    <font>
      <b/>
      <sz val="12"/>
      <name val="Calibri"/>
      <family val="2"/>
      <scheme val="minor"/>
    </font>
    <font>
      <sz val="11"/>
      <name val="Playbill"/>
      <family val="5"/>
    </font>
    <font>
      <sz val="8"/>
      <name val="Segoe UI"/>
      <family val="2"/>
    </font>
  </fonts>
  <fills count="22">
    <fill>
      <patternFill patternType="none"/>
    </fill>
    <fill>
      <patternFill patternType="gray125"/>
    </fill>
    <fill>
      <patternFill patternType="solid">
        <fgColor theme="6"/>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0"/>
        <bgColor theme="4" tint="0.79998168889431442"/>
      </patternFill>
    </fill>
    <fill>
      <patternFill patternType="solid">
        <fgColor theme="3"/>
        <bgColor indexed="64"/>
      </patternFill>
    </fill>
    <fill>
      <patternFill patternType="solid">
        <fgColor theme="4"/>
        <bgColor indexed="64"/>
      </patternFill>
    </fill>
    <fill>
      <patternFill patternType="solid">
        <fgColor theme="5"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9"/>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3" tint="0.59999389629810485"/>
        <bgColor theme="4" tint="0.79998168889431442"/>
      </patternFill>
    </fill>
    <fill>
      <patternFill patternType="solid">
        <fgColor theme="0"/>
        <bgColor indexed="64"/>
      </patternFill>
    </fill>
    <fill>
      <patternFill patternType="solid">
        <fgColor theme="0" tint="-0.249977111117893"/>
        <bgColor indexed="64"/>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0" fontId="2" fillId="0" borderId="0"/>
  </cellStyleXfs>
  <cellXfs count="58">
    <xf numFmtId="0" fontId="0" fillId="0" borderId="0" xfId="0"/>
    <xf numFmtId="0" fontId="3" fillId="0" borderId="0" xfId="0" applyFont="1"/>
    <xf numFmtId="165" fontId="3" fillId="0" borderId="0" xfId="1" applyNumberFormat="1" applyFont="1"/>
    <xf numFmtId="166" fontId="4" fillId="0" borderId="0" xfId="1" applyNumberFormat="1" applyFont="1"/>
    <xf numFmtId="166" fontId="4" fillId="0" borderId="0" xfId="1" applyNumberFormat="1" applyFont="1" applyFill="1"/>
    <xf numFmtId="166" fontId="4" fillId="0" borderId="0" xfId="1" applyNumberFormat="1" applyFont="1" applyBorder="1"/>
    <xf numFmtId="0" fontId="4" fillId="0" borderId="0" xfId="0" applyFont="1"/>
    <xf numFmtId="17" fontId="4" fillId="0" borderId="0" xfId="0" applyNumberFormat="1" applyFont="1"/>
    <xf numFmtId="0" fontId="4" fillId="0" borderId="0" xfId="0" applyFont="1" applyAlignment="1">
      <alignment horizontal="left"/>
    </xf>
    <xf numFmtId="0" fontId="4" fillId="0" borderId="0" xfId="0" applyFont="1" applyFill="1"/>
    <xf numFmtId="3" fontId="4" fillId="0" borderId="0" xfId="0" applyNumberFormat="1" applyFont="1"/>
    <xf numFmtId="166" fontId="4" fillId="0" borderId="0" xfId="1" applyNumberFormat="1" applyFont="1" applyFill="1" applyBorder="1"/>
    <xf numFmtId="0" fontId="0" fillId="4" borderId="0" xfId="0" applyFill="1"/>
    <xf numFmtId="0" fontId="0" fillId="5" borderId="0" xfId="0" applyFill="1" applyAlignment="1"/>
    <xf numFmtId="0" fontId="9" fillId="0" borderId="0" xfId="0" applyFont="1"/>
    <xf numFmtId="0" fontId="9" fillId="0" borderId="0" xfId="0" applyFont="1" applyAlignment="1">
      <alignment horizontal="left"/>
    </xf>
    <xf numFmtId="10" fontId="9" fillId="0" borderId="0" xfId="0" applyNumberFormat="1" applyFont="1"/>
    <xf numFmtId="0" fontId="9" fillId="0" borderId="0" xfId="0" applyNumberFormat="1" applyFont="1"/>
    <xf numFmtId="17" fontId="10" fillId="7" borderId="1" xfId="0" applyNumberFormat="1" applyFont="1" applyFill="1" applyBorder="1"/>
    <xf numFmtId="17" fontId="9" fillId="0" borderId="0" xfId="0" applyNumberFormat="1" applyFont="1"/>
    <xf numFmtId="0" fontId="11" fillId="15" borderId="1" xfId="0" applyFont="1" applyFill="1" applyBorder="1"/>
    <xf numFmtId="0" fontId="0" fillId="0" borderId="0" xfId="0" applyAlignment="1">
      <alignment horizontal="left"/>
    </xf>
    <xf numFmtId="10" fontId="0" fillId="0" borderId="0" xfId="0" applyNumberFormat="1"/>
    <xf numFmtId="0" fontId="9" fillId="4" borderId="0" xfId="0" applyFont="1" applyFill="1"/>
    <xf numFmtId="0" fontId="9" fillId="5" borderId="0" xfId="0" applyFont="1" applyFill="1"/>
    <xf numFmtId="0" fontId="9" fillId="3" borderId="0" xfId="0" applyFont="1" applyFill="1"/>
    <xf numFmtId="0" fontId="9" fillId="9" borderId="0" xfId="0" applyFont="1" applyFill="1" applyAlignment="1">
      <alignment horizontal="left"/>
    </xf>
    <xf numFmtId="0" fontId="9" fillId="10" borderId="0" xfId="0" applyFont="1" applyFill="1" applyAlignment="1">
      <alignment horizontal="left"/>
    </xf>
    <xf numFmtId="0" fontId="9" fillId="3" borderId="0" xfId="0" applyFont="1" applyFill="1" applyAlignment="1">
      <alignment horizontal="center"/>
    </xf>
    <xf numFmtId="0" fontId="9" fillId="2" borderId="0" xfId="0" applyFont="1" applyFill="1" applyAlignment="1">
      <alignment horizontal="left"/>
    </xf>
    <xf numFmtId="0" fontId="9" fillId="11" borderId="0" xfId="0" applyFont="1" applyFill="1" applyAlignment="1">
      <alignment horizontal="left"/>
    </xf>
    <xf numFmtId="0" fontId="9" fillId="12" borderId="0" xfId="0" applyFont="1" applyFill="1" applyAlignment="1">
      <alignment horizontal="left"/>
    </xf>
    <xf numFmtId="0" fontId="9" fillId="13" borderId="0" xfId="0" applyFont="1" applyFill="1" applyAlignment="1">
      <alignment horizontal="left"/>
    </xf>
    <xf numFmtId="0" fontId="9" fillId="8" borderId="0" xfId="0" applyFont="1" applyFill="1" applyAlignment="1">
      <alignment horizontal="left"/>
    </xf>
    <xf numFmtId="0" fontId="9" fillId="6" borderId="0" xfId="0" applyFont="1" applyFill="1" applyAlignment="1">
      <alignment horizontal="left"/>
    </xf>
    <xf numFmtId="0" fontId="9" fillId="14" borderId="0" xfId="0" applyFont="1" applyFill="1" applyAlignment="1">
      <alignment horizontal="left"/>
    </xf>
    <xf numFmtId="0" fontId="13" fillId="4" borderId="0" xfId="0" applyFont="1" applyFill="1" applyAlignment="1">
      <alignment vertical="center"/>
    </xf>
    <xf numFmtId="0" fontId="14" fillId="4" borderId="0" xfId="0" applyFont="1" applyFill="1" applyAlignment="1"/>
    <xf numFmtId="0" fontId="10" fillId="4" borderId="0" xfId="0" applyFont="1" applyFill="1" applyBorder="1" applyAlignment="1">
      <alignment horizontal="center"/>
    </xf>
    <xf numFmtId="0" fontId="16" fillId="4" borderId="0" xfId="0" applyFont="1" applyFill="1"/>
    <xf numFmtId="0" fontId="9" fillId="17" borderId="0" xfId="0" applyFont="1" applyFill="1"/>
    <xf numFmtId="0" fontId="9" fillId="17" borderId="0" xfId="0" applyFont="1" applyFill="1" applyAlignment="1">
      <alignment horizontal="left"/>
    </xf>
    <xf numFmtId="0" fontId="9" fillId="17" borderId="0" xfId="0" applyNumberFormat="1" applyFont="1" applyFill="1"/>
    <xf numFmtId="0" fontId="9" fillId="18" borderId="0" xfId="0" applyFont="1" applyFill="1"/>
    <xf numFmtId="0" fontId="9" fillId="18" borderId="0" xfId="0" applyFont="1" applyFill="1" applyAlignment="1">
      <alignment horizontal="left"/>
    </xf>
    <xf numFmtId="0" fontId="5" fillId="16" borderId="0" xfId="0" applyFont="1" applyFill="1"/>
    <xf numFmtId="10" fontId="9" fillId="17" borderId="0" xfId="0" applyNumberFormat="1" applyFont="1" applyFill="1"/>
    <xf numFmtId="17" fontId="10" fillId="19" borderId="1" xfId="0" applyNumberFormat="1" applyFont="1" applyFill="1" applyBorder="1"/>
    <xf numFmtId="0" fontId="4" fillId="21" borderId="0" xfId="0" applyFont="1" applyFill="1"/>
    <xf numFmtId="0" fontId="8" fillId="21" borderId="0" xfId="0" applyFont="1" applyFill="1"/>
    <xf numFmtId="0" fontId="8" fillId="20" borderId="0" xfId="0" applyFont="1" applyFill="1"/>
    <xf numFmtId="165" fontId="7" fillId="21" borderId="0" xfId="1" applyNumberFormat="1" applyFont="1" applyFill="1"/>
    <xf numFmtId="166" fontId="8" fillId="21" borderId="0" xfId="0" applyNumberFormat="1" applyFont="1" applyFill="1"/>
    <xf numFmtId="0" fontId="15" fillId="4" borderId="0" xfId="0" applyFont="1" applyFill="1" applyBorder="1" applyAlignment="1">
      <alignment horizontal="center"/>
    </xf>
    <xf numFmtId="0" fontId="13" fillId="4" borderId="0" xfId="0" applyFont="1" applyFill="1" applyAlignment="1">
      <alignment horizontal="center" vertical="center"/>
    </xf>
    <xf numFmtId="0" fontId="12" fillId="5" borderId="0" xfId="0" applyFont="1" applyFill="1" applyAlignment="1">
      <alignment horizontal="center" vertical="center"/>
    </xf>
    <xf numFmtId="0" fontId="6" fillId="3" borderId="0" xfId="0" applyFont="1" applyFill="1" applyAlignment="1">
      <alignment horizontal="center"/>
    </xf>
    <xf numFmtId="0" fontId="6" fillId="4" borderId="0" xfId="0" applyFont="1" applyFill="1" applyAlignment="1">
      <alignment horizontal="center"/>
    </xf>
  </cellXfs>
  <cellStyles count="3">
    <cellStyle name="Comma" xfId="1" builtinId="3"/>
    <cellStyle name="Normal" xfId="0" builtinId="0"/>
    <cellStyle name="Normal - Style1" xfId="2"/>
  </cellStyles>
  <dxfs count="0"/>
  <tableStyles count="0" defaultTableStyle="TableStyleMedium2" defaultPivotStyle="PivotStyleLight16"/>
  <colors>
    <mruColors>
      <color rgb="FFFFCC66"/>
      <color rgb="FF55C7D3"/>
      <color rgb="FFDFF1B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SALES</a:t>
            </a:r>
          </a:p>
        </c:rich>
      </c:tx>
      <c:layout>
        <c:manualLayout>
          <c:xMode val="edge"/>
          <c:yMode val="edge"/>
          <c:x val="0.45741142443962401"/>
          <c:y val="9.2627168758853563E-3"/>
        </c:manualLayout>
      </c:layout>
      <c:overlay val="0"/>
      <c:spPr>
        <a:noFill/>
        <a:ln>
          <a:noFill/>
        </a:ln>
        <a:effectLst/>
      </c:spPr>
    </c:title>
    <c:autoTitleDeleted val="0"/>
    <c:plotArea>
      <c:layout>
        <c:manualLayout>
          <c:layoutTarget val="inner"/>
          <c:xMode val="edge"/>
          <c:yMode val="edge"/>
          <c:x val="8.8544246502809759E-2"/>
          <c:y val="0.14885888198683889"/>
          <c:w val="0.85071822638222283"/>
          <c:h val="0.54489763935702762"/>
        </c:manualLayout>
      </c:layout>
      <c:barChart>
        <c:barDir val="col"/>
        <c:grouping val="stacked"/>
        <c:varyColors val="0"/>
        <c:ser>
          <c:idx val="0"/>
          <c:order val="1"/>
          <c:tx>
            <c:v>SALES</c:v>
          </c:tx>
          <c:spPr>
            <a:solidFill>
              <a:schemeClr val="accent6">
                <a:lumMod val="75000"/>
              </a:schemeClr>
            </a:solidFill>
            <a:ln>
              <a:noFill/>
            </a:ln>
            <a:effectLst/>
          </c:spPr>
          <c:invertIfNegative val="0"/>
          <c:cat>
            <c:strRef>
              <c:f>Calc!$A$33:$A$41</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Calc!$C$12:$C$20</c:f>
              <c:numCache>
                <c:formatCode>General</c:formatCode>
                <c:ptCount val="9"/>
                <c:pt idx="0">
                  <c:v>2317.816843023325</c:v>
                </c:pt>
                <c:pt idx="1">
                  <c:v>1661.0362739423979</c:v>
                </c:pt>
                <c:pt idx="2">
                  <c:v>1753.9095109989698</c:v>
                </c:pt>
                <c:pt idx="3">
                  <c:v>1555.8686226101863</c:v>
                </c:pt>
                <c:pt idx="4">
                  <c:v>2338.7251686889495</c:v>
                </c:pt>
                <c:pt idx="5">
                  <c:v>672.82616609293189</c:v>
                </c:pt>
                <c:pt idx="6">
                  <c:v>1891.2608357845904</c:v>
                </c:pt>
                <c:pt idx="7">
                  <c:v>1247.8084264349998</c:v>
                </c:pt>
                <c:pt idx="8">
                  <c:v>1977.662394726852</c:v>
                </c:pt>
              </c:numCache>
            </c:numRef>
          </c:val>
          <c:extLst>
            <c:ext xmlns:c16="http://schemas.microsoft.com/office/drawing/2014/chart" uri="{C3380CC4-5D6E-409C-BE32-E72D297353CC}">
              <c16:uniqueId val="{00000000-1C11-496D-A23F-E5DCC5D397DF}"/>
            </c:ext>
          </c:extLst>
        </c:ser>
        <c:dLbls>
          <c:showLegendKey val="0"/>
          <c:showVal val="0"/>
          <c:showCatName val="0"/>
          <c:showSerName val="0"/>
          <c:showPercent val="0"/>
          <c:showBubbleSize val="0"/>
        </c:dLbls>
        <c:gapWidth val="219"/>
        <c:overlap val="100"/>
        <c:axId val="72698880"/>
        <c:axId val="72712960"/>
        <c:extLst>
          <c:ext xmlns:c15="http://schemas.microsoft.com/office/drawing/2012/chart" uri="{02D57815-91ED-43cb-92C2-25804820EDAC}">
            <c15:filteredBarSeries>
              <c15:ser>
                <c:idx val="1"/>
                <c:order val="0"/>
                <c:tx>
                  <c:v>PROFIT</c:v>
                </c:tx>
                <c:spPr>
                  <a:noFill/>
                  <a:ln>
                    <a:noFill/>
                  </a:ln>
                  <a:effectLst/>
                </c:spPr>
                <c:invertIfNegative val="1"/>
                <c:cat>
                  <c:strRef>
                    <c:extLst>
                      <c:ext uri="{02D57815-91ED-43cb-92C2-25804820EDAC}">
                        <c15:formulaRef>
                          <c15:sqref>Calc!$A$33:$A$41</c15:sqref>
                        </c15:formulaRef>
                      </c:ext>
                    </c:extLst>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extLst>
                      <c:ext uri="{02D57815-91ED-43cb-92C2-25804820EDAC}">
                        <c15:formulaRef>
                          <c15:sqref>Calc!$B$33:$B$41</c15:sqref>
                        </c15:formulaRef>
                      </c:ext>
                    </c:extLst>
                    <c:numCache>
                      <c:formatCode>General</c:formatCode>
                      <c:ptCount val="9"/>
                      <c:pt idx="0">
                        <c:v>40.026356111916542</c:v>
                      </c:pt>
                      <c:pt idx="1">
                        <c:v>19.022340533929786</c:v>
                      </c:pt>
                      <c:pt idx="2">
                        <c:v>24.708783340601073</c:v>
                      </c:pt>
                      <c:pt idx="3">
                        <c:v>27.578129340339757</c:v>
                      </c:pt>
                      <c:pt idx="4">
                        <c:v>45.893929479842605</c:v>
                      </c:pt>
                      <c:pt idx="5">
                        <c:v>7.2936148901352835</c:v>
                      </c:pt>
                      <c:pt idx="6">
                        <c:v>-5.1371262651301848</c:v>
                      </c:pt>
                      <c:pt idx="7">
                        <c:v>22.807370206734383</c:v>
                      </c:pt>
                      <c:pt idx="8">
                        <c:v>3.9361783780988153</c:v>
                      </c:pt>
                    </c:numCache>
                  </c:numRef>
                </c:val>
                <c:extLst>
                  <c:ext xmlns:c16="http://schemas.microsoft.com/office/drawing/2014/chart" uri="{C3380CC4-5D6E-409C-BE32-E72D297353CC}">
                    <c16:uniqueId val="{00000001-1C11-496D-A23F-E5DCC5D397DF}"/>
                  </c:ext>
                </c:extLst>
              </c15:ser>
            </c15:filteredBarSeries>
          </c:ext>
        </c:extLst>
      </c:barChart>
      <c:catAx>
        <c:axId val="726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12960"/>
        <c:crosses val="autoZero"/>
        <c:auto val="1"/>
        <c:lblAlgn val="ctr"/>
        <c:lblOffset val="100"/>
        <c:noMultiLvlLbl val="0"/>
      </c:catAx>
      <c:valAx>
        <c:axId val="72712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THOUSANDS</a:t>
                </a:r>
              </a:p>
            </c:rich>
          </c:tx>
          <c:layout>
            <c:manualLayout>
              <c:xMode val="edge"/>
              <c:yMode val="edge"/>
              <c:x val="0"/>
              <c:y val="8.6219604318969009E-2"/>
            </c:manualLayout>
          </c:layout>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8880"/>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c:v>
          </c:tx>
          <c:spPr>
            <a:ln w="28575" cap="rnd">
              <a:solidFill>
                <a:schemeClr val="accent6">
                  <a:lumMod val="75000"/>
                </a:schemeClr>
              </a:solidFill>
              <a:round/>
            </a:ln>
            <a:effectLst/>
          </c:spPr>
          <c:marker>
            <c:symbol val="none"/>
          </c:marker>
          <c:cat>
            <c:strRef>
              <c:f>Calc!$A$33:$A$41</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Calc!$B$33:$B$41</c:f>
              <c:numCache>
                <c:formatCode>General</c:formatCode>
                <c:ptCount val="9"/>
                <c:pt idx="0">
                  <c:v>40.026356111916542</c:v>
                </c:pt>
                <c:pt idx="1">
                  <c:v>19.022340533929786</c:v>
                </c:pt>
                <c:pt idx="2">
                  <c:v>24.708783340601073</c:v>
                </c:pt>
                <c:pt idx="3">
                  <c:v>27.578129340339757</c:v>
                </c:pt>
                <c:pt idx="4">
                  <c:v>45.893929479842605</c:v>
                </c:pt>
                <c:pt idx="5">
                  <c:v>7.2936148901352835</c:v>
                </c:pt>
                <c:pt idx="6">
                  <c:v>-5.1371262651301848</c:v>
                </c:pt>
                <c:pt idx="7">
                  <c:v>22.807370206734383</c:v>
                </c:pt>
                <c:pt idx="8">
                  <c:v>3.9361783780988153</c:v>
                </c:pt>
              </c:numCache>
            </c:numRef>
          </c:val>
          <c:smooth val="0"/>
          <c:extLst>
            <c:ext xmlns:c16="http://schemas.microsoft.com/office/drawing/2014/chart" uri="{C3380CC4-5D6E-409C-BE32-E72D297353CC}">
              <c16:uniqueId val="{00000000-8049-419F-90E5-E60DF19BEAB4}"/>
            </c:ext>
          </c:extLst>
        </c:ser>
        <c:dLbls>
          <c:showLegendKey val="0"/>
          <c:showVal val="0"/>
          <c:showCatName val="0"/>
          <c:showSerName val="0"/>
          <c:showPercent val="0"/>
          <c:showBubbleSize val="0"/>
        </c:dLbls>
        <c:smooth val="0"/>
        <c:axId val="65078400"/>
        <c:axId val="65079936"/>
      </c:lineChart>
      <c:catAx>
        <c:axId val="6507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9936"/>
        <c:crosses val="autoZero"/>
        <c:auto val="1"/>
        <c:lblAlgn val="ctr"/>
        <c:lblOffset val="100"/>
        <c:noMultiLvlLbl val="0"/>
      </c:catAx>
      <c:valAx>
        <c:axId val="65079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8400"/>
        <c:crosses val="autoZero"/>
        <c:crossBetween val="between"/>
      </c:valAx>
      <c:spPr>
        <a:noFill/>
        <a:ln>
          <a:noFill/>
        </a:ln>
        <a:effectLst/>
      </c:spPr>
    </c:plotArea>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of Region with time</a:t>
            </a:r>
          </a:p>
        </c:rich>
      </c:tx>
      <c:layout>
        <c:manualLayout>
          <c:xMode val="edge"/>
          <c:yMode val="edge"/>
          <c:x val="0.22545822397200349"/>
          <c:y val="4.1237113402061855E-2"/>
        </c:manualLayout>
      </c:layout>
      <c:overlay val="0"/>
      <c:spPr>
        <a:noFill/>
        <a:ln>
          <a:noFill/>
        </a:ln>
        <a:effectLst/>
      </c:spPr>
    </c:title>
    <c:autoTitleDeleted val="0"/>
    <c:plotArea>
      <c:layout/>
      <c:lineChart>
        <c:grouping val="standard"/>
        <c:varyColors val="0"/>
        <c:ser>
          <c:idx val="0"/>
          <c:order val="0"/>
          <c:tx>
            <c:strRef>
              <c:f>Calc!$I$23</c:f>
              <c:strCache>
                <c:ptCount val="1"/>
                <c:pt idx="0">
                  <c:v>England</c:v>
                </c:pt>
              </c:strCache>
            </c:strRef>
          </c:tx>
          <c:spPr>
            <a:ln w="28575" cap="rnd">
              <a:solidFill>
                <a:schemeClr val="lt1">
                  <a:shade val="50000"/>
                </a:schemeClr>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Calc!$I$24:$I$35</c:f>
              <c:numCache>
                <c:formatCode>General</c:formatCode>
                <c:ptCount val="12"/>
                <c:pt idx="0">
                  <c:v>23.663974908197041</c:v>
                </c:pt>
                <c:pt idx="1">
                  <c:v>59.718260508052026</c:v>
                </c:pt>
                <c:pt idx="2">
                  <c:v>-2.4075357273505524</c:v>
                </c:pt>
                <c:pt idx="3">
                  <c:v>5.6698757571854514</c:v>
                </c:pt>
                <c:pt idx="4">
                  <c:v>6.6778980303197581</c:v>
                </c:pt>
                <c:pt idx="5">
                  <c:v>2.3020652896807547</c:v>
                </c:pt>
                <c:pt idx="6">
                  <c:v>66.296570059402484</c:v>
                </c:pt>
                <c:pt idx="7">
                  <c:v>10.506914563528682</c:v>
                </c:pt>
                <c:pt idx="8">
                  <c:v>2.8425055725293342</c:v>
                </c:pt>
                <c:pt idx="9">
                  <c:v>-2.1099935828499952</c:v>
                </c:pt>
                <c:pt idx="10">
                  <c:v>40.666475470145542</c:v>
                </c:pt>
                <c:pt idx="11">
                  <c:v>1.4698742246209946</c:v>
                </c:pt>
              </c:numCache>
            </c:numRef>
          </c:val>
          <c:smooth val="0"/>
          <c:extLst>
            <c:ext xmlns:c16="http://schemas.microsoft.com/office/drawing/2014/chart" uri="{C3380CC4-5D6E-409C-BE32-E72D297353CC}">
              <c16:uniqueId val="{00000000-11D6-4551-9CB0-8B072EB28299}"/>
            </c:ext>
          </c:extLst>
        </c:ser>
        <c:ser>
          <c:idx val="1"/>
          <c:order val="1"/>
          <c:tx>
            <c:strRef>
              <c:f>Calc!$J$23</c:f>
              <c:strCache>
                <c:ptCount val="1"/>
                <c:pt idx="0">
                  <c:v>France</c:v>
                </c:pt>
              </c:strCache>
            </c:strRef>
          </c:tx>
          <c:spPr>
            <a:ln w="28575" cap="rnd">
              <a:solidFill>
                <a:schemeClr val="accent2"/>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Calc!$J$24:$J$35</c:f>
              <c:numCache>
                <c:formatCode>General</c:formatCode>
                <c:ptCount val="12"/>
                <c:pt idx="0">
                  <c:v>17.282344798964122</c:v>
                </c:pt>
                <c:pt idx="1">
                  <c:v>6.0167132901686244</c:v>
                </c:pt>
                <c:pt idx="2">
                  <c:v>-184.79020201111825</c:v>
                </c:pt>
                <c:pt idx="3">
                  <c:v>5.0173813105881493</c:v>
                </c:pt>
                <c:pt idx="4">
                  <c:v>0.56708958769517359</c:v>
                </c:pt>
                <c:pt idx="5">
                  <c:v>4.1172726780868629</c:v>
                </c:pt>
                <c:pt idx="6">
                  <c:v>102.68285056211744</c:v>
                </c:pt>
                <c:pt idx="7">
                  <c:v>4.1160546350038913</c:v>
                </c:pt>
                <c:pt idx="8">
                  <c:v>4.3063943939365523E-2</c:v>
                </c:pt>
                <c:pt idx="9">
                  <c:v>-4.7327949816393851</c:v>
                </c:pt>
                <c:pt idx="10">
                  <c:v>23.418925689432172</c:v>
                </c:pt>
                <c:pt idx="11">
                  <c:v>0.33620982613700079</c:v>
                </c:pt>
              </c:numCache>
            </c:numRef>
          </c:val>
          <c:smooth val="0"/>
          <c:extLst>
            <c:ext xmlns:c16="http://schemas.microsoft.com/office/drawing/2014/chart" uri="{C3380CC4-5D6E-409C-BE32-E72D297353CC}">
              <c16:uniqueId val="{00000001-11D6-4551-9CB0-8B072EB28299}"/>
            </c:ext>
          </c:extLst>
        </c:ser>
        <c:ser>
          <c:idx val="2"/>
          <c:order val="2"/>
          <c:tx>
            <c:strRef>
              <c:f>Calc!$K$23</c:f>
              <c:strCache>
                <c:ptCount val="1"/>
                <c:pt idx="0">
                  <c:v>Germany</c:v>
                </c:pt>
              </c:strCache>
            </c:strRef>
          </c:tx>
          <c:spPr>
            <a:ln w="28575" cap="rnd">
              <a:solidFill>
                <a:schemeClr val="accent3"/>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Calc!$K$24:$K$35</c:f>
              <c:numCache>
                <c:formatCode>General</c:formatCode>
                <c:ptCount val="12"/>
                <c:pt idx="0">
                  <c:v>2.7391244772843439</c:v>
                </c:pt>
                <c:pt idx="1">
                  <c:v>10.760967272534998</c:v>
                </c:pt>
                <c:pt idx="2">
                  <c:v>-300.52118707682848</c:v>
                </c:pt>
                <c:pt idx="3">
                  <c:v>1.9655452106476972</c:v>
                </c:pt>
                <c:pt idx="4">
                  <c:v>2.7264471892475939E-2</c:v>
                </c:pt>
                <c:pt idx="5">
                  <c:v>9.242146781183056</c:v>
                </c:pt>
                <c:pt idx="6">
                  <c:v>59.132787365816284</c:v>
                </c:pt>
                <c:pt idx="7">
                  <c:v>0.94148056345560605</c:v>
                </c:pt>
                <c:pt idx="8">
                  <c:v>21.513959711694923</c:v>
                </c:pt>
                <c:pt idx="9">
                  <c:v>-3.4564689597928133</c:v>
                </c:pt>
                <c:pt idx="10">
                  <c:v>2.3594954079092645</c:v>
                </c:pt>
                <c:pt idx="11">
                  <c:v>25.805756892484624</c:v>
                </c:pt>
              </c:numCache>
            </c:numRef>
          </c:val>
          <c:smooth val="0"/>
          <c:extLst>
            <c:ext xmlns:c16="http://schemas.microsoft.com/office/drawing/2014/chart" uri="{C3380CC4-5D6E-409C-BE32-E72D297353CC}">
              <c16:uniqueId val="{00000002-11D6-4551-9CB0-8B072EB28299}"/>
            </c:ext>
          </c:extLst>
        </c:ser>
        <c:ser>
          <c:idx val="3"/>
          <c:order val="3"/>
          <c:tx>
            <c:strRef>
              <c:f>Calc!$L$23</c:f>
              <c:strCache>
                <c:ptCount val="1"/>
                <c:pt idx="0">
                  <c:v>Greece</c:v>
                </c:pt>
              </c:strCache>
            </c:strRef>
          </c:tx>
          <c:spPr>
            <a:ln w="28575" cap="rnd">
              <a:solidFill>
                <a:schemeClr val="accent4"/>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Calc!$L$24:$L$35</c:f>
              <c:numCache>
                <c:formatCode>General</c:formatCode>
                <c:ptCount val="12"/>
                <c:pt idx="0">
                  <c:v>10.549967914249976</c:v>
                </c:pt>
                <c:pt idx="1">
                  <c:v>103.69951244887125</c:v>
                </c:pt>
                <c:pt idx="2">
                  <c:v>-10.525494603018416</c:v>
                </c:pt>
                <c:pt idx="3">
                  <c:v>3.8949245560680135E-2</c:v>
                </c:pt>
                <c:pt idx="4">
                  <c:v>9.1437599045273643</c:v>
                </c:pt>
                <c:pt idx="5">
                  <c:v>22.848909038151305</c:v>
                </c:pt>
                <c:pt idx="6">
                  <c:v>0.86374363619780326</c:v>
                </c:pt>
                <c:pt idx="7">
                  <c:v>11.873305311847361</c:v>
                </c:pt>
                <c:pt idx="8">
                  <c:v>33.259057890137271</c:v>
                </c:pt>
                <c:pt idx="9">
                  <c:v>-1.1797477039546322</c:v>
                </c:pt>
                <c:pt idx="10">
                  <c:v>25.005778428817393</c:v>
                </c:pt>
                <c:pt idx="11">
                  <c:v>3.7520986154769957</c:v>
                </c:pt>
              </c:numCache>
            </c:numRef>
          </c:val>
          <c:smooth val="0"/>
          <c:extLst>
            <c:ext xmlns:c16="http://schemas.microsoft.com/office/drawing/2014/chart" uri="{C3380CC4-5D6E-409C-BE32-E72D297353CC}">
              <c16:uniqueId val="{00000003-11D6-4551-9CB0-8B072EB28299}"/>
            </c:ext>
          </c:extLst>
        </c:ser>
        <c:ser>
          <c:idx val="4"/>
          <c:order val="4"/>
          <c:tx>
            <c:strRef>
              <c:f>Calc!$M$23</c:f>
              <c:strCache>
                <c:ptCount val="1"/>
                <c:pt idx="0">
                  <c:v>Italy</c:v>
                </c:pt>
              </c:strCache>
            </c:strRef>
          </c:tx>
          <c:spPr>
            <a:ln w="28575" cap="rnd">
              <a:solidFill>
                <a:schemeClr val="accent5"/>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Calc!$M$24:$M$35</c:f>
              <c:numCache>
                <c:formatCode>General</c:formatCode>
                <c:ptCount val="12"/>
                <c:pt idx="0">
                  <c:v>7.0560227465000125E-2</c:v>
                </c:pt>
                <c:pt idx="1">
                  <c:v>24.137254406360981</c:v>
                </c:pt>
                <c:pt idx="2">
                  <c:v>-173.06351895233479</c:v>
                </c:pt>
                <c:pt idx="3">
                  <c:v>0.44958650370691977</c:v>
                </c:pt>
                <c:pt idx="4">
                  <c:v>3.9689130300298245</c:v>
                </c:pt>
                <c:pt idx="5">
                  <c:v>6.7522808765474363</c:v>
                </c:pt>
                <c:pt idx="6">
                  <c:v>5.9577259049708999</c:v>
                </c:pt>
                <c:pt idx="7">
                  <c:v>72.263261364748587</c:v>
                </c:pt>
                <c:pt idx="8">
                  <c:v>19.038113707766371</c:v>
                </c:pt>
                <c:pt idx="9">
                  <c:v>-0.29352463131220174</c:v>
                </c:pt>
                <c:pt idx="10">
                  <c:v>4.2199871656999903</c:v>
                </c:pt>
                <c:pt idx="11">
                  <c:v>41.967466945454817</c:v>
                </c:pt>
              </c:numCache>
            </c:numRef>
          </c:val>
          <c:smooth val="0"/>
          <c:extLst>
            <c:ext xmlns:c16="http://schemas.microsoft.com/office/drawing/2014/chart" uri="{C3380CC4-5D6E-409C-BE32-E72D297353CC}">
              <c16:uniqueId val="{00000004-11D6-4551-9CB0-8B072EB28299}"/>
            </c:ext>
          </c:extLst>
        </c:ser>
        <c:ser>
          <c:idx val="5"/>
          <c:order val="5"/>
          <c:tx>
            <c:strRef>
              <c:f>Calc!$N$23</c:f>
              <c:strCache>
                <c:ptCount val="1"/>
                <c:pt idx="0">
                  <c:v>Norway</c:v>
                </c:pt>
              </c:strCache>
            </c:strRef>
          </c:tx>
          <c:spPr>
            <a:ln w="28575" cap="rnd">
              <a:solidFill>
                <a:schemeClr val="accent6"/>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Calc!$N$24:$N$35</c:f>
              <c:numCache>
                <c:formatCode>General</c:formatCode>
                <c:ptCount val="12"/>
                <c:pt idx="0">
                  <c:v>9.0894588959930331</c:v>
                </c:pt>
                <c:pt idx="1">
                  <c:v>1.4969756196922281</c:v>
                </c:pt>
                <c:pt idx="2">
                  <c:v>-31.185283155806388</c:v>
                </c:pt>
                <c:pt idx="3">
                  <c:v>56.119736148800939</c:v>
                </c:pt>
                <c:pt idx="4">
                  <c:v>1.375881647453383</c:v>
                </c:pt>
                <c:pt idx="5">
                  <c:v>8.6352955353000138E-3</c:v>
                </c:pt>
                <c:pt idx="6">
                  <c:v>23.912416463820858</c:v>
                </c:pt>
                <c:pt idx="7">
                  <c:v>64.454738228739643</c:v>
                </c:pt>
                <c:pt idx="8">
                  <c:v>1.7059255514399219</c:v>
                </c:pt>
                <c:pt idx="9">
                  <c:v>-2.0543028105744554</c:v>
                </c:pt>
                <c:pt idx="10">
                  <c:v>6.9129379195856258</c:v>
                </c:pt>
                <c:pt idx="11">
                  <c:v>2.4349797811241132</c:v>
                </c:pt>
              </c:numCache>
            </c:numRef>
          </c:val>
          <c:smooth val="0"/>
          <c:extLst>
            <c:ext xmlns:c16="http://schemas.microsoft.com/office/drawing/2014/chart" uri="{C3380CC4-5D6E-409C-BE32-E72D297353CC}">
              <c16:uniqueId val="{00000005-11D6-4551-9CB0-8B072EB28299}"/>
            </c:ext>
          </c:extLst>
        </c:ser>
        <c:ser>
          <c:idx val="6"/>
          <c:order val="6"/>
          <c:tx>
            <c:strRef>
              <c:f>Calc!$O$23</c:f>
              <c:strCache>
                <c:ptCount val="1"/>
                <c:pt idx="0">
                  <c:v>Spain</c:v>
                </c:pt>
              </c:strCache>
            </c:strRef>
          </c:tx>
          <c:spPr>
            <a:ln w="28575" cap="rnd">
              <a:solidFill>
                <a:schemeClr val="accent1">
                  <a:lumMod val="60000"/>
                </a:schemeClr>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Calc!$O$24:$O$35</c:f>
              <c:numCache>
                <c:formatCode>General</c:formatCode>
                <c:ptCount val="12"/>
                <c:pt idx="0">
                  <c:v>105.22695898450823</c:v>
                </c:pt>
                <c:pt idx="1">
                  <c:v>3.7039571473415611</c:v>
                </c:pt>
                <c:pt idx="2">
                  <c:v>-70.010538479611654</c:v>
                </c:pt>
                <c:pt idx="3">
                  <c:v>45.380631600741125</c:v>
                </c:pt>
                <c:pt idx="4">
                  <c:v>22.937392768586363</c:v>
                </c:pt>
                <c:pt idx="5">
                  <c:v>4.6561125898094318</c:v>
                </c:pt>
                <c:pt idx="6">
                  <c:v>28.36102237961812</c:v>
                </c:pt>
                <c:pt idx="7">
                  <c:v>25.496810362329882</c:v>
                </c:pt>
                <c:pt idx="8">
                  <c:v>142.27309397988992</c:v>
                </c:pt>
                <c:pt idx="9">
                  <c:v>-14.320780993607315</c:v>
                </c:pt>
                <c:pt idx="10">
                  <c:v>4.2228328210216111</c:v>
                </c:pt>
                <c:pt idx="11">
                  <c:v>4.9608219074555189</c:v>
                </c:pt>
              </c:numCache>
            </c:numRef>
          </c:val>
          <c:smooth val="0"/>
          <c:extLst>
            <c:ext xmlns:c16="http://schemas.microsoft.com/office/drawing/2014/chart" uri="{C3380CC4-5D6E-409C-BE32-E72D297353CC}">
              <c16:uniqueId val="{00000006-11D6-4551-9CB0-8B072EB28299}"/>
            </c:ext>
          </c:extLst>
        </c:ser>
        <c:ser>
          <c:idx val="7"/>
          <c:order val="7"/>
          <c:tx>
            <c:strRef>
              <c:f>Calc!$P$23</c:f>
              <c:strCache>
                <c:ptCount val="1"/>
                <c:pt idx="0">
                  <c:v>Sweeden</c:v>
                </c:pt>
              </c:strCache>
            </c:strRef>
          </c:tx>
          <c:spPr>
            <a:ln w="28575" cap="rnd">
              <a:solidFill>
                <a:schemeClr val="accent2">
                  <a:lumMod val="60000"/>
                </a:schemeClr>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Calc!$P$24:$P$35</c:f>
              <c:numCache>
                <c:formatCode>General</c:formatCode>
                <c:ptCount val="12"/>
                <c:pt idx="0">
                  <c:v>12.085982356689103</c:v>
                </c:pt>
                <c:pt idx="1">
                  <c:v>28.935693698766276</c:v>
                </c:pt>
                <c:pt idx="2">
                  <c:v>-98.88453972658283</c:v>
                </c:pt>
                <c:pt idx="3">
                  <c:v>42.795957991942991</c:v>
                </c:pt>
                <c:pt idx="4">
                  <c:v>17.791439481452073</c:v>
                </c:pt>
                <c:pt idx="5">
                  <c:v>19.394175132311631</c:v>
                </c:pt>
                <c:pt idx="6">
                  <c:v>21.783662776761261</c:v>
                </c:pt>
                <c:pt idx="7">
                  <c:v>13.386626782132545</c:v>
                </c:pt>
                <c:pt idx="8">
                  <c:v>43.730778454695738</c:v>
                </c:pt>
                <c:pt idx="9">
                  <c:v>0.70804201633588337</c:v>
                </c:pt>
                <c:pt idx="10">
                  <c:v>10.898122177922581</c:v>
                </c:pt>
                <c:pt idx="11">
                  <c:v>11.20120601247592</c:v>
                </c:pt>
              </c:numCache>
            </c:numRef>
          </c:val>
          <c:smooth val="0"/>
          <c:extLst>
            <c:ext xmlns:c16="http://schemas.microsoft.com/office/drawing/2014/chart" uri="{C3380CC4-5D6E-409C-BE32-E72D297353CC}">
              <c16:uniqueId val="{00000007-11D6-4551-9CB0-8B072EB28299}"/>
            </c:ext>
          </c:extLst>
        </c:ser>
        <c:ser>
          <c:idx val="8"/>
          <c:order val="8"/>
          <c:tx>
            <c:strRef>
              <c:f>Calc!$Q$23</c:f>
              <c:strCache>
                <c:ptCount val="1"/>
                <c:pt idx="0">
                  <c:v>Switzerland</c:v>
                </c:pt>
              </c:strCache>
            </c:strRef>
          </c:tx>
          <c:spPr>
            <a:ln w="28575" cap="rnd">
              <a:solidFill>
                <a:schemeClr val="accent3">
                  <a:lumMod val="60000"/>
                </a:schemeClr>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Calc!$Q$24:$Q$35</c:f>
              <c:numCache>
                <c:formatCode>General</c:formatCode>
                <c:ptCount val="12"/>
                <c:pt idx="0">
                  <c:v>68.413184591816872</c:v>
                </c:pt>
                <c:pt idx="1">
                  <c:v>73.035983067397467</c:v>
                </c:pt>
                <c:pt idx="2">
                  <c:v>-31.206312264067666</c:v>
                </c:pt>
                <c:pt idx="3">
                  <c:v>6.6337102710876659</c:v>
                </c:pt>
                <c:pt idx="4">
                  <c:v>43.360322906226685</c:v>
                </c:pt>
                <c:pt idx="5">
                  <c:v>41.172176987042931</c:v>
                </c:pt>
                <c:pt idx="6">
                  <c:v>3.7980010340742423</c:v>
                </c:pt>
                <c:pt idx="7">
                  <c:v>26.054193216795856</c:v>
                </c:pt>
                <c:pt idx="8">
                  <c:v>168.14653723620336</c:v>
                </c:pt>
                <c:pt idx="9">
                  <c:v>-11.872356505479349</c:v>
                </c:pt>
                <c:pt idx="10">
                  <c:v>4.4343929426756361</c:v>
                </c:pt>
                <c:pt idx="11">
                  <c:v>11.374141940902529</c:v>
                </c:pt>
              </c:numCache>
            </c:numRef>
          </c:val>
          <c:smooth val="0"/>
          <c:extLst>
            <c:ext xmlns:c16="http://schemas.microsoft.com/office/drawing/2014/chart" uri="{C3380CC4-5D6E-409C-BE32-E72D297353CC}">
              <c16:uniqueId val="{00000008-11D6-4551-9CB0-8B072EB28299}"/>
            </c:ext>
          </c:extLst>
        </c:ser>
        <c:dLbls>
          <c:showLegendKey val="0"/>
          <c:showVal val="0"/>
          <c:showCatName val="0"/>
          <c:showSerName val="0"/>
          <c:showPercent val="0"/>
          <c:showBubbleSize val="0"/>
        </c:dLbls>
        <c:smooth val="0"/>
        <c:axId val="72998912"/>
        <c:axId val="73000448"/>
      </c:lineChart>
      <c:dateAx>
        <c:axId val="7299891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0448"/>
        <c:crosses val="autoZero"/>
        <c:auto val="1"/>
        <c:lblOffset val="100"/>
        <c:baseTimeUnit val="months"/>
      </c:dateAx>
      <c:valAx>
        <c:axId val="7300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518518518518524E-2"/>
          <c:y val="0"/>
          <c:w val="0.98148148148148151"/>
          <c:h val="0.98148148148148151"/>
        </c:manualLayout>
      </c:layout>
      <c:doughnutChart>
        <c:varyColors val="1"/>
        <c:ser>
          <c:idx val="0"/>
          <c:order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c:spPr>
          <c:dPt>
            <c:idx val="0"/>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1-8888-4637-A0F2-DA3CCB77EF56}"/>
              </c:ext>
            </c:extLst>
          </c:dPt>
          <c:dPt>
            <c:idx val="1"/>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3-8888-4637-A0F2-DA3CCB77EF56}"/>
              </c:ext>
            </c:extLst>
          </c:dPt>
          <c:dPt>
            <c:idx val="2"/>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5-8888-4637-A0F2-DA3CCB77EF56}"/>
              </c:ext>
            </c:extLst>
          </c:dPt>
          <c:dPt>
            <c:idx val="3"/>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7-8888-4637-A0F2-DA3CCB77EF56}"/>
              </c:ext>
            </c:extLst>
          </c:dPt>
          <c:dPt>
            <c:idx val="4"/>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9-8888-4637-A0F2-DA3CCB77EF56}"/>
              </c:ext>
            </c:extLst>
          </c:dPt>
          <c:dPt>
            <c:idx val="5"/>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B-8888-4637-A0F2-DA3CCB77EF56}"/>
              </c:ext>
            </c:extLst>
          </c:dPt>
          <c:dPt>
            <c:idx val="6"/>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D-8888-4637-A0F2-DA3CCB77EF56}"/>
              </c:ext>
            </c:extLst>
          </c:dPt>
          <c:dPt>
            <c:idx val="7"/>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F-8888-4637-A0F2-DA3CCB77EF56}"/>
              </c:ext>
            </c:extLst>
          </c:dPt>
          <c:dPt>
            <c:idx val="8"/>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1-8888-4637-A0F2-DA3CCB77EF56}"/>
              </c:ext>
            </c:extLst>
          </c:dPt>
          <c:dPt>
            <c:idx val="9"/>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3-8888-4637-A0F2-DA3CCB77EF56}"/>
              </c:ext>
            </c:extLst>
          </c:dPt>
          <c:dPt>
            <c:idx val="10"/>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5-8888-4637-A0F2-DA3CCB77EF56}"/>
              </c:ext>
            </c:extLst>
          </c:dPt>
          <c:dPt>
            <c:idx val="11"/>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7-8888-4637-A0F2-DA3CCB77EF56}"/>
              </c:ext>
            </c:extLst>
          </c:dPt>
          <c:dPt>
            <c:idx val="12"/>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9-8888-4637-A0F2-DA3CCB77EF56}"/>
              </c:ext>
            </c:extLst>
          </c:dPt>
          <c:dPt>
            <c:idx val="13"/>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B-8888-4637-A0F2-DA3CCB77EF56}"/>
              </c:ext>
            </c:extLst>
          </c:dPt>
          <c:dPt>
            <c:idx val="14"/>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D-8888-4637-A0F2-DA3CCB77EF56}"/>
              </c:ext>
            </c:extLst>
          </c:dPt>
          <c:dPt>
            <c:idx val="15"/>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F-8888-4637-A0F2-DA3CCB77EF56}"/>
              </c:ext>
            </c:extLst>
          </c:dPt>
          <c:dPt>
            <c:idx val="16"/>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21-8888-4637-A0F2-DA3CCB77EF56}"/>
              </c:ext>
            </c:extLst>
          </c:dPt>
          <c:dPt>
            <c:idx val="17"/>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23-8888-4637-A0F2-DA3CCB77EF56}"/>
              </c:ext>
            </c:extLst>
          </c:dPt>
          <c:dPt>
            <c:idx val="18"/>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25-8888-4637-A0F2-DA3CCB77EF56}"/>
              </c:ext>
            </c:extLst>
          </c:dPt>
          <c:dPt>
            <c:idx val="19"/>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27-8888-4637-A0F2-DA3CCB77EF5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888-4637-A0F2-DA3CCB77EF56}"/>
            </c:ext>
          </c:extLst>
        </c:ser>
        <c:dLbls>
          <c:showLegendKey val="0"/>
          <c:showVal val="0"/>
          <c:showCatName val="0"/>
          <c:showSerName val="0"/>
          <c:showPercent val="0"/>
          <c:showBubbleSize val="0"/>
          <c:showLeaderLines val="1"/>
        </c:dLbls>
        <c:firstSliceAng val="0"/>
        <c:holeSize val="70"/>
      </c:doughnutChart>
      <c:doughnutChart>
        <c:varyColors val="1"/>
        <c:ser>
          <c:idx val="1"/>
          <c:order val="1"/>
          <c:spPr>
            <a:noFill/>
            <a:ln cap="sq" cmpd="thinThick">
              <a:miter lim="800000"/>
            </a:ln>
            <a:effectLst>
              <a:outerShdw dist="38100" sx="1000" sy="1000" algn="ctr" rotWithShape="0">
                <a:srgbClr val="000000"/>
              </a:outerShdw>
              <a:softEdge rad="0"/>
            </a:effectLst>
          </c:spPr>
          <c:dPt>
            <c:idx val="0"/>
            <c:bubble3D val="0"/>
            <c:explosion val="4"/>
            <c:spPr>
              <a:solidFill>
                <a:srgbClr val="002060">
                  <a:alpha val="70000"/>
                </a:srgbClr>
              </a:solidFill>
              <a:ln w="19050" cap="sq" cmpd="thinThick">
                <a:solidFill>
                  <a:schemeClr val="lt1"/>
                </a:solidFill>
                <a:miter lim="800000"/>
              </a:ln>
              <a:effectLst>
                <a:outerShdw dist="38100" sx="1000" sy="1000" algn="ctr" rotWithShape="0">
                  <a:srgbClr val="000000"/>
                </a:outerShdw>
                <a:softEdge rad="0"/>
              </a:effectLst>
            </c:spPr>
            <c:extLst>
              <c:ext xmlns:c16="http://schemas.microsoft.com/office/drawing/2014/chart" uri="{C3380CC4-5D6E-409C-BE32-E72D297353CC}">
                <c16:uniqueId val="{0000002A-8888-4637-A0F2-DA3CCB77EF56}"/>
              </c:ext>
            </c:extLst>
          </c:dPt>
          <c:dPt>
            <c:idx val="1"/>
            <c:bubble3D val="0"/>
            <c:spPr>
              <a:noFill/>
              <a:ln w="19050" cap="sq" cmpd="thinThick">
                <a:solidFill>
                  <a:schemeClr val="lt1">
                    <a:shade val="50000"/>
                  </a:schemeClr>
                </a:solidFill>
                <a:miter lim="800000"/>
              </a:ln>
              <a:effectLst>
                <a:outerShdw dist="38100" sx="1000" sy="1000" algn="ctr" rotWithShape="0">
                  <a:srgbClr val="000000"/>
                </a:outerShdw>
                <a:softEdge rad="0"/>
              </a:effectLst>
            </c:spPr>
            <c:extLst>
              <c:ext xmlns:c16="http://schemas.microsoft.com/office/drawing/2014/chart" uri="{C3380CC4-5D6E-409C-BE32-E72D297353CC}">
                <c16:uniqueId val="{0000002C-8888-4637-A0F2-DA3CCB77EF56}"/>
              </c:ext>
            </c:extLst>
          </c:dPt>
          <c:val>
            <c:numRef>
              <c:f>Calc!$A$54:$B$54</c:f>
              <c:numCache>
                <c:formatCode>0.00%</c:formatCode>
                <c:ptCount val="2"/>
                <c:pt idx="0">
                  <c:v>0.83333333333333337</c:v>
                </c:pt>
                <c:pt idx="1">
                  <c:v>0.16666666666666663</c:v>
                </c:pt>
              </c:numCache>
            </c:numRef>
          </c:val>
          <c:extLst>
            <c:ext xmlns:c16="http://schemas.microsoft.com/office/drawing/2014/chart" uri="{C3380CC4-5D6E-409C-BE32-E72D297353CC}">
              <c16:uniqueId val="{0000002D-8888-4637-A0F2-DA3CCB77EF5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61E-2"/>
          <c:y val="0.15238080001919763"/>
          <c:w val="0.93888888888888911"/>
          <c:h val="0.74603199996800418"/>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9CB8-4F2B-8753-4552FC16D31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Calc!$B$67</c:f>
              <c:numCache>
                <c:formatCode>0.00%</c:formatCode>
                <c:ptCount val="1"/>
                <c:pt idx="0">
                  <c:v>2.2758187210926217E-2</c:v>
                </c:pt>
              </c:numCache>
            </c:numRef>
          </c:val>
          <c:extLst>
            <c:ext xmlns:c16="http://schemas.microsoft.com/office/drawing/2014/chart" uri="{C3380CC4-5D6E-409C-BE32-E72D297353CC}">
              <c16:uniqueId val="{00000002-9CB8-4F2B-8753-4552FC16D315}"/>
            </c:ext>
          </c:extLst>
        </c:ser>
        <c:dLbls>
          <c:showLegendKey val="0"/>
          <c:showVal val="1"/>
          <c:showCatName val="0"/>
          <c:showSerName val="0"/>
          <c:showPercent val="0"/>
          <c:showBubbleSize val="0"/>
        </c:dLbls>
        <c:gapWidth val="182"/>
        <c:axId val="73346432"/>
        <c:axId val="73401472"/>
      </c:barChart>
      <c:catAx>
        <c:axId val="73346432"/>
        <c:scaling>
          <c:orientation val="minMax"/>
        </c:scaling>
        <c:delete val="1"/>
        <c:axPos val="l"/>
        <c:majorTickMark val="none"/>
        <c:minorTickMark val="none"/>
        <c:tickLblPos val="nextTo"/>
        <c:crossAx val="73401472"/>
        <c:crosses val="autoZero"/>
        <c:auto val="1"/>
        <c:lblAlgn val="ctr"/>
        <c:lblOffset val="100"/>
        <c:noMultiLvlLbl val="0"/>
      </c:catAx>
      <c:valAx>
        <c:axId val="73401472"/>
        <c:scaling>
          <c:orientation val="minMax"/>
          <c:max val="0.5"/>
        </c:scaling>
        <c:delete val="1"/>
        <c:axPos val="b"/>
        <c:numFmt formatCode="0.00%" sourceLinked="1"/>
        <c:majorTickMark val="none"/>
        <c:minorTickMark val="none"/>
        <c:tickLblPos val="nextTo"/>
        <c:crossAx val="73346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080030369279535E-2"/>
          <c:y val="0.11562115551965424"/>
          <c:w val="0.87387387387387427"/>
          <c:h val="0.84099608991562746"/>
        </c:manualLayout>
      </c:layout>
      <c:barChart>
        <c:barDir val="col"/>
        <c:grouping val="clustered"/>
        <c:varyColors val="0"/>
        <c:ser>
          <c:idx val="0"/>
          <c:order val="0"/>
          <c:spPr>
            <a:solidFill>
              <a:schemeClr val="accent1"/>
            </a:solidFill>
            <a:ln>
              <a:solidFill>
                <a:sysClr val="windowText" lastClr="000000"/>
              </a:solidFill>
            </a:ln>
            <a:effectLst/>
          </c:spPr>
          <c:invertIfNegative val="0"/>
          <c:val>
            <c:numRef>
              <c:f>Calc!$B$87</c:f>
              <c:numCache>
                <c:formatCode>0.00%</c:formatCode>
                <c:ptCount val="1"/>
                <c:pt idx="0">
                  <c:v>0.10854990910008738</c:v>
                </c:pt>
              </c:numCache>
            </c:numRef>
          </c:val>
          <c:extLst>
            <c:ext xmlns:c16="http://schemas.microsoft.com/office/drawing/2014/chart" uri="{C3380CC4-5D6E-409C-BE32-E72D297353CC}">
              <c16:uniqueId val="{00000000-127D-4676-893D-610D88D917B2}"/>
            </c:ext>
          </c:extLst>
        </c:ser>
        <c:dLbls>
          <c:showLegendKey val="0"/>
          <c:showVal val="0"/>
          <c:showCatName val="0"/>
          <c:showSerName val="0"/>
          <c:showPercent val="0"/>
          <c:showBubbleSize val="0"/>
        </c:dLbls>
        <c:gapWidth val="0"/>
        <c:overlap val="-29"/>
        <c:axId val="73449856"/>
        <c:axId val="73451392"/>
      </c:barChart>
      <c:catAx>
        <c:axId val="73449856"/>
        <c:scaling>
          <c:orientation val="minMax"/>
        </c:scaling>
        <c:delete val="1"/>
        <c:axPos val="b"/>
        <c:majorTickMark val="out"/>
        <c:minorTickMark val="none"/>
        <c:tickLblPos val="nextTo"/>
        <c:crossAx val="73451392"/>
        <c:crosses val="autoZero"/>
        <c:auto val="1"/>
        <c:lblAlgn val="ctr"/>
        <c:lblOffset val="100"/>
        <c:noMultiLvlLbl val="0"/>
      </c:catAx>
      <c:valAx>
        <c:axId val="73451392"/>
        <c:scaling>
          <c:orientation val="minMax"/>
          <c:max val="1"/>
        </c:scaling>
        <c:delete val="1"/>
        <c:axPos val="l"/>
        <c:numFmt formatCode="0.00%" sourceLinked="1"/>
        <c:majorTickMark val="out"/>
        <c:minorTickMark val="none"/>
        <c:tickLblPos val="nextTo"/>
        <c:crossAx val="73449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Sheet4!$C$15</c:f>
              <c:strCache>
                <c:ptCount val="1"/>
                <c:pt idx="0">
                  <c:v>SALES</c:v>
                </c:pt>
              </c:strCache>
            </c:strRef>
          </c:tx>
          <c:spPr>
            <a:solidFill>
              <a:schemeClr val="accent1"/>
            </a:solidFill>
            <a:ln>
              <a:noFill/>
            </a:ln>
            <a:effectLst/>
          </c:spPr>
          <c:invertIfNegative val="0"/>
          <c:cat>
            <c:strRef>
              <c:f>Sheet4!$B$16:$B$24</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Sheet4!$C$16:$C$24</c:f>
              <c:numCache>
                <c:formatCode>General</c:formatCode>
                <c:ptCount val="9"/>
                <c:pt idx="0">
                  <c:v>637.99402457287283</c:v>
                </c:pt>
                <c:pt idx="1">
                  <c:v>401.4641569753731</c:v>
                </c:pt>
                <c:pt idx="2">
                  <c:v>528.98873634203392</c:v>
                </c:pt>
                <c:pt idx="3">
                  <c:v>1600.9317553192911</c:v>
                </c:pt>
                <c:pt idx="4">
                  <c:v>551.04591211909371</c:v>
                </c:pt>
                <c:pt idx="5">
                  <c:v>1939.8837187761276</c:v>
                </c:pt>
                <c:pt idx="6">
                  <c:v>2892.3629879444898</c:v>
                </c:pt>
                <c:pt idx="7">
                  <c:v>1161.8126637529492</c:v>
                </c:pt>
                <c:pt idx="8">
                  <c:v>4447.7486703663999</c:v>
                </c:pt>
              </c:numCache>
            </c:numRef>
          </c:val>
          <c:extLst>
            <c:ext xmlns:c16="http://schemas.microsoft.com/office/drawing/2014/chart" uri="{C3380CC4-5D6E-409C-BE32-E72D297353CC}">
              <c16:uniqueId val="{00000000-66BB-4BAE-A136-4CB27161669E}"/>
            </c:ext>
          </c:extLst>
        </c:ser>
        <c:dLbls>
          <c:showLegendKey val="0"/>
          <c:showVal val="0"/>
          <c:showCatName val="0"/>
          <c:showSerName val="0"/>
          <c:showPercent val="0"/>
          <c:showBubbleSize val="0"/>
        </c:dLbls>
        <c:gapWidth val="219"/>
        <c:overlap val="-27"/>
        <c:axId val="463037696"/>
        <c:axId val="463038352"/>
      </c:barChart>
      <c:catAx>
        <c:axId val="4630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38352"/>
        <c:crosses val="autoZero"/>
        <c:auto val="1"/>
        <c:lblAlgn val="ctr"/>
        <c:lblOffset val="100"/>
        <c:noMultiLvlLbl val="0"/>
      </c:catAx>
      <c:valAx>
        <c:axId val="463038352"/>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3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891392048216199E-2"/>
          <c:y val="0.11831972279567142"/>
          <c:w val="0.89124441042091962"/>
          <c:h val="0.81403712296983755"/>
        </c:manualLayout>
      </c:layout>
      <c:lineChart>
        <c:grouping val="standard"/>
        <c:varyColors val="0"/>
        <c:ser>
          <c:idx val="0"/>
          <c:order val="0"/>
          <c:tx>
            <c:strRef>
              <c:f>Sheet4!$C$27</c:f>
              <c:strCache>
                <c:ptCount val="1"/>
                <c:pt idx="0">
                  <c:v>PROFIT</c:v>
                </c:pt>
              </c:strCache>
            </c:strRef>
          </c:tx>
          <c:spPr>
            <a:ln w="28575" cap="rnd">
              <a:solidFill>
                <a:schemeClr val="accent1"/>
              </a:solidFill>
              <a:round/>
            </a:ln>
            <a:effectLst/>
          </c:spPr>
          <c:marker>
            <c:symbol val="none"/>
          </c:marker>
          <c:cat>
            <c:strRef>
              <c:f>Sheet4!$B$28:$B$36</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Sheet4!$C$28:$C$36</c:f>
              <c:numCache>
                <c:formatCode>General</c:formatCode>
                <c:ptCount val="9"/>
                <c:pt idx="0">
                  <c:v>14.649839077185964</c:v>
                </c:pt>
                <c:pt idx="1">
                  <c:v>9.7017435763701858</c:v>
                </c:pt>
                <c:pt idx="2">
                  <c:v>11.234956463723229</c:v>
                </c:pt>
                <c:pt idx="3">
                  <c:v>32.031618188239349</c:v>
                </c:pt>
                <c:pt idx="4">
                  <c:v>11.170780410284181</c:v>
                </c:pt>
                <c:pt idx="5">
                  <c:v>57.504253091789622</c:v>
                </c:pt>
                <c:pt idx="6">
                  <c:v>72.974136959136928</c:v>
                </c:pt>
                <c:pt idx="7">
                  <c:v>79.981572605706702</c:v>
                </c:pt>
                <c:pt idx="8">
                  <c:v>91.166210164357281</c:v>
                </c:pt>
              </c:numCache>
            </c:numRef>
          </c:val>
          <c:smooth val="0"/>
          <c:extLst>
            <c:ext xmlns:c16="http://schemas.microsoft.com/office/drawing/2014/chart" uri="{C3380CC4-5D6E-409C-BE32-E72D297353CC}">
              <c16:uniqueId val="{00000000-51D7-4937-8670-03D8FABF3D61}"/>
            </c:ext>
          </c:extLst>
        </c:ser>
        <c:dLbls>
          <c:showLegendKey val="0"/>
          <c:showVal val="0"/>
          <c:showCatName val="0"/>
          <c:showSerName val="0"/>
          <c:showPercent val="0"/>
          <c:showBubbleSize val="0"/>
        </c:dLbls>
        <c:smooth val="0"/>
        <c:axId val="544791176"/>
        <c:axId val="544793472"/>
      </c:lineChart>
      <c:catAx>
        <c:axId val="54479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93472"/>
        <c:crosses val="autoZero"/>
        <c:auto val="1"/>
        <c:lblAlgn val="ctr"/>
        <c:lblOffset val="100"/>
        <c:noMultiLvlLbl val="0"/>
      </c:catAx>
      <c:valAx>
        <c:axId val="544793472"/>
        <c:scaling>
          <c:orientation val="minMax"/>
          <c:max val="400"/>
          <c:min val="-1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9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7362204724406"/>
          <c:y val="0.13014035087719297"/>
          <c:w val="0.78619304461942252"/>
          <c:h val="0.75099958557811852"/>
        </c:manualLayout>
      </c:layout>
      <c:lineChart>
        <c:grouping val="standard"/>
        <c:varyColors val="0"/>
        <c:ser>
          <c:idx val="0"/>
          <c:order val="0"/>
          <c:tx>
            <c:strRef>
              <c:f>Sheet4!$AE$2</c:f>
              <c:strCache>
                <c:ptCount val="1"/>
                <c:pt idx="0">
                  <c:v>England</c:v>
                </c:pt>
              </c:strCache>
            </c:strRef>
          </c:tx>
          <c:spPr>
            <a:ln w="28575" cap="rnd">
              <a:solidFill>
                <a:schemeClr val="accent1"/>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Sheet4!$AE$3:$AE$14</c:f>
              <c:numCache>
                <c:formatCode>General</c:formatCode>
                <c:ptCount val="12"/>
                <c:pt idx="0">
                  <c:v>23.663974908197041</c:v>
                </c:pt>
                <c:pt idx="1">
                  <c:v>59.718260508052026</c:v>
                </c:pt>
                <c:pt idx="2">
                  <c:v>-2.4075357273505524</c:v>
                </c:pt>
                <c:pt idx="3">
                  <c:v>5.6698757571854514</c:v>
                </c:pt>
                <c:pt idx="4">
                  <c:v>6.6778980303197581</c:v>
                </c:pt>
                <c:pt idx="5">
                  <c:v>2.3020652896807547</c:v>
                </c:pt>
                <c:pt idx="6">
                  <c:v>66.296570059402484</c:v>
                </c:pt>
                <c:pt idx="7">
                  <c:v>10.506914563528682</c:v>
                </c:pt>
                <c:pt idx="8">
                  <c:v>2.8425055725293342</c:v>
                </c:pt>
                <c:pt idx="9">
                  <c:v>-2.1099935828499952</c:v>
                </c:pt>
                <c:pt idx="10">
                  <c:v>40.666475470145542</c:v>
                </c:pt>
                <c:pt idx="11">
                  <c:v>1.4698742246209946</c:v>
                </c:pt>
              </c:numCache>
            </c:numRef>
          </c:val>
          <c:smooth val="0"/>
          <c:extLst>
            <c:ext xmlns:c16="http://schemas.microsoft.com/office/drawing/2014/chart" uri="{C3380CC4-5D6E-409C-BE32-E72D297353CC}">
              <c16:uniqueId val="{00000000-78E4-428A-8901-E69CE7F0BE6F}"/>
            </c:ext>
          </c:extLst>
        </c:ser>
        <c:ser>
          <c:idx val="1"/>
          <c:order val="1"/>
          <c:tx>
            <c:strRef>
              <c:f>Sheet4!$AF$2</c:f>
              <c:strCache>
                <c:ptCount val="1"/>
                <c:pt idx="0">
                  <c:v>France</c:v>
                </c:pt>
              </c:strCache>
            </c:strRef>
          </c:tx>
          <c:spPr>
            <a:ln w="28575" cap="rnd">
              <a:solidFill>
                <a:schemeClr val="accent2"/>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Sheet4!$AF$3:$AF$14</c:f>
              <c:numCache>
                <c:formatCode>General</c:formatCode>
                <c:ptCount val="12"/>
                <c:pt idx="0">
                  <c:v>17.282344798964122</c:v>
                </c:pt>
                <c:pt idx="1">
                  <c:v>6.0167132901686244</c:v>
                </c:pt>
                <c:pt idx="2">
                  <c:v>-184.79020201111825</c:v>
                </c:pt>
                <c:pt idx="3">
                  <c:v>5.0173813105881493</c:v>
                </c:pt>
                <c:pt idx="4">
                  <c:v>0.56708958769517359</c:v>
                </c:pt>
                <c:pt idx="5">
                  <c:v>4.1172726780868629</c:v>
                </c:pt>
                <c:pt idx="6">
                  <c:v>102.68285056211744</c:v>
                </c:pt>
                <c:pt idx="7">
                  <c:v>4.1160546350038913</c:v>
                </c:pt>
                <c:pt idx="8">
                  <c:v>4.3063943939365523E-2</c:v>
                </c:pt>
                <c:pt idx="9">
                  <c:v>-4.7327949816393851</c:v>
                </c:pt>
                <c:pt idx="10">
                  <c:v>23.418925689432172</c:v>
                </c:pt>
                <c:pt idx="11">
                  <c:v>0.33620982613700079</c:v>
                </c:pt>
              </c:numCache>
            </c:numRef>
          </c:val>
          <c:smooth val="0"/>
          <c:extLst>
            <c:ext xmlns:c16="http://schemas.microsoft.com/office/drawing/2014/chart" uri="{C3380CC4-5D6E-409C-BE32-E72D297353CC}">
              <c16:uniqueId val="{00000001-78E4-428A-8901-E69CE7F0BE6F}"/>
            </c:ext>
          </c:extLst>
        </c:ser>
        <c:ser>
          <c:idx val="2"/>
          <c:order val="2"/>
          <c:tx>
            <c:strRef>
              <c:f>Sheet4!$AG$2</c:f>
              <c:strCache>
                <c:ptCount val="1"/>
                <c:pt idx="0">
                  <c:v>Germany</c:v>
                </c:pt>
              </c:strCache>
            </c:strRef>
          </c:tx>
          <c:spPr>
            <a:ln w="28575" cap="rnd">
              <a:solidFill>
                <a:schemeClr val="accent3"/>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Sheet4!$AG$3:$AG$14</c:f>
              <c:numCache>
                <c:formatCode>General</c:formatCode>
                <c:ptCount val="12"/>
                <c:pt idx="0">
                  <c:v>2.7391244772843439</c:v>
                </c:pt>
                <c:pt idx="1">
                  <c:v>10.760967272534998</c:v>
                </c:pt>
                <c:pt idx="2">
                  <c:v>-300.52118707682848</c:v>
                </c:pt>
                <c:pt idx="3">
                  <c:v>1.9655452106476972</c:v>
                </c:pt>
                <c:pt idx="4">
                  <c:v>2.7264471892475939E-2</c:v>
                </c:pt>
                <c:pt idx="5">
                  <c:v>9.242146781183056</c:v>
                </c:pt>
                <c:pt idx="6">
                  <c:v>59.132787365816284</c:v>
                </c:pt>
                <c:pt idx="7">
                  <c:v>0.94148056345560605</c:v>
                </c:pt>
                <c:pt idx="8">
                  <c:v>21.513959711694923</c:v>
                </c:pt>
                <c:pt idx="9">
                  <c:v>-3.4564689597928133</c:v>
                </c:pt>
                <c:pt idx="10">
                  <c:v>2.3594954079092645</c:v>
                </c:pt>
                <c:pt idx="11">
                  <c:v>25.805756892484624</c:v>
                </c:pt>
              </c:numCache>
            </c:numRef>
          </c:val>
          <c:smooth val="0"/>
          <c:extLst>
            <c:ext xmlns:c16="http://schemas.microsoft.com/office/drawing/2014/chart" uri="{C3380CC4-5D6E-409C-BE32-E72D297353CC}">
              <c16:uniqueId val="{00000002-78E4-428A-8901-E69CE7F0BE6F}"/>
            </c:ext>
          </c:extLst>
        </c:ser>
        <c:ser>
          <c:idx val="3"/>
          <c:order val="3"/>
          <c:tx>
            <c:strRef>
              <c:f>Sheet4!$AH$2</c:f>
              <c:strCache>
                <c:ptCount val="1"/>
                <c:pt idx="0">
                  <c:v>Greece</c:v>
                </c:pt>
              </c:strCache>
            </c:strRef>
          </c:tx>
          <c:spPr>
            <a:ln w="28575" cap="rnd">
              <a:solidFill>
                <a:schemeClr val="accent4"/>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Sheet4!$AH$3:$AH$14</c:f>
              <c:numCache>
                <c:formatCode>General</c:formatCode>
                <c:ptCount val="12"/>
                <c:pt idx="0">
                  <c:v>10.549967914249976</c:v>
                </c:pt>
                <c:pt idx="1">
                  <c:v>103.69951244887125</c:v>
                </c:pt>
                <c:pt idx="2">
                  <c:v>-10.525494603018416</c:v>
                </c:pt>
                <c:pt idx="3">
                  <c:v>3.8949245560680135E-2</c:v>
                </c:pt>
                <c:pt idx="4">
                  <c:v>9.1437599045273643</c:v>
                </c:pt>
                <c:pt idx="5">
                  <c:v>22.848909038151305</c:v>
                </c:pt>
                <c:pt idx="6">
                  <c:v>0.86374363619780326</c:v>
                </c:pt>
                <c:pt idx="7">
                  <c:v>11.873305311847361</c:v>
                </c:pt>
                <c:pt idx="8">
                  <c:v>33.259057890137271</c:v>
                </c:pt>
                <c:pt idx="9">
                  <c:v>-1.1797477039546322</c:v>
                </c:pt>
                <c:pt idx="10">
                  <c:v>25.005778428817393</c:v>
                </c:pt>
                <c:pt idx="11">
                  <c:v>3.7520986154769957</c:v>
                </c:pt>
              </c:numCache>
            </c:numRef>
          </c:val>
          <c:smooth val="0"/>
          <c:extLst>
            <c:ext xmlns:c16="http://schemas.microsoft.com/office/drawing/2014/chart" uri="{C3380CC4-5D6E-409C-BE32-E72D297353CC}">
              <c16:uniqueId val="{00000003-78E4-428A-8901-E69CE7F0BE6F}"/>
            </c:ext>
          </c:extLst>
        </c:ser>
        <c:ser>
          <c:idx val="4"/>
          <c:order val="4"/>
          <c:tx>
            <c:strRef>
              <c:f>Sheet4!$AI$2</c:f>
              <c:strCache>
                <c:ptCount val="1"/>
                <c:pt idx="0">
                  <c:v>Italy</c:v>
                </c:pt>
              </c:strCache>
            </c:strRef>
          </c:tx>
          <c:spPr>
            <a:ln w="28575" cap="rnd">
              <a:solidFill>
                <a:schemeClr val="accent5"/>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Sheet4!$AI$3:$AI$14</c:f>
              <c:numCache>
                <c:formatCode>General</c:formatCode>
                <c:ptCount val="12"/>
                <c:pt idx="0">
                  <c:v>7.0560227465000125E-2</c:v>
                </c:pt>
                <c:pt idx="1">
                  <c:v>24.137254406360981</c:v>
                </c:pt>
                <c:pt idx="2">
                  <c:v>-173.06351895233479</c:v>
                </c:pt>
                <c:pt idx="3">
                  <c:v>0.44958650370691977</c:v>
                </c:pt>
                <c:pt idx="4">
                  <c:v>3.9689130300298245</c:v>
                </c:pt>
                <c:pt idx="5">
                  <c:v>6.7522808765474363</c:v>
                </c:pt>
                <c:pt idx="6">
                  <c:v>5.9577259049708999</c:v>
                </c:pt>
                <c:pt idx="7">
                  <c:v>72.263261364748587</c:v>
                </c:pt>
                <c:pt idx="8">
                  <c:v>19.038113707766371</c:v>
                </c:pt>
                <c:pt idx="9">
                  <c:v>-0.29352463131220174</c:v>
                </c:pt>
                <c:pt idx="10">
                  <c:v>4.2199871656999903</c:v>
                </c:pt>
                <c:pt idx="11">
                  <c:v>41.967466945454817</c:v>
                </c:pt>
              </c:numCache>
            </c:numRef>
          </c:val>
          <c:smooth val="0"/>
          <c:extLst>
            <c:ext xmlns:c16="http://schemas.microsoft.com/office/drawing/2014/chart" uri="{C3380CC4-5D6E-409C-BE32-E72D297353CC}">
              <c16:uniqueId val="{00000004-78E4-428A-8901-E69CE7F0BE6F}"/>
            </c:ext>
          </c:extLst>
        </c:ser>
        <c:ser>
          <c:idx val="5"/>
          <c:order val="5"/>
          <c:tx>
            <c:strRef>
              <c:f>Sheet4!$AJ$2</c:f>
              <c:strCache>
                <c:ptCount val="1"/>
                <c:pt idx="0">
                  <c:v>Norway</c:v>
                </c:pt>
              </c:strCache>
            </c:strRef>
          </c:tx>
          <c:spPr>
            <a:ln w="28575" cap="rnd">
              <a:solidFill>
                <a:schemeClr val="accent6"/>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Sheet4!$AJ$3:$AJ$14</c:f>
              <c:numCache>
                <c:formatCode>General</c:formatCode>
                <c:ptCount val="12"/>
                <c:pt idx="0">
                  <c:v>9.0894588959930331</c:v>
                </c:pt>
                <c:pt idx="1">
                  <c:v>1.4969756196922281</c:v>
                </c:pt>
                <c:pt idx="2">
                  <c:v>-31.185283155806388</c:v>
                </c:pt>
                <c:pt idx="3">
                  <c:v>56.119736148800939</c:v>
                </c:pt>
                <c:pt idx="4">
                  <c:v>1.375881647453383</c:v>
                </c:pt>
                <c:pt idx="5">
                  <c:v>8.6352955353000138E-3</c:v>
                </c:pt>
                <c:pt idx="6">
                  <c:v>23.912416463820858</c:v>
                </c:pt>
                <c:pt idx="7">
                  <c:v>64.454738228739643</c:v>
                </c:pt>
                <c:pt idx="8">
                  <c:v>1.7059255514399219</c:v>
                </c:pt>
                <c:pt idx="9">
                  <c:v>-2.0543028105744554</c:v>
                </c:pt>
                <c:pt idx="10">
                  <c:v>6.9129379195856258</c:v>
                </c:pt>
                <c:pt idx="11">
                  <c:v>2.4349797811241132</c:v>
                </c:pt>
              </c:numCache>
            </c:numRef>
          </c:val>
          <c:smooth val="0"/>
          <c:extLst>
            <c:ext xmlns:c16="http://schemas.microsoft.com/office/drawing/2014/chart" uri="{C3380CC4-5D6E-409C-BE32-E72D297353CC}">
              <c16:uniqueId val="{00000005-78E4-428A-8901-E69CE7F0BE6F}"/>
            </c:ext>
          </c:extLst>
        </c:ser>
        <c:ser>
          <c:idx val="6"/>
          <c:order val="6"/>
          <c:tx>
            <c:strRef>
              <c:f>Sheet4!$AK$2</c:f>
              <c:strCache>
                <c:ptCount val="1"/>
                <c:pt idx="0">
                  <c:v>Spain</c:v>
                </c:pt>
              </c:strCache>
            </c:strRef>
          </c:tx>
          <c:spPr>
            <a:ln w="28575" cap="rnd">
              <a:solidFill>
                <a:schemeClr val="accent1">
                  <a:lumMod val="60000"/>
                </a:schemeClr>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Sheet4!$AK$3:$AK$14</c:f>
              <c:numCache>
                <c:formatCode>General</c:formatCode>
                <c:ptCount val="12"/>
                <c:pt idx="0">
                  <c:v>105.22695898450823</c:v>
                </c:pt>
                <c:pt idx="1">
                  <c:v>3.7039571473415611</c:v>
                </c:pt>
                <c:pt idx="2">
                  <c:v>-70.010538479611654</c:v>
                </c:pt>
                <c:pt idx="3">
                  <c:v>45.380631600741125</c:v>
                </c:pt>
                <c:pt idx="4">
                  <c:v>22.937392768586363</c:v>
                </c:pt>
                <c:pt idx="5">
                  <c:v>4.6561125898094318</c:v>
                </c:pt>
                <c:pt idx="6">
                  <c:v>28.36102237961812</c:v>
                </c:pt>
                <c:pt idx="7">
                  <c:v>25.496810362329882</c:v>
                </c:pt>
                <c:pt idx="8">
                  <c:v>142.27309397988992</c:v>
                </c:pt>
                <c:pt idx="9">
                  <c:v>-14.320780993607315</c:v>
                </c:pt>
                <c:pt idx="10">
                  <c:v>4.2228328210216111</c:v>
                </c:pt>
                <c:pt idx="11">
                  <c:v>4.9608219074555189</c:v>
                </c:pt>
              </c:numCache>
            </c:numRef>
          </c:val>
          <c:smooth val="0"/>
          <c:extLst>
            <c:ext xmlns:c16="http://schemas.microsoft.com/office/drawing/2014/chart" uri="{C3380CC4-5D6E-409C-BE32-E72D297353CC}">
              <c16:uniqueId val="{00000006-78E4-428A-8901-E69CE7F0BE6F}"/>
            </c:ext>
          </c:extLst>
        </c:ser>
        <c:ser>
          <c:idx val="7"/>
          <c:order val="7"/>
          <c:tx>
            <c:strRef>
              <c:f>Sheet4!$AL$2</c:f>
              <c:strCache>
                <c:ptCount val="1"/>
                <c:pt idx="0">
                  <c:v>Sweeden</c:v>
                </c:pt>
              </c:strCache>
            </c:strRef>
          </c:tx>
          <c:spPr>
            <a:ln w="28575" cap="rnd">
              <a:solidFill>
                <a:schemeClr val="accent2">
                  <a:lumMod val="60000"/>
                </a:schemeClr>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Sheet4!$AL$3:$AL$14</c:f>
              <c:numCache>
                <c:formatCode>General</c:formatCode>
                <c:ptCount val="12"/>
                <c:pt idx="0">
                  <c:v>12.085982356689103</c:v>
                </c:pt>
                <c:pt idx="1">
                  <c:v>28.935693698766276</c:v>
                </c:pt>
                <c:pt idx="2">
                  <c:v>-98.88453972658283</c:v>
                </c:pt>
                <c:pt idx="3">
                  <c:v>42.795957991942991</c:v>
                </c:pt>
                <c:pt idx="4">
                  <c:v>17.791439481452073</c:v>
                </c:pt>
                <c:pt idx="5">
                  <c:v>19.394175132311631</c:v>
                </c:pt>
                <c:pt idx="6">
                  <c:v>21.783662776761261</c:v>
                </c:pt>
                <c:pt idx="7">
                  <c:v>13.386626782132545</c:v>
                </c:pt>
                <c:pt idx="8">
                  <c:v>43.730778454695738</c:v>
                </c:pt>
                <c:pt idx="9">
                  <c:v>0.70804201633588337</c:v>
                </c:pt>
                <c:pt idx="10">
                  <c:v>10.898122177922581</c:v>
                </c:pt>
                <c:pt idx="11">
                  <c:v>11.20120601247592</c:v>
                </c:pt>
              </c:numCache>
            </c:numRef>
          </c:val>
          <c:smooth val="0"/>
          <c:extLst>
            <c:ext xmlns:c16="http://schemas.microsoft.com/office/drawing/2014/chart" uri="{C3380CC4-5D6E-409C-BE32-E72D297353CC}">
              <c16:uniqueId val="{00000007-78E4-428A-8901-E69CE7F0BE6F}"/>
            </c:ext>
          </c:extLst>
        </c:ser>
        <c:ser>
          <c:idx val="8"/>
          <c:order val="8"/>
          <c:tx>
            <c:strRef>
              <c:f>Sheet4!$AM$2</c:f>
              <c:strCache>
                <c:ptCount val="1"/>
                <c:pt idx="0">
                  <c:v>Switzerland</c:v>
                </c:pt>
              </c:strCache>
            </c:strRef>
          </c:tx>
          <c:spPr>
            <a:ln w="28575" cap="rnd">
              <a:solidFill>
                <a:schemeClr val="accent3">
                  <a:lumMod val="60000"/>
                </a:schemeClr>
              </a:solidFill>
              <a:round/>
            </a:ln>
            <a:effectLst/>
          </c:spPr>
          <c:marker>
            <c:symbol val="none"/>
          </c:marker>
          <c:cat>
            <c:numRef>
              <c:f>Sheet4!$AD$3:$AD$14</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Sheet4!$AM$3:$AM$14</c:f>
              <c:numCache>
                <c:formatCode>General</c:formatCode>
                <c:ptCount val="12"/>
                <c:pt idx="0">
                  <c:v>68.413184591816872</c:v>
                </c:pt>
                <c:pt idx="1">
                  <c:v>73.035983067397467</c:v>
                </c:pt>
                <c:pt idx="2">
                  <c:v>-31.206312264067666</c:v>
                </c:pt>
                <c:pt idx="3">
                  <c:v>6.6337102710876659</c:v>
                </c:pt>
                <c:pt idx="4">
                  <c:v>43.360322906226685</c:v>
                </c:pt>
                <c:pt idx="5">
                  <c:v>41.172176987042931</c:v>
                </c:pt>
                <c:pt idx="6">
                  <c:v>3.7980010340742423</c:v>
                </c:pt>
                <c:pt idx="7">
                  <c:v>26.054193216795856</c:v>
                </c:pt>
                <c:pt idx="8">
                  <c:v>168.14653723620336</c:v>
                </c:pt>
                <c:pt idx="9">
                  <c:v>-11.872356505479349</c:v>
                </c:pt>
                <c:pt idx="10">
                  <c:v>4.4343929426756361</c:v>
                </c:pt>
                <c:pt idx="11">
                  <c:v>11.374141940902529</c:v>
                </c:pt>
              </c:numCache>
            </c:numRef>
          </c:val>
          <c:smooth val="0"/>
          <c:extLst>
            <c:ext xmlns:c16="http://schemas.microsoft.com/office/drawing/2014/chart" uri="{C3380CC4-5D6E-409C-BE32-E72D297353CC}">
              <c16:uniqueId val="{00000008-78E4-428A-8901-E69CE7F0BE6F}"/>
            </c:ext>
          </c:extLst>
        </c:ser>
        <c:dLbls>
          <c:showLegendKey val="0"/>
          <c:showVal val="0"/>
          <c:showCatName val="0"/>
          <c:showSerName val="0"/>
          <c:showPercent val="0"/>
          <c:showBubbleSize val="0"/>
        </c:dLbls>
        <c:smooth val="0"/>
        <c:axId val="508547448"/>
        <c:axId val="508546792"/>
      </c:lineChart>
      <c:dateAx>
        <c:axId val="5085474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6792"/>
        <c:crosses val="autoZero"/>
        <c:auto val="1"/>
        <c:lblOffset val="100"/>
        <c:baseTimeUnit val="months"/>
      </c:dateAx>
      <c:valAx>
        <c:axId val="50854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7448"/>
        <c:crosses val="autoZero"/>
        <c:crossBetween val="between"/>
      </c:valAx>
      <c:spPr>
        <a:noFill/>
        <a:ln>
          <a:noFill/>
        </a:ln>
        <a:effectLst/>
      </c:spPr>
    </c:plotArea>
    <c:legend>
      <c:legendPos val="b"/>
      <c:layout>
        <c:manualLayout>
          <c:xMode val="edge"/>
          <c:yMode val="edge"/>
          <c:x val="0.02"/>
          <c:y val="5.6578532946539653E-2"/>
          <c:w val="0.12999999999999998"/>
          <c:h val="0.92236883547451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2" fmlaLink="Calc!$G$7" fmlaRange="Calc!$G$2:$G$6" noThreeD="1" sel="4" val="0"/>
</file>

<file path=xl/ctrlProps/ctrlProp10.xml><?xml version="1.0" encoding="utf-8"?>
<formControlPr xmlns="http://schemas.microsoft.com/office/spreadsheetml/2009/9/main" objectType="CheckBox" checked="Checked" fmlaLink="$L$13" lockText="1" noThreeD="1"/>
</file>

<file path=xl/ctrlProps/ctrlProp11.xml><?xml version="1.0" encoding="utf-8"?>
<formControlPr xmlns="http://schemas.microsoft.com/office/spreadsheetml/2009/9/main" objectType="Drop" dropStyle="combo" dx="16" fmlaLink="Calc!$A$53" fmlaRange="Calc!$A$44:$A$52" noThreeD="1" sel="7"/>
</file>

<file path=xl/ctrlProps/ctrlProp12.xml><?xml version="1.0" encoding="utf-8"?>
<formControlPr xmlns="http://schemas.microsoft.com/office/spreadsheetml/2009/9/main" objectType="List" dx="26" fmlaLink="$G$23" fmlaRange="$G$17:$G$21" sel="2" val="0"/>
</file>

<file path=xl/ctrlProps/ctrlProp13.xml><?xml version="1.0" encoding="utf-8"?>
<formControlPr xmlns="http://schemas.microsoft.com/office/spreadsheetml/2009/9/main" objectType="CheckBox" checked="Checked" fmlaLink="$U$20" lockText="1" noThreeD="1"/>
</file>

<file path=xl/ctrlProps/ctrlProp14.xml><?xml version="1.0" encoding="utf-8"?>
<formControlPr xmlns="http://schemas.microsoft.com/office/spreadsheetml/2009/9/main" objectType="CheckBox" checked="Checked" fmlaLink="$U$22" lockText="1" noThreeD="1"/>
</file>

<file path=xl/ctrlProps/ctrlProp15.xml><?xml version="1.0" encoding="utf-8"?>
<formControlPr xmlns="http://schemas.microsoft.com/office/spreadsheetml/2009/9/main" objectType="CheckBox" checked="Checked" fmlaLink="$U$24" lockText="1" noThreeD="1"/>
</file>

<file path=xl/ctrlProps/ctrlProp16.xml><?xml version="1.0" encoding="utf-8"?>
<formControlPr xmlns="http://schemas.microsoft.com/office/spreadsheetml/2009/9/main" objectType="CheckBox" checked="Checked" fmlaLink="$U$26" lockText="1" noThreeD="1"/>
</file>

<file path=xl/ctrlProps/ctrlProp17.xml><?xml version="1.0" encoding="utf-8"?>
<formControlPr xmlns="http://schemas.microsoft.com/office/spreadsheetml/2009/9/main" objectType="CheckBox" checked="Checked" fmlaLink="$U$28" lockText="1" noThreeD="1"/>
</file>

<file path=xl/ctrlProps/ctrlProp18.xml><?xml version="1.0" encoding="utf-8"?>
<formControlPr xmlns="http://schemas.microsoft.com/office/spreadsheetml/2009/9/main" objectType="CheckBox" checked="Checked" fmlaLink="$U$31" lockText="1" noThreeD="1"/>
</file>

<file path=xl/ctrlProps/ctrlProp19.xml><?xml version="1.0" encoding="utf-8"?>
<formControlPr xmlns="http://schemas.microsoft.com/office/spreadsheetml/2009/9/main" objectType="CheckBox" checked="Checked" fmlaLink="$U$33" lockText="1" noThreeD="1"/>
</file>

<file path=xl/ctrlProps/ctrlProp2.xml><?xml version="1.0" encoding="utf-8"?>
<formControlPr xmlns="http://schemas.microsoft.com/office/spreadsheetml/2009/9/main" objectType="CheckBox" checked="Checked" fmlaLink="$L$6" lockText="1" noThreeD="1"/>
</file>

<file path=xl/ctrlProps/ctrlProp20.xml><?xml version="1.0" encoding="utf-8"?>
<formControlPr xmlns="http://schemas.microsoft.com/office/spreadsheetml/2009/9/main" objectType="CheckBox" checked="Checked" fmlaLink="$U$35" lockText="1" noThreeD="1"/>
</file>

<file path=xl/ctrlProps/ctrlProp21.xml><?xml version="1.0" encoding="utf-8"?>
<formControlPr xmlns="http://schemas.microsoft.com/office/spreadsheetml/2009/9/main" objectType="CheckBox" checked="Checked" fmlaLink="$U$37" lockText="1" noThreeD="1"/>
</file>

<file path=xl/ctrlProps/ctrlProp3.xml><?xml version="1.0" encoding="utf-8"?>
<formControlPr xmlns="http://schemas.microsoft.com/office/spreadsheetml/2009/9/main" objectType="CheckBox" checked="Checked" fmlaLink="$L$8" lockText="1" noThreeD="1"/>
</file>

<file path=xl/ctrlProps/ctrlProp4.xml><?xml version="1.0" encoding="utf-8"?>
<formControlPr xmlns="http://schemas.microsoft.com/office/spreadsheetml/2009/9/main" objectType="CheckBox" checked="Checked" fmlaLink="$L$7" lockText="1" noThreeD="1"/>
</file>

<file path=xl/ctrlProps/ctrlProp5.xml><?xml version="1.0" encoding="utf-8"?>
<formControlPr xmlns="http://schemas.microsoft.com/office/spreadsheetml/2009/9/main" objectType="CheckBox" checked="Checked" fmlaLink="$L$5" lockText="1" noThreeD="1"/>
</file>

<file path=xl/ctrlProps/ctrlProp6.xml><?xml version="1.0" encoding="utf-8"?>
<formControlPr xmlns="http://schemas.microsoft.com/office/spreadsheetml/2009/9/main" objectType="CheckBox" checked="Checked" fmlaLink="$L$9" lockText="1" noThreeD="1"/>
</file>

<file path=xl/ctrlProps/ctrlProp7.xml><?xml version="1.0" encoding="utf-8"?>
<formControlPr xmlns="http://schemas.microsoft.com/office/spreadsheetml/2009/9/main" objectType="CheckBox" checked="Checked" fmlaLink="$L$10" lockText="1" noThreeD="1"/>
</file>

<file path=xl/ctrlProps/ctrlProp8.xml><?xml version="1.0" encoding="utf-8"?>
<formControlPr xmlns="http://schemas.microsoft.com/office/spreadsheetml/2009/9/main" objectType="CheckBox" checked="Checked" fmlaLink="$L$11" lockText="1" noThreeD="1"/>
</file>

<file path=xl/ctrlProps/ctrlProp9.xml><?xml version="1.0" encoding="utf-8"?>
<formControlPr xmlns="http://schemas.microsoft.com/office/spreadsheetml/2009/9/main" objectType="CheckBox" checked="Checked" fmlaLink="$L$12"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11</xdr:col>
      <xdr:colOff>381000</xdr:colOff>
      <xdr:row>5</xdr:row>
      <xdr:rowOff>0</xdr:rowOff>
    </xdr:from>
    <xdr:to>
      <xdr:col>12</xdr:col>
      <xdr:colOff>66675</xdr:colOff>
      <xdr:row>6</xdr:row>
      <xdr:rowOff>28575</xdr:rowOff>
    </xdr:to>
    <xdr:sp macro="" textlink="">
      <xdr:nvSpPr>
        <xdr:cNvPr id="2064"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2065"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66"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67"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2068"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2069"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70"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2071"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552449</xdr:colOff>
      <xdr:row>3</xdr:row>
      <xdr:rowOff>52387</xdr:rowOff>
    </xdr:from>
    <xdr:to>
      <xdr:col>10</xdr:col>
      <xdr:colOff>526732</xdr:colOff>
      <xdr:row>20</xdr:row>
      <xdr:rowOff>146112</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1746249" y="695854"/>
          <a:ext cx="4520883" cy="3378791"/>
          <a:chOff x="2019299" y="331055"/>
          <a:chExt cx="4393883" cy="3329782"/>
        </a:xfrm>
      </xdr:grpSpPr>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2019299" y="331055"/>
          <a:ext cx="4391025" cy="16335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2024062" y="2024061"/>
          <a:ext cx="4389120" cy="163677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absolute">
    <xdr:from>
      <xdr:col>13</xdr:col>
      <xdr:colOff>133350</xdr:colOff>
      <xdr:row>3</xdr:row>
      <xdr:rowOff>66675</xdr:rowOff>
    </xdr:from>
    <xdr:to>
      <xdr:col>20</xdr:col>
      <xdr:colOff>161925</xdr:colOff>
      <xdr:row>13</xdr:row>
      <xdr:rowOff>9525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742951</xdr:colOff>
      <xdr:row>14</xdr:row>
      <xdr:rowOff>9525</xdr:rowOff>
    </xdr:from>
    <xdr:to>
      <xdr:col>15</xdr:col>
      <xdr:colOff>152401</xdr:colOff>
      <xdr:row>22</xdr:row>
      <xdr:rowOff>57150</xdr:rowOff>
    </xdr:to>
    <xdr:grpSp>
      <xdr:nvGrpSpPr>
        <xdr:cNvPr id="13" name="Group 12">
          <a:extLst>
            <a:ext uri="{FF2B5EF4-FFF2-40B4-BE49-F238E27FC236}">
              <a16:creationId xmlns:a16="http://schemas.microsoft.com/office/drawing/2014/main" id="{00000000-0008-0000-0000-00000D000000}"/>
            </a:ext>
          </a:extLst>
        </xdr:cNvPr>
        <xdr:cNvGrpSpPr/>
      </xdr:nvGrpSpPr>
      <xdr:grpSpPr>
        <a:xfrm>
          <a:off x="7753351" y="2701925"/>
          <a:ext cx="1449917" cy="1664758"/>
          <a:chOff x="7553323" y="2752726"/>
          <a:chExt cx="1390650" cy="1676399"/>
        </a:xfrm>
      </xdr:grpSpPr>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7553323" y="2752726"/>
          <a:ext cx="1390650" cy="1214437"/>
        </xdr:xfrm>
        <a:graphic>
          <a:graphicData uri="http://schemas.openxmlformats.org/drawingml/2006/chart">
            <c:chart xmlns:c="http://schemas.openxmlformats.org/drawingml/2006/chart" xmlns:r="http://schemas.openxmlformats.org/officeDocument/2006/relationships" r:id="rId4"/>
          </a:graphicData>
        </a:graphic>
      </xdr:graphicFrame>
      <xdr:sp macro="" textlink="Calc!$A$54">
        <xdr:nvSpPr>
          <xdr:cNvPr id="9" name="TextBox 8">
            <a:extLst>
              <a:ext uri="{FF2B5EF4-FFF2-40B4-BE49-F238E27FC236}">
                <a16:creationId xmlns:a16="http://schemas.microsoft.com/office/drawing/2014/main" id="{00000000-0008-0000-0000-000009000000}"/>
              </a:ext>
            </a:extLst>
          </xdr:cNvPr>
          <xdr:cNvSpPr txBox="1"/>
        </xdr:nvSpPr>
        <xdr:spPr>
          <a:xfrm>
            <a:off x="7867650" y="3171826"/>
            <a:ext cx="96202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70BB61-66B5-4274-A557-113D3B134D5A}" type="TxLink">
              <a:rPr lang="en-US" sz="1600" b="0" i="0" u="none" strike="noStrike">
                <a:solidFill>
                  <a:srgbClr val="000000"/>
                </a:solidFill>
                <a:effectLst>
                  <a:outerShdw blurRad="50800" dist="50800" dir="5400000" sx="1000" sy="1000" algn="ctr" rotWithShape="0">
                    <a:srgbClr val="000000"/>
                  </a:outerShdw>
                </a:effectLst>
                <a:latin typeface="Calibri"/>
                <a:cs typeface="Calibri"/>
              </a:rPr>
              <a:pPr/>
              <a:t>83.33%</a:t>
            </a:fld>
            <a:endParaRPr lang="en-US" sz="1600">
              <a:solidFill>
                <a:schemeClr val="tx1"/>
              </a:solidFill>
              <a:effectLst>
                <a:outerShdw blurRad="50800" dist="50800" dir="5400000" sx="1000" sy="1000" algn="ctr" rotWithShape="0">
                  <a:srgbClr val="000000"/>
                </a:outerShdw>
              </a:effectLst>
              <a:latin typeface="+mn-lt"/>
            </a:endParaRPr>
          </a:p>
        </xdr:txBody>
      </xdr: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7686675" y="3943350"/>
            <a:ext cx="11525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50800" dir="5400000" sx="1000" sy="1000" algn="ctr" rotWithShape="0">
                    <a:srgbClr val="000000"/>
                  </a:outerShdw>
                </a:effectLst>
                <a:latin typeface="Calibri"/>
                <a:cs typeface="Calibri"/>
              </a:rPr>
              <a:t>CLIENT</a:t>
            </a:r>
            <a:r>
              <a:rPr lang="en-US" sz="1200" b="0" i="0" u="none" strike="noStrike" baseline="0">
                <a:solidFill>
                  <a:srgbClr val="000000"/>
                </a:solidFill>
                <a:effectLst>
                  <a:outerShdw blurRad="50800" dist="50800" dir="5400000" sx="1000" sy="1000" algn="ctr" rotWithShape="0">
                    <a:srgbClr val="000000"/>
                  </a:outerShdw>
                </a:effectLst>
                <a:latin typeface="Calibri"/>
                <a:cs typeface="Calibri"/>
              </a:rPr>
              <a:t> PRODUCTIVITY</a:t>
            </a:r>
            <a:endParaRPr lang="en-US" sz="1200" b="0" i="0" u="none" strike="noStrike">
              <a:solidFill>
                <a:srgbClr val="000000"/>
              </a:solidFill>
              <a:effectLst>
                <a:outerShdw blurRad="50800" dist="50800" dir="5400000" sx="1000" sy="1000" algn="ctr" rotWithShape="0">
                  <a:srgbClr val="000000"/>
                </a:outerShdw>
              </a:effectLst>
              <a:latin typeface="Calibri"/>
              <a:cs typeface="Calibri"/>
            </a:endParaRPr>
          </a:p>
        </xdr:txBody>
      </xdr:sp>
    </xdr:grpSp>
    <xdr:clientData/>
  </xdr:twoCellAnchor>
  <xdr:twoCellAnchor>
    <xdr:from>
      <xdr:col>16</xdr:col>
      <xdr:colOff>685800</xdr:colOff>
      <xdr:row>13</xdr:row>
      <xdr:rowOff>28576</xdr:rowOff>
    </xdr:from>
    <xdr:to>
      <xdr:col>21</xdr:col>
      <xdr:colOff>171450</xdr:colOff>
      <xdr:row>15</xdr:row>
      <xdr:rowOff>147639</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581025</xdr:colOff>
      <xdr:row>13</xdr:row>
      <xdr:rowOff>104775</xdr:rowOff>
    </xdr:from>
    <xdr:to>
      <xdr:col>21</xdr:col>
      <xdr:colOff>9525</xdr:colOff>
      <xdr:row>13</xdr:row>
      <xdr:rowOff>114301</xdr:rowOff>
    </xdr:to>
    <xdr:cxnSp macro="">
      <xdr:nvCxnSpPr>
        <xdr:cNvPr id="11" name="Straight Connector 10">
          <a:extLst>
            <a:ext uri="{FF2B5EF4-FFF2-40B4-BE49-F238E27FC236}">
              <a16:creationId xmlns:a16="http://schemas.microsoft.com/office/drawing/2014/main" id="{00000000-0008-0000-0000-00000B000000}"/>
            </a:ext>
          </a:extLst>
        </xdr:cNvPr>
        <xdr:cNvCxnSpPr/>
      </xdr:nvCxnSpPr>
      <xdr:spPr>
        <a:xfrm>
          <a:off x="6162675" y="2657475"/>
          <a:ext cx="6210300" cy="95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134216</xdr:colOff>
      <xdr:row>9</xdr:row>
      <xdr:rowOff>0</xdr:rowOff>
    </xdr:from>
    <xdr:to>
      <xdr:col>2</xdr:col>
      <xdr:colOff>571500</xdr:colOff>
      <xdr:row>17</xdr:row>
      <xdr:rowOff>177511</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257175</xdr:colOff>
      <xdr:row>9</xdr:row>
      <xdr:rowOff>114300</xdr:rowOff>
    </xdr:from>
    <xdr:to>
      <xdr:col>3</xdr:col>
      <xdr:colOff>133351</xdr:colOff>
      <xdr:row>17</xdr:row>
      <xdr:rowOff>66675</xdr:rowOff>
    </xdr:to>
    <xdr:sp macro="" textlink="">
      <xdr:nvSpPr>
        <xdr:cNvPr id="28" name="Up Arrow 27">
          <a:extLst>
            <a:ext uri="{FF2B5EF4-FFF2-40B4-BE49-F238E27FC236}">
              <a16:creationId xmlns:a16="http://schemas.microsoft.com/office/drawing/2014/main" id="{00000000-0008-0000-0000-00001C000000}"/>
            </a:ext>
          </a:extLst>
        </xdr:cNvPr>
        <xdr:cNvSpPr/>
      </xdr:nvSpPr>
      <xdr:spPr>
        <a:xfrm>
          <a:off x="523875" y="1905000"/>
          <a:ext cx="771526" cy="1552575"/>
        </a:xfrm>
        <a:prstGeom prst="upArrow">
          <a:avLst/>
        </a:prstGeom>
        <a:noFill/>
        <a:ln w="3175">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133351</xdr:colOff>
      <xdr:row>6</xdr:row>
      <xdr:rowOff>76200</xdr:rowOff>
    </xdr:from>
    <xdr:to>
      <xdr:col>3</xdr:col>
      <xdr:colOff>276225</xdr:colOff>
      <xdr:row>9</xdr:row>
      <xdr:rowOff>47625</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400051" y="1295400"/>
          <a:ext cx="103822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PROFIT</a:t>
          </a:r>
          <a:r>
            <a:rPr lang="en-US" sz="1200" b="1" baseline="0"/>
            <a:t> PERCENTAGE</a:t>
          </a:r>
          <a:endParaRPr lang="en-US" sz="1200" b="1"/>
        </a:p>
      </xdr:txBody>
    </xdr:sp>
    <xdr:clientData/>
  </xdr:twoCellAnchor>
  <xdr:twoCellAnchor>
    <xdr:from>
      <xdr:col>1</xdr:col>
      <xdr:colOff>180974</xdr:colOff>
      <xdr:row>17</xdr:row>
      <xdr:rowOff>171450</xdr:rowOff>
    </xdr:from>
    <xdr:to>
      <xdr:col>3</xdr:col>
      <xdr:colOff>361949</xdr:colOff>
      <xdr:row>19</xdr:row>
      <xdr:rowOff>190500</xdr:rowOff>
    </xdr:to>
    <xdr:sp macro="" textlink="Calc!B87">
      <xdr:nvSpPr>
        <xdr:cNvPr id="29" name="TextBox 28">
          <a:extLst>
            <a:ext uri="{FF2B5EF4-FFF2-40B4-BE49-F238E27FC236}">
              <a16:creationId xmlns:a16="http://schemas.microsoft.com/office/drawing/2014/main" id="{00000000-0008-0000-0000-00001D000000}"/>
            </a:ext>
          </a:extLst>
        </xdr:cNvPr>
        <xdr:cNvSpPr txBox="1"/>
      </xdr:nvSpPr>
      <xdr:spPr>
        <a:xfrm>
          <a:off x="447674" y="3562350"/>
          <a:ext cx="10763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F109B1B-4573-4D70-B49F-26FD1849C851}" type="TxLink">
            <a:rPr lang="en-US" sz="1800" b="1" i="0" u="none" strike="noStrike">
              <a:solidFill>
                <a:srgbClr val="000000"/>
              </a:solidFill>
              <a:latin typeface="Calibri"/>
              <a:cs typeface="Calibri"/>
            </a:rPr>
            <a:pPr/>
            <a:t>10.85%</a:t>
          </a:fld>
          <a:endParaRPr lang="en-US" sz="1800" b="1"/>
        </a:p>
      </xdr:txBody>
    </xdr:sp>
    <xdr:clientData/>
  </xdr:twoCellAnchor>
  <xdr:twoCellAnchor editAs="oneCell">
    <xdr:from>
      <xdr:col>11</xdr:col>
      <xdr:colOff>381000</xdr:colOff>
      <xdr:row>5</xdr:row>
      <xdr:rowOff>0</xdr:rowOff>
    </xdr:from>
    <xdr:to>
      <xdr:col>12</xdr:col>
      <xdr:colOff>66675</xdr:colOff>
      <xdr:row>6</xdr:row>
      <xdr:rowOff>28575</xdr:rowOff>
    </xdr:to>
    <xdr:sp macro="" textlink="">
      <xdr:nvSpPr>
        <xdr:cNvPr id="5"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05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10"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0A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15"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0F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16"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10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17"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11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18"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12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19"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13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20"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14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66675</xdr:colOff>
      <xdr:row>6</xdr:row>
      <xdr:rowOff>28575</xdr:rowOff>
    </xdr:to>
    <xdr:sp macro="" textlink="">
      <xdr:nvSpPr>
        <xdr:cNvPr id="21"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15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22"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16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3"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17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4"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18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25"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19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27"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1B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30"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1E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31"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1F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66675</xdr:colOff>
      <xdr:row>6</xdr:row>
      <xdr:rowOff>28575</xdr:rowOff>
    </xdr:to>
    <xdr:sp macro="" textlink="">
      <xdr:nvSpPr>
        <xdr:cNvPr id="2048"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0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2050"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53"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61"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2062"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2072"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73"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2074"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66675</xdr:colOff>
      <xdr:row>6</xdr:row>
      <xdr:rowOff>28575</xdr:rowOff>
    </xdr:to>
    <xdr:sp macro="" textlink="">
      <xdr:nvSpPr>
        <xdr:cNvPr id="2075"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2076"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77"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78"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2079"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2080"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81"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2082"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76200</xdr:colOff>
      <xdr:row>6</xdr:row>
      <xdr:rowOff>28575</xdr:rowOff>
    </xdr:to>
    <xdr:sp macro="" textlink="">
      <xdr:nvSpPr>
        <xdr:cNvPr id="2083"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76200</xdr:colOff>
      <xdr:row>8</xdr:row>
      <xdr:rowOff>28575</xdr:rowOff>
    </xdr:to>
    <xdr:sp macro="" textlink="">
      <xdr:nvSpPr>
        <xdr:cNvPr id="2084"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85"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86"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76200</xdr:colOff>
      <xdr:row>9</xdr:row>
      <xdr:rowOff>28575</xdr:rowOff>
    </xdr:to>
    <xdr:sp macro="" textlink="">
      <xdr:nvSpPr>
        <xdr:cNvPr id="2087"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76200</xdr:colOff>
      <xdr:row>10</xdr:row>
      <xdr:rowOff>28575</xdr:rowOff>
    </xdr:to>
    <xdr:sp macro="" textlink="">
      <xdr:nvSpPr>
        <xdr:cNvPr id="2088"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89"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76200</xdr:colOff>
      <xdr:row>13</xdr:row>
      <xdr:rowOff>38100</xdr:rowOff>
    </xdr:to>
    <xdr:sp macro="" textlink="">
      <xdr:nvSpPr>
        <xdr:cNvPr id="2090"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76200</xdr:colOff>
      <xdr:row>6</xdr:row>
      <xdr:rowOff>28575</xdr:rowOff>
    </xdr:to>
    <xdr:sp macro="" textlink="">
      <xdr:nvSpPr>
        <xdr:cNvPr id="2091"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76200</xdr:colOff>
      <xdr:row>8</xdr:row>
      <xdr:rowOff>28575</xdr:rowOff>
    </xdr:to>
    <xdr:sp macro="" textlink="">
      <xdr:nvSpPr>
        <xdr:cNvPr id="2092"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93"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94"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76200</xdr:colOff>
      <xdr:row>9</xdr:row>
      <xdr:rowOff>28575</xdr:rowOff>
    </xdr:to>
    <xdr:sp macro="" textlink="">
      <xdr:nvSpPr>
        <xdr:cNvPr id="2095"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76200</xdr:colOff>
      <xdr:row>10</xdr:row>
      <xdr:rowOff>28575</xdr:rowOff>
    </xdr:to>
    <xdr:sp macro="" textlink="">
      <xdr:nvSpPr>
        <xdr:cNvPr id="2096"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97"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76200</xdr:colOff>
      <xdr:row>13</xdr:row>
      <xdr:rowOff>38100</xdr:rowOff>
    </xdr:to>
    <xdr:sp macro="" textlink="">
      <xdr:nvSpPr>
        <xdr:cNvPr id="2098"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76200</xdr:colOff>
      <xdr:row>6</xdr:row>
      <xdr:rowOff>28575</xdr:rowOff>
    </xdr:to>
    <xdr:sp macro="" textlink="">
      <xdr:nvSpPr>
        <xdr:cNvPr id="2099"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76200</xdr:colOff>
      <xdr:row>8</xdr:row>
      <xdr:rowOff>28575</xdr:rowOff>
    </xdr:to>
    <xdr:sp macro="" textlink="">
      <xdr:nvSpPr>
        <xdr:cNvPr id="2100"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101"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102"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76200</xdr:colOff>
      <xdr:row>9</xdr:row>
      <xdr:rowOff>28575</xdr:rowOff>
    </xdr:to>
    <xdr:sp macro="" textlink="">
      <xdr:nvSpPr>
        <xdr:cNvPr id="2103"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76200</xdr:colOff>
      <xdr:row>10</xdr:row>
      <xdr:rowOff>28575</xdr:rowOff>
    </xdr:to>
    <xdr:sp macro="" textlink="">
      <xdr:nvSpPr>
        <xdr:cNvPr id="2104"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105"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76200</xdr:colOff>
      <xdr:row>13</xdr:row>
      <xdr:rowOff>38100</xdr:rowOff>
    </xdr:to>
    <xdr:sp macro="" textlink="">
      <xdr:nvSpPr>
        <xdr:cNvPr id="2106"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xdr:col>
          <xdr:colOff>129540</xdr:colOff>
          <xdr:row>2</xdr:row>
          <xdr:rowOff>76200</xdr:rowOff>
        </xdr:from>
        <xdr:to>
          <xdr:col>3</xdr:col>
          <xdr:colOff>312420</xdr:colOff>
          <xdr:row>6</xdr:row>
          <xdr:rowOff>30480</xdr:rowOff>
        </xdr:to>
        <xdr:sp macro="" textlink="">
          <xdr:nvSpPr>
            <xdr:cNvPr id="2049" name="List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5</xdr:row>
          <xdr:rowOff>0</xdr:rowOff>
        </xdr:from>
        <xdr:to>
          <xdr:col>12</xdr:col>
          <xdr:colOff>60960</xdr:colOff>
          <xdr:row>6</xdr:row>
          <xdr:rowOff>22860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6</xdr:row>
          <xdr:rowOff>152400</xdr:rowOff>
        </xdr:from>
        <xdr:to>
          <xdr:col>12</xdr:col>
          <xdr:colOff>60960</xdr:colOff>
          <xdr:row>8</xdr:row>
          <xdr:rowOff>22860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312420</xdr:colOff>
          <xdr:row>6</xdr:row>
          <xdr:rowOff>15240</xdr:rowOff>
        </xdr:from>
        <xdr:to>
          <xdr:col>12</xdr:col>
          <xdr:colOff>60960</xdr:colOff>
          <xdr:row>7</xdr:row>
          <xdr:rowOff>38100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4</xdr:row>
          <xdr:rowOff>7620</xdr:rowOff>
        </xdr:from>
        <xdr:to>
          <xdr:col>12</xdr:col>
          <xdr:colOff>60960</xdr:colOff>
          <xdr:row>5</xdr:row>
          <xdr:rowOff>30480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7</xdr:row>
          <xdr:rowOff>152400</xdr:rowOff>
        </xdr:from>
        <xdr:to>
          <xdr:col>12</xdr:col>
          <xdr:colOff>60960</xdr:colOff>
          <xdr:row>9</xdr:row>
          <xdr:rowOff>22860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8</xdr:row>
          <xdr:rowOff>144780</xdr:rowOff>
        </xdr:from>
        <xdr:to>
          <xdr:col>12</xdr:col>
          <xdr:colOff>60960</xdr:colOff>
          <xdr:row>10</xdr:row>
          <xdr:rowOff>22860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297180</xdr:colOff>
          <xdr:row>9</xdr:row>
          <xdr:rowOff>152400</xdr:rowOff>
        </xdr:from>
        <xdr:to>
          <xdr:col>12</xdr:col>
          <xdr:colOff>45720</xdr:colOff>
          <xdr:row>11</xdr:row>
          <xdr:rowOff>22860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11</xdr:row>
          <xdr:rowOff>0</xdr:rowOff>
        </xdr:from>
        <xdr:to>
          <xdr:col>12</xdr:col>
          <xdr:colOff>60960</xdr:colOff>
          <xdr:row>12</xdr:row>
          <xdr:rowOff>22860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12</xdr:row>
          <xdr:rowOff>7620</xdr:rowOff>
        </xdr:from>
        <xdr:to>
          <xdr:col>12</xdr:col>
          <xdr:colOff>60960</xdr:colOff>
          <xdr:row>13</xdr:row>
          <xdr:rowOff>30480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53340</xdr:colOff>
          <xdr:row>16</xdr:row>
          <xdr:rowOff>76200</xdr:rowOff>
        </xdr:from>
        <xdr:to>
          <xdr:col>12</xdr:col>
          <xdr:colOff>480060</xdr:colOff>
          <xdr:row>17</xdr:row>
          <xdr:rowOff>99060</xdr:rowOff>
        </xdr:to>
        <xdr:sp macro="" textlink="">
          <xdr:nvSpPr>
            <xdr:cNvPr id="2063" name="Drop Down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304800</xdr:colOff>
      <xdr:row>5</xdr:row>
      <xdr:rowOff>0</xdr:rowOff>
    </xdr:from>
    <xdr:to>
      <xdr:col>12</xdr:col>
      <xdr:colOff>60960</xdr:colOff>
      <xdr:row>6</xdr:row>
      <xdr:rowOff>22860</xdr:rowOff>
    </xdr:to>
    <xdr:sp macro="" textlink="">
      <xdr:nvSpPr>
        <xdr:cNvPr id="2107"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08"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09"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10"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11"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12"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13"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4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14"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4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15"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16"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4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17"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4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18"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19"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20"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21"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22"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23"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4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24"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4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25"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4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26"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4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27"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4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28"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5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29"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5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30"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5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31"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5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32"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5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33"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5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34"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5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35"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5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36"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5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37"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5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38"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5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39"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5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40"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5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41"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5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42"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5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43"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5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44"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6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45"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6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46"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6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47"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6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48"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6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49"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6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50"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6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51"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6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52"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6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53"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6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54"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6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11</xdr:col>
          <xdr:colOff>304800</xdr:colOff>
          <xdr:row>5</xdr:row>
          <xdr:rowOff>0</xdr:rowOff>
        </xdr:from>
        <xdr:to>
          <xdr:col>12</xdr:col>
          <xdr:colOff>60960</xdr:colOff>
          <xdr:row>6</xdr:row>
          <xdr:rowOff>22860</xdr:rowOff>
        </xdr:to>
        <xdr:sp macro="" textlink="">
          <xdr:nvSpPr>
            <xdr:cNvPr id="2155" name="Check Box 3" hidden="1">
              <a:extLst>
                <a:ext uri="{63B3BB69-23CF-44E3-9099-C40C66FF867C}">
                  <a14:compatExt spid="_x0000_s2064"/>
                </a:ext>
                <a:ext uri="{FF2B5EF4-FFF2-40B4-BE49-F238E27FC236}">
                  <a16:creationId xmlns:a16="http://schemas.microsoft.com/office/drawing/2014/main" id="{00000000-0008-0000-0000-00006B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6</xdr:row>
          <xdr:rowOff>152400</xdr:rowOff>
        </xdr:from>
        <xdr:to>
          <xdr:col>12</xdr:col>
          <xdr:colOff>60960</xdr:colOff>
          <xdr:row>8</xdr:row>
          <xdr:rowOff>22860</xdr:rowOff>
        </xdr:to>
        <xdr:sp macro="" textlink="">
          <xdr:nvSpPr>
            <xdr:cNvPr id="2156" name="Check Box 4" hidden="1">
              <a:extLst>
                <a:ext uri="{63B3BB69-23CF-44E3-9099-C40C66FF867C}">
                  <a14:compatExt spid="_x0000_s2065"/>
                </a:ext>
                <a:ext uri="{FF2B5EF4-FFF2-40B4-BE49-F238E27FC236}">
                  <a16:creationId xmlns:a16="http://schemas.microsoft.com/office/drawing/2014/main" id="{00000000-0008-0000-0000-00006C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312420</xdr:colOff>
          <xdr:row>6</xdr:row>
          <xdr:rowOff>15240</xdr:rowOff>
        </xdr:from>
        <xdr:to>
          <xdr:col>12</xdr:col>
          <xdr:colOff>60960</xdr:colOff>
          <xdr:row>7</xdr:row>
          <xdr:rowOff>38100</xdr:rowOff>
        </xdr:to>
        <xdr:sp macro="" textlink="">
          <xdr:nvSpPr>
            <xdr:cNvPr id="2157" name="Check Box 6" hidden="1">
              <a:extLst>
                <a:ext uri="{63B3BB69-23CF-44E3-9099-C40C66FF867C}">
                  <a14:compatExt spid="_x0000_s2066"/>
                </a:ext>
                <a:ext uri="{FF2B5EF4-FFF2-40B4-BE49-F238E27FC236}">
                  <a16:creationId xmlns:a16="http://schemas.microsoft.com/office/drawing/2014/main" id="{00000000-0008-0000-0000-00006D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4</xdr:row>
          <xdr:rowOff>7620</xdr:rowOff>
        </xdr:from>
        <xdr:to>
          <xdr:col>12</xdr:col>
          <xdr:colOff>53340</xdr:colOff>
          <xdr:row>5</xdr:row>
          <xdr:rowOff>30480</xdr:rowOff>
        </xdr:to>
        <xdr:sp macro="" textlink="">
          <xdr:nvSpPr>
            <xdr:cNvPr id="2158" name="Check Box 7" hidden="1">
              <a:extLst>
                <a:ext uri="{63B3BB69-23CF-44E3-9099-C40C66FF867C}">
                  <a14:compatExt spid="_x0000_s2067"/>
                </a:ext>
                <a:ext uri="{FF2B5EF4-FFF2-40B4-BE49-F238E27FC236}">
                  <a16:creationId xmlns:a16="http://schemas.microsoft.com/office/drawing/2014/main" id="{00000000-0008-0000-0000-00006E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7</xdr:row>
          <xdr:rowOff>152400</xdr:rowOff>
        </xdr:from>
        <xdr:to>
          <xdr:col>12</xdr:col>
          <xdr:colOff>60960</xdr:colOff>
          <xdr:row>9</xdr:row>
          <xdr:rowOff>22860</xdr:rowOff>
        </xdr:to>
        <xdr:sp macro="" textlink="">
          <xdr:nvSpPr>
            <xdr:cNvPr id="2159" name="Check Box 8" hidden="1">
              <a:extLst>
                <a:ext uri="{63B3BB69-23CF-44E3-9099-C40C66FF867C}">
                  <a14:compatExt spid="_x0000_s2068"/>
                </a:ext>
                <a:ext uri="{FF2B5EF4-FFF2-40B4-BE49-F238E27FC236}">
                  <a16:creationId xmlns:a16="http://schemas.microsoft.com/office/drawing/2014/main" id="{00000000-0008-0000-0000-00006F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8</xdr:row>
          <xdr:rowOff>144780</xdr:rowOff>
        </xdr:from>
        <xdr:to>
          <xdr:col>12</xdr:col>
          <xdr:colOff>60960</xdr:colOff>
          <xdr:row>10</xdr:row>
          <xdr:rowOff>22860</xdr:rowOff>
        </xdr:to>
        <xdr:sp macro="" textlink="">
          <xdr:nvSpPr>
            <xdr:cNvPr id="2160" name="Check Box 9" hidden="1">
              <a:extLst>
                <a:ext uri="{63B3BB69-23CF-44E3-9099-C40C66FF867C}">
                  <a14:compatExt spid="_x0000_s2069"/>
                </a:ext>
                <a:ext uri="{FF2B5EF4-FFF2-40B4-BE49-F238E27FC236}">
                  <a16:creationId xmlns:a16="http://schemas.microsoft.com/office/drawing/2014/main" id="{00000000-0008-0000-0000-000070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297180</xdr:colOff>
          <xdr:row>9</xdr:row>
          <xdr:rowOff>152400</xdr:rowOff>
        </xdr:from>
        <xdr:to>
          <xdr:col>12</xdr:col>
          <xdr:colOff>45720</xdr:colOff>
          <xdr:row>11</xdr:row>
          <xdr:rowOff>22860</xdr:rowOff>
        </xdr:to>
        <xdr:sp macro="" textlink="">
          <xdr:nvSpPr>
            <xdr:cNvPr id="2161" name="Check Box 10" hidden="1">
              <a:extLst>
                <a:ext uri="{63B3BB69-23CF-44E3-9099-C40C66FF867C}">
                  <a14:compatExt spid="_x0000_s2070"/>
                </a:ext>
                <a:ext uri="{FF2B5EF4-FFF2-40B4-BE49-F238E27FC236}">
                  <a16:creationId xmlns:a16="http://schemas.microsoft.com/office/drawing/2014/main" id="{00000000-0008-0000-0000-00007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12</xdr:row>
          <xdr:rowOff>7620</xdr:rowOff>
        </xdr:from>
        <xdr:to>
          <xdr:col>12</xdr:col>
          <xdr:colOff>60960</xdr:colOff>
          <xdr:row>13</xdr:row>
          <xdr:rowOff>30480</xdr:rowOff>
        </xdr:to>
        <xdr:sp macro="" textlink="">
          <xdr:nvSpPr>
            <xdr:cNvPr id="2162" name="Check Box 12" hidden="1">
              <a:extLst>
                <a:ext uri="{63B3BB69-23CF-44E3-9099-C40C66FF867C}">
                  <a14:compatExt spid="_x0000_s2071"/>
                </a:ext>
                <a:ext uri="{FF2B5EF4-FFF2-40B4-BE49-F238E27FC236}">
                  <a16:creationId xmlns:a16="http://schemas.microsoft.com/office/drawing/2014/main" id="{00000000-0008-0000-0000-00007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350520</xdr:colOff>
          <xdr:row>15</xdr:row>
          <xdr:rowOff>152400</xdr:rowOff>
        </xdr:from>
        <xdr:to>
          <xdr:col>9</xdr:col>
          <xdr:colOff>45720</xdr:colOff>
          <xdr:row>20</xdr:row>
          <xdr:rowOff>175260</xdr:rowOff>
        </xdr:to>
        <xdr:sp macro="" textlink="">
          <xdr:nvSpPr>
            <xdr:cNvPr id="5123" name="List Box 3" hidden="1">
              <a:extLst>
                <a:ext uri="{63B3BB69-23CF-44E3-9099-C40C66FF867C}">
                  <a14:compatExt spid="_x0000_s5123"/>
                </a:ext>
                <a:ext uri="{FF2B5EF4-FFF2-40B4-BE49-F238E27FC236}">
                  <a16:creationId xmlns:a16="http://schemas.microsoft.com/office/drawing/2014/main" id="{00000000-0008-0000-03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190500</xdr:colOff>
      <xdr:row>17</xdr:row>
      <xdr:rowOff>60960</xdr:rowOff>
    </xdr:from>
    <xdr:to>
      <xdr:col>18</xdr:col>
      <xdr:colOff>274320</xdr:colOff>
      <xdr:row>32</xdr:row>
      <xdr:rowOff>60960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33</xdr:row>
      <xdr:rowOff>152400</xdr:rowOff>
    </xdr:from>
    <xdr:to>
      <xdr:col>18</xdr:col>
      <xdr:colOff>312420</xdr:colOff>
      <xdr:row>51</xdr:row>
      <xdr:rowOff>144780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15240</xdr:colOff>
          <xdr:row>19</xdr:row>
          <xdr:rowOff>15240</xdr:rowOff>
        </xdr:from>
        <xdr:to>
          <xdr:col>21</xdr:col>
          <xdr:colOff>0</xdr:colOff>
          <xdr:row>19</xdr:row>
          <xdr:rowOff>167640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DA234728-B1DF-498B-9F6D-3BB8DB53A7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601980</xdr:colOff>
          <xdr:row>21</xdr:row>
          <xdr:rowOff>0</xdr:rowOff>
        </xdr:from>
        <xdr:to>
          <xdr:col>21</xdr:col>
          <xdr:colOff>7620</xdr:colOff>
          <xdr:row>22</xdr:row>
          <xdr:rowOff>7620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CD38622E-9848-418A-BE2F-4C632642EE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594360</xdr:colOff>
          <xdr:row>22</xdr:row>
          <xdr:rowOff>175260</xdr:rowOff>
        </xdr:from>
        <xdr:to>
          <xdr:col>21</xdr:col>
          <xdr:colOff>22860</xdr:colOff>
          <xdr:row>24</xdr:row>
          <xdr:rowOff>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7029E266-7FEB-483D-BC09-50335C3AC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xdr:colOff>
          <xdr:row>25</xdr:row>
          <xdr:rowOff>0</xdr:rowOff>
        </xdr:from>
        <xdr:to>
          <xdr:col>20</xdr:col>
          <xdr:colOff>601980</xdr:colOff>
          <xdr:row>26</xdr:row>
          <xdr:rowOff>7620</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E73308BE-0C0D-4B0D-A275-759BFFE771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26</xdr:row>
          <xdr:rowOff>175260</xdr:rowOff>
        </xdr:from>
        <xdr:to>
          <xdr:col>21</xdr:col>
          <xdr:colOff>0</xdr:colOff>
          <xdr:row>28</xdr:row>
          <xdr:rowOff>15240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D9D08A48-522B-4877-A0B8-688A190866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xdr:colOff>
          <xdr:row>30</xdr:row>
          <xdr:rowOff>7620</xdr:rowOff>
        </xdr:from>
        <xdr:to>
          <xdr:col>21</xdr:col>
          <xdr:colOff>0</xdr:colOff>
          <xdr:row>30</xdr:row>
          <xdr:rowOff>175260</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DB2ADC1-C2AE-435D-B38E-AA346F8A28F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601980</xdr:colOff>
          <xdr:row>31</xdr:row>
          <xdr:rowOff>175260</xdr:rowOff>
        </xdr:from>
        <xdr:to>
          <xdr:col>20</xdr:col>
          <xdr:colOff>601980</xdr:colOff>
          <xdr:row>33</xdr:row>
          <xdr:rowOff>7620</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37B64A8B-C94F-44B6-B6D7-F8ADEECB3E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34</xdr:row>
          <xdr:rowOff>7620</xdr:rowOff>
        </xdr:from>
        <xdr:to>
          <xdr:col>21</xdr:col>
          <xdr:colOff>7620</xdr:colOff>
          <xdr:row>34</xdr:row>
          <xdr:rowOff>167640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43BAA4E3-E584-4970-B9C3-5AFE73D75B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601980</xdr:colOff>
          <xdr:row>35</xdr:row>
          <xdr:rowOff>175260</xdr:rowOff>
        </xdr:from>
        <xdr:to>
          <xdr:col>21</xdr:col>
          <xdr:colOff>7620</xdr:colOff>
          <xdr:row>36</xdr:row>
          <xdr:rowOff>167640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161D0296-F19A-44EF-8372-ED3038875A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23</xdr:col>
      <xdr:colOff>434340</xdr:colOff>
      <xdr:row>18</xdr:row>
      <xdr:rowOff>15240</xdr:rowOff>
    </xdr:from>
    <xdr:to>
      <xdr:col>36</xdr:col>
      <xdr:colOff>129540</xdr:colOff>
      <xdr:row>37</xdr:row>
      <xdr:rowOff>160020</xdr:rowOff>
    </xdr:to>
    <xdr:graphicFrame macro="">
      <xdr:nvGraphicFramePr>
        <xdr:cNvPr id="5" name="Chart 4">
          <a:extLst>
            <a:ext uri="{FF2B5EF4-FFF2-40B4-BE49-F238E27FC236}">
              <a16:creationId xmlns:a16="http://schemas.microsoft.com/office/drawing/2014/main" id="{23089E6B-F087-4649-8FF6-584FB5438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6.xml"/><Relationship Id="rId13" Type="http://schemas.openxmlformats.org/officeDocument/2006/relationships/ctrlProp" Target="../ctrlProps/ctrlProp21.xml"/><Relationship Id="rId3" Type="http://schemas.openxmlformats.org/officeDocument/2006/relationships/vmlDrawing" Target="../drawings/vmlDrawing2.vml"/><Relationship Id="rId7" Type="http://schemas.openxmlformats.org/officeDocument/2006/relationships/ctrlProp" Target="../ctrlProps/ctrlProp15.xml"/><Relationship Id="rId12" Type="http://schemas.openxmlformats.org/officeDocument/2006/relationships/ctrlProp" Target="../ctrlProps/ctrlProp20.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14.xml"/><Relationship Id="rId11" Type="http://schemas.openxmlformats.org/officeDocument/2006/relationships/ctrlProp" Target="../ctrlProps/ctrlProp19.xml"/><Relationship Id="rId5" Type="http://schemas.openxmlformats.org/officeDocument/2006/relationships/ctrlProp" Target="../ctrlProps/ctrlProp13.xml"/><Relationship Id="rId10" Type="http://schemas.openxmlformats.org/officeDocument/2006/relationships/ctrlProp" Target="../ctrlProps/ctrlProp18.xml"/><Relationship Id="rId4" Type="http://schemas.openxmlformats.org/officeDocument/2006/relationships/ctrlProp" Target="../ctrlProps/ctrlProp12.xml"/><Relationship Id="rId9"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V29"/>
  <sheetViews>
    <sheetView zoomScale="90" zoomScaleNormal="90" workbookViewId="0">
      <selection activeCell="R19" sqref="R19:S19"/>
    </sheetView>
  </sheetViews>
  <sheetFormatPr defaultColWidth="0" defaultRowHeight="14.4" zeroHeight="1" x14ac:dyDescent="0.3"/>
  <cols>
    <col min="1" max="1" width="4" style="24" customWidth="1"/>
    <col min="2" max="2" width="4.33203125" style="23" customWidth="1"/>
    <col min="3" max="3" width="9.109375" style="23" customWidth="1"/>
    <col min="4" max="4" width="11.44140625" style="23" bestFit="1" customWidth="1"/>
    <col min="5" max="11" width="9.109375" style="23" customWidth="1"/>
    <col min="12" max="12" width="9.33203125" style="23" customWidth="1"/>
    <col min="13" max="13" width="11.44140625" style="23" bestFit="1" customWidth="1"/>
    <col min="14" max="16" width="9.109375" style="23" customWidth="1"/>
    <col min="17" max="17" width="13.109375" style="23" customWidth="1"/>
    <col min="18" max="19" width="9.109375" style="23" customWidth="1"/>
    <col min="20" max="20" width="9.33203125" style="23" customWidth="1"/>
    <col min="21" max="21" width="3.5546875" style="24" customWidth="1"/>
    <col min="22" max="22" width="4.33203125" style="24" customWidth="1"/>
    <col min="23" max="16384" width="9.109375" style="12" hidden="1"/>
  </cols>
  <sheetData>
    <row r="1" spans="1:22" s="13" customFormat="1" x14ac:dyDescent="0.3">
      <c r="A1" s="55" t="s">
        <v>53</v>
      </c>
      <c r="B1" s="55"/>
      <c r="C1" s="55"/>
      <c r="D1" s="55"/>
      <c r="E1" s="55"/>
      <c r="F1" s="55"/>
      <c r="G1" s="55"/>
      <c r="H1" s="55"/>
      <c r="I1" s="55"/>
      <c r="J1" s="55"/>
      <c r="K1" s="55"/>
      <c r="L1" s="55"/>
      <c r="M1" s="55"/>
      <c r="N1" s="55"/>
      <c r="O1" s="55"/>
      <c r="P1" s="55"/>
      <c r="Q1" s="55"/>
      <c r="R1" s="55"/>
      <c r="S1" s="55"/>
      <c r="T1" s="55"/>
      <c r="U1" s="55"/>
      <c r="V1" s="55"/>
    </row>
    <row r="2" spans="1:22" s="13" customFormat="1" x14ac:dyDescent="0.3">
      <c r="A2" s="55"/>
      <c r="B2" s="55"/>
      <c r="C2" s="55"/>
      <c r="D2" s="55"/>
      <c r="E2" s="55"/>
      <c r="F2" s="55"/>
      <c r="G2" s="55"/>
      <c r="H2" s="55"/>
      <c r="I2" s="55"/>
      <c r="J2" s="55"/>
      <c r="K2" s="55"/>
      <c r="L2" s="55"/>
      <c r="M2" s="55"/>
      <c r="N2" s="55"/>
      <c r="O2" s="55"/>
      <c r="P2" s="55"/>
      <c r="Q2" s="55"/>
      <c r="R2" s="55"/>
      <c r="S2" s="55"/>
      <c r="T2" s="55"/>
      <c r="U2" s="55"/>
      <c r="V2" s="55"/>
    </row>
    <row r="3" spans="1:22" ht="21" x14ac:dyDescent="0.4">
      <c r="B3" s="56" t="s">
        <v>56</v>
      </c>
      <c r="C3" s="56"/>
      <c r="D3" s="56"/>
      <c r="E3" s="56"/>
      <c r="F3" s="56"/>
      <c r="G3" s="56"/>
      <c r="H3" s="56"/>
      <c r="I3" s="56"/>
      <c r="J3" s="56"/>
      <c r="K3" s="56"/>
      <c r="L3" s="57" t="s">
        <v>58</v>
      </c>
      <c r="M3" s="57"/>
      <c r="N3" s="57"/>
      <c r="O3" s="57"/>
      <c r="P3" s="57"/>
      <c r="Q3" s="57"/>
      <c r="R3" s="57"/>
      <c r="S3" s="57"/>
      <c r="T3" s="57"/>
      <c r="U3" s="57"/>
    </row>
    <row r="4" spans="1:22" x14ac:dyDescent="0.3">
      <c r="B4" s="25"/>
      <c r="C4" s="25"/>
      <c r="D4" s="25"/>
      <c r="E4" s="25"/>
      <c r="F4" s="25"/>
      <c r="G4" s="25"/>
      <c r="H4" s="25"/>
      <c r="I4" s="25"/>
      <c r="J4" s="25"/>
      <c r="K4" s="25"/>
      <c r="U4" s="23"/>
    </row>
    <row r="5" spans="1:22" x14ac:dyDescent="0.3">
      <c r="B5" s="25"/>
      <c r="C5" s="25"/>
      <c r="D5" s="25"/>
      <c r="E5" s="25"/>
      <c r="F5" s="25"/>
      <c r="G5" s="25"/>
      <c r="H5" s="25"/>
      <c r="I5" s="25"/>
      <c r="J5" s="25"/>
      <c r="K5" s="25"/>
      <c r="L5" s="45" t="b">
        <v>1</v>
      </c>
      <c r="M5" s="26" t="s">
        <v>8</v>
      </c>
      <c r="U5" s="23"/>
    </row>
    <row r="6" spans="1:22" x14ac:dyDescent="0.3">
      <c r="B6" s="25"/>
      <c r="C6" s="25"/>
      <c r="D6" s="25"/>
      <c r="E6" s="25"/>
      <c r="F6" s="25"/>
      <c r="G6" s="25"/>
      <c r="H6" s="25"/>
      <c r="I6" s="25"/>
      <c r="J6" s="25"/>
      <c r="K6" s="25"/>
      <c r="L6" s="45" t="b">
        <v>1</v>
      </c>
      <c r="M6" s="27" t="s">
        <v>10</v>
      </c>
      <c r="U6" s="23"/>
    </row>
    <row r="7" spans="1:22" x14ac:dyDescent="0.3">
      <c r="B7" s="25"/>
      <c r="C7" s="25"/>
      <c r="D7" s="25"/>
      <c r="E7" s="25"/>
      <c r="F7" s="25"/>
      <c r="G7" s="25"/>
      <c r="H7" s="28"/>
      <c r="I7" s="25"/>
      <c r="J7" s="25"/>
      <c r="K7" s="25"/>
      <c r="L7" s="45" t="b">
        <v>1</v>
      </c>
      <c r="M7" s="29" t="s">
        <v>9</v>
      </c>
      <c r="U7" s="23"/>
    </row>
    <row r="8" spans="1:22" x14ac:dyDescent="0.3">
      <c r="B8" s="25"/>
      <c r="C8" s="25"/>
      <c r="D8" s="25"/>
      <c r="E8" s="25"/>
      <c r="F8" s="25"/>
      <c r="G8" s="25"/>
      <c r="H8" s="25"/>
      <c r="I8" s="25"/>
      <c r="J8" s="25"/>
      <c r="K8" s="25"/>
      <c r="L8" s="45" t="b">
        <v>1</v>
      </c>
      <c r="M8" s="30" t="s">
        <v>15</v>
      </c>
      <c r="U8" s="23"/>
    </row>
    <row r="9" spans="1:22" x14ac:dyDescent="0.3">
      <c r="B9" s="25"/>
      <c r="C9" s="25"/>
      <c r="D9" s="25"/>
      <c r="E9" s="25"/>
      <c r="F9" s="25"/>
      <c r="G9" s="25"/>
      <c r="H9" s="25"/>
      <c r="I9" s="25"/>
      <c r="J9" s="25"/>
      <c r="K9" s="25"/>
      <c r="L9" s="45" t="b">
        <v>1</v>
      </c>
      <c r="M9" s="31" t="s">
        <v>12</v>
      </c>
      <c r="U9" s="23"/>
    </row>
    <row r="10" spans="1:22" x14ac:dyDescent="0.3">
      <c r="B10" s="25"/>
      <c r="C10" s="25"/>
      <c r="D10" s="25"/>
      <c r="E10" s="25"/>
      <c r="F10" s="25"/>
      <c r="G10" s="25"/>
      <c r="H10" s="25"/>
      <c r="I10" s="25"/>
      <c r="J10" s="25"/>
      <c r="K10" s="25"/>
      <c r="L10" s="45" t="b">
        <v>1</v>
      </c>
      <c r="M10" s="32" t="s">
        <v>16</v>
      </c>
      <c r="U10" s="23"/>
    </row>
    <row r="11" spans="1:22" x14ac:dyDescent="0.3">
      <c r="B11" s="25"/>
      <c r="C11" s="25"/>
      <c r="D11" s="25"/>
      <c r="E11" s="25"/>
      <c r="F11" s="25"/>
      <c r="G11" s="25"/>
      <c r="H11" s="25"/>
      <c r="I11" s="25"/>
      <c r="J11" s="25"/>
      <c r="K11" s="25"/>
      <c r="L11" s="45" t="b">
        <v>1</v>
      </c>
      <c r="M11" s="33" t="s">
        <v>11</v>
      </c>
      <c r="U11" s="23"/>
    </row>
    <row r="12" spans="1:22" x14ac:dyDescent="0.3">
      <c r="B12" s="25"/>
      <c r="C12" s="25"/>
      <c r="D12" s="25"/>
      <c r="E12" s="25"/>
      <c r="F12" s="25"/>
      <c r="G12" s="25"/>
      <c r="H12" s="25"/>
      <c r="I12" s="25"/>
      <c r="J12" s="25"/>
      <c r="K12" s="25"/>
      <c r="L12" s="45" t="b">
        <v>1</v>
      </c>
      <c r="M12" s="34" t="s">
        <v>13</v>
      </c>
      <c r="U12" s="23"/>
    </row>
    <row r="13" spans="1:22" x14ac:dyDescent="0.3">
      <c r="B13" s="25"/>
      <c r="C13" s="25"/>
      <c r="D13" s="25"/>
      <c r="E13" s="25"/>
      <c r="F13" s="25"/>
      <c r="G13" s="25"/>
      <c r="H13" s="25"/>
      <c r="I13" s="25"/>
      <c r="J13" s="25"/>
      <c r="K13" s="25"/>
      <c r="L13" s="45" t="b">
        <v>1</v>
      </c>
      <c r="M13" s="35" t="s">
        <v>14</v>
      </c>
      <c r="U13" s="23"/>
    </row>
    <row r="14" spans="1:22" x14ac:dyDescent="0.3">
      <c r="B14" s="25"/>
      <c r="C14" s="25"/>
      <c r="D14" s="25"/>
      <c r="E14" s="25"/>
      <c r="F14" s="25"/>
      <c r="G14" s="25"/>
      <c r="H14" s="25"/>
      <c r="I14" s="25"/>
      <c r="J14" s="25"/>
      <c r="K14" s="25"/>
      <c r="U14" s="23"/>
    </row>
    <row r="15" spans="1:22" ht="15" customHeight="1" x14ac:dyDescent="0.3">
      <c r="B15" s="25"/>
      <c r="C15" s="25"/>
      <c r="D15" s="25"/>
      <c r="E15" s="25"/>
      <c r="F15" s="25"/>
      <c r="G15" s="25"/>
      <c r="H15" s="25"/>
      <c r="I15" s="25"/>
      <c r="J15" s="25"/>
      <c r="K15" s="25"/>
      <c r="P15" s="54" t="s">
        <v>59</v>
      </c>
      <c r="Q15" s="54"/>
      <c r="U15" s="23"/>
    </row>
    <row r="16" spans="1:22" ht="15" customHeight="1" x14ac:dyDescent="0.3">
      <c r="B16" s="25"/>
      <c r="C16" s="25"/>
      <c r="D16" s="25"/>
      <c r="E16" s="25"/>
      <c r="F16" s="25"/>
      <c r="G16" s="25"/>
      <c r="H16" s="25"/>
      <c r="I16" s="25"/>
      <c r="J16" s="25"/>
      <c r="K16" s="25"/>
      <c r="P16" s="36"/>
      <c r="Q16" s="36"/>
      <c r="U16" s="23"/>
    </row>
    <row r="17" spans="2:21" ht="21" x14ac:dyDescent="0.4">
      <c r="B17" s="25"/>
      <c r="C17" s="25"/>
      <c r="D17" s="25"/>
      <c r="E17" s="25"/>
      <c r="F17" s="25"/>
      <c r="G17" s="25"/>
      <c r="H17" s="25"/>
      <c r="I17" s="25"/>
      <c r="J17" s="25"/>
      <c r="K17" s="25"/>
      <c r="Q17" s="37" t="s">
        <v>62</v>
      </c>
      <c r="R17" s="37"/>
      <c r="S17" s="37"/>
      <c r="U17" s="23"/>
    </row>
    <row r="18" spans="2:21" x14ac:dyDescent="0.3">
      <c r="B18" s="25"/>
      <c r="C18" s="25"/>
      <c r="D18" s="25"/>
      <c r="E18" s="25"/>
      <c r="F18" s="25"/>
      <c r="G18" s="25"/>
      <c r="H18" s="25"/>
      <c r="I18" s="25"/>
      <c r="J18" s="25"/>
      <c r="K18" s="25"/>
      <c r="U18" s="23"/>
    </row>
    <row r="19" spans="2:21" ht="15.75" customHeight="1" x14ac:dyDescent="0.3">
      <c r="B19" s="25"/>
      <c r="C19" s="25"/>
      <c r="D19" s="25"/>
      <c r="E19" s="25"/>
      <c r="F19" s="25"/>
      <c r="G19" s="25"/>
      <c r="H19" s="25"/>
      <c r="I19" s="25"/>
      <c r="J19" s="25"/>
      <c r="K19" s="25"/>
      <c r="Q19" s="38" t="s">
        <v>63</v>
      </c>
      <c r="R19" s="53" t="str">
        <f>INDEX(Calc!$L$89:$O$98,Calc!$A$53+1,2)</f>
        <v>Trustee Brown</v>
      </c>
      <c r="S19" s="53"/>
      <c r="T19" s="39"/>
      <c r="U19" s="23"/>
    </row>
    <row r="20" spans="2:21" ht="15.75" customHeight="1" x14ac:dyDescent="0.3">
      <c r="B20" s="25"/>
      <c r="C20" s="25"/>
      <c r="D20" s="25"/>
      <c r="E20" s="25"/>
      <c r="F20" s="25"/>
      <c r="G20" s="25"/>
      <c r="H20" s="25"/>
      <c r="I20" s="25"/>
      <c r="J20" s="25"/>
      <c r="K20" s="25"/>
      <c r="Q20" s="38" t="s">
        <v>64</v>
      </c>
      <c r="R20" s="53" t="str">
        <f>INDEX(Calc!$L$89:$O$98,Calc!$A$53+1,3)</f>
        <v>The Corporation</v>
      </c>
      <c r="S20" s="53"/>
      <c r="T20" s="39"/>
      <c r="U20" s="23"/>
    </row>
    <row r="21" spans="2:21" ht="15.75" customHeight="1" x14ac:dyDescent="0.3">
      <c r="B21" s="25"/>
      <c r="C21" s="25"/>
      <c r="D21" s="25"/>
      <c r="E21" s="25"/>
      <c r="F21" s="25"/>
      <c r="G21" s="25"/>
      <c r="H21" s="25"/>
      <c r="I21" s="25"/>
      <c r="J21" s="25"/>
      <c r="K21" s="25"/>
      <c r="Q21" s="38" t="s">
        <v>65</v>
      </c>
      <c r="R21" s="53" t="str">
        <f>INDEX(Calc!$L$89:$O$98,Calc!$A$53+1,4)</f>
        <v>Babieca Noire</v>
      </c>
      <c r="S21" s="53"/>
      <c r="T21" s="39"/>
      <c r="U21" s="23"/>
    </row>
    <row r="22" spans="2:21" x14ac:dyDescent="0.3">
      <c r="B22" s="25"/>
      <c r="C22" s="25"/>
      <c r="D22" s="25"/>
      <c r="E22" s="25"/>
      <c r="F22" s="25"/>
      <c r="G22" s="25"/>
      <c r="H22" s="25"/>
      <c r="I22" s="25"/>
      <c r="J22" s="25"/>
      <c r="K22" s="25"/>
      <c r="U22" s="23"/>
    </row>
    <row r="23" spans="2:21" x14ac:dyDescent="0.3">
      <c r="B23" s="25"/>
      <c r="C23" s="25"/>
      <c r="D23" s="25"/>
      <c r="E23" s="25"/>
      <c r="F23" s="25"/>
      <c r="G23" s="25"/>
      <c r="H23" s="25"/>
      <c r="I23" s="25"/>
      <c r="J23" s="25"/>
      <c r="K23" s="25"/>
      <c r="U23" s="23"/>
    </row>
    <row r="24" spans="2:21" hidden="1" x14ac:dyDescent="0.3">
      <c r="U24" s="23"/>
    </row>
    <row r="25" spans="2:21" hidden="1" x14ac:dyDescent="0.3">
      <c r="U25" s="23"/>
    </row>
    <row r="26" spans="2:21" hidden="1" x14ac:dyDescent="0.3">
      <c r="U26" s="23"/>
    </row>
    <row r="27" spans="2:21" hidden="1" x14ac:dyDescent="0.3">
      <c r="U27" s="23"/>
    </row>
    <row r="28" spans="2:21" hidden="1" x14ac:dyDescent="0.3">
      <c r="U28" s="23"/>
    </row>
    <row r="29" spans="2:21" hidden="1" x14ac:dyDescent="0.3">
      <c r="U29" s="23"/>
    </row>
  </sheetData>
  <mergeCells count="7">
    <mergeCell ref="R19:S19"/>
    <mergeCell ref="R20:S20"/>
    <mergeCell ref="R21:S21"/>
    <mergeCell ref="P15:Q15"/>
    <mergeCell ref="A1:V2"/>
    <mergeCell ref="B3:K3"/>
    <mergeCell ref="L3:U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List Box 1">
              <controlPr defaultSize="0" autoLine="0" autoPict="0">
                <anchor moveWithCells="1">
                  <from>
                    <xdr:col>1</xdr:col>
                    <xdr:colOff>129540</xdr:colOff>
                    <xdr:row>2</xdr:row>
                    <xdr:rowOff>76200</xdr:rowOff>
                  </from>
                  <to>
                    <xdr:col>3</xdr:col>
                    <xdr:colOff>312420</xdr:colOff>
                    <xdr:row>6</xdr:row>
                    <xdr:rowOff>30480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11</xdr:col>
                    <xdr:colOff>304800</xdr:colOff>
                    <xdr:row>5</xdr:row>
                    <xdr:rowOff>0</xdr:rowOff>
                  </from>
                  <to>
                    <xdr:col>12</xdr:col>
                    <xdr:colOff>60960</xdr:colOff>
                    <xdr:row>6</xdr:row>
                    <xdr:rowOff>22860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11</xdr:col>
                    <xdr:colOff>304800</xdr:colOff>
                    <xdr:row>6</xdr:row>
                    <xdr:rowOff>152400</xdr:rowOff>
                  </from>
                  <to>
                    <xdr:col>12</xdr:col>
                    <xdr:colOff>60960</xdr:colOff>
                    <xdr:row>8</xdr:row>
                    <xdr:rowOff>22860</xdr:rowOff>
                  </to>
                </anchor>
              </controlPr>
            </control>
          </mc:Choice>
        </mc:AlternateContent>
        <mc:AlternateContent xmlns:mc="http://schemas.openxmlformats.org/markup-compatibility/2006">
          <mc:Choice Requires="x14">
            <control shapeId="2054" r:id="rId7" name="Check Box 6">
              <controlPr defaultSize="0" autoFill="0" autoLine="0" autoPict="0">
                <anchor moveWithCells="1">
                  <from>
                    <xdr:col>11</xdr:col>
                    <xdr:colOff>312420</xdr:colOff>
                    <xdr:row>6</xdr:row>
                    <xdr:rowOff>15240</xdr:rowOff>
                  </from>
                  <to>
                    <xdr:col>12</xdr:col>
                    <xdr:colOff>60960</xdr:colOff>
                    <xdr:row>7</xdr:row>
                    <xdr:rowOff>38100</xdr:rowOff>
                  </to>
                </anchor>
              </controlPr>
            </control>
          </mc:Choice>
        </mc:AlternateContent>
        <mc:AlternateContent xmlns:mc="http://schemas.openxmlformats.org/markup-compatibility/2006">
          <mc:Choice Requires="x14">
            <control shapeId="2055" r:id="rId8" name="Check Box 7">
              <controlPr defaultSize="0" autoFill="0" autoLine="0" autoPict="0" macro="[0]!CheckBox7_Click">
                <anchor moveWithCells="1">
                  <from>
                    <xdr:col>11</xdr:col>
                    <xdr:colOff>304800</xdr:colOff>
                    <xdr:row>4</xdr:row>
                    <xdr:rowOff>7620</xdr:rowOff>
                  </from>
                  <to>
                    <xdr:col>12</xdr:col>
                    <xdr:colOff>60960</xdr:colOff>
                    <xdr:row>5</xdr:row>
                    <xdr:rowOff>30480</xdr:rowOff>
                  </to>
                </anchor>
              </controlPr>
            </control>
          </mc:Choice>
        </mc:AlternateContent>
        <mc:AlternateContent xmlns:mc="http://schemas.openxmlformats.org/markup-compatibility/2006">
          <mc:Choice Requires="x14">
            <control shapeId="2056" r:id="rId9" name="Check Box 8">
              <controlPr defaultSize="0" autoFill="0" autoLine="0" autoPict="0">
                <anchor moveWithCells="1">
                  <from>
                    <xdr:col>11</xdr:col>
                    <xdr:colOff>304800</xdr:colOff>
                    <xdr:row>7</xdr:row>
                    <xdr:rowOff>152400</xdr:rowOff>
                  </from>
                  <to>
                    <xdr:col>12</xdr:col>
                    <xdr:colOff>60960</xdr:colOff>
                    <xdr:row>9</xdr:row>
                    <xdr:rowOff>22860</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11</xdr:col>
                    <xdr:colOff>304800</xdr:colOff>
                    <xdr:row>8</xdr:row>
                    <xdr:rowOff>144780</xdr:rowOff>
                  </from>
                  <to>
                    <xdr:col>12</xdr:col>
                    <xdr:colOff>60960</xdr:colOff>
                    <xdr:row>10</xdr:row>
                    <xdr:rowOff>22860</xdr:rowOff>
                  </to>
                </anchor>
              </controlPr>
            </control>
          </mc:Choice>
        </mc:AlternateContent>
        <mc:AlternateContent xmlns:mc="http://schemas.openxmlformats.org/markup-compatibility/2006">
          <mc:Choice Requires="x14">
            <control shapeId="2058" r:id="rId11" name="Check Box 10">
              <controlPr defaultSize="0" autoFill="0" autoLine="0" autoPict="0">
                <anchor moveWithCells="1">
                  <from>
                    <xdr:col>11</xdr:col>
                    <xdr:colOff>297180</xdr:colOff>
                    <xdr:row>9</xdr:row>
                    <xdr:rowOff>152400</xdr:rowOff>
                  </from>
                  <to>
                    <xdr:col>12</xdr:col>
                    <xdr:colOff>45720</xdr:colOff>
                    <xdr:row>11</xdr:row>
                    <xdr:rowOff>22860</xdr:rowOff>
                  </to>
                </anchor>
              </controlPr>
            </control>
          </mc:Choice>
        </mc:AlternateContent>
        <mc:AlternateContent xmlns:mc="http://schemas.openxmlformats.org/markup-compatibility/2006">
          <mc:Choice Requires="x14">
            <control shapeId="2059" r:id="rId12" name="Check Box 11">
              <controlPr defaultSize="0" autoFill="0" autoLine="0" autoPict="0">
                <anchor moveWithCells="1">
                  <from>
                    <xdr:col>11</xdr:col>
                    <xdr:colOff>304800</xdr:colOff>
                    <xdr:row>11</xdr:row>
                    <xdr:rowOff>0</xdr:rowOff>
                  </from>
                  <to>
                    <xdr:col>12</xdr:col>
                    <xdr:colOff>60960</xdr:colOff>
                    <xdr:row>12</xdr:row>
                    <xdr:rowOff>22860</xdr:rowOff>
                  </to>
                </anchor>
              </controlPr>
            </control>
          </mc:Choice>
        </mc:AlternateContent>
        <mc:AlternateContent xmlns:mc="http://schemas.openxmlformats.org/markup-compatibility/2006">
          <mc:Choice Requires="x14">
            <control shapeId="2060" r:id="rId13" name="Check Box 12">
              <controlPr defaultSize="0" autoFill="0" autoLine="0" autoPict="0">
                <anchor moveWithCells="1">
                  <from>
                    <xdr:col>11</xdr:col>
                    <xdr:colOff>304800</xdr:colOff>
                    <xdr:row>12</xdr:row>
                    <xdr:rowOff>7620</xdr:rowOff>
                  </from>
                  <to>
                    <xdr:col>12</xdr:col>
                    <xdr:colOff>60960</xdr:colOff>
                    <xdr:row>13</xdr:row>
                    <xdr:rowOff>30480</xdr:rowOff>
                  </to>
                </anchor>
              </controlPr>
            </control>
          </mc:Choice>
        </mc:AlternateContent>
        <mc:AlternateContent xmlns:mc="http://schemas.openxmlformats.org/markup-compatibility/2006">
          <mc:Choice Requires="x14">
            <control shapeId="2063" r:id="rId14" name="Drop Down 15">
              <controlPr defaultSize="0" autoLine="0" autoPict="0">
                <anchor moveWithCells="1">
                  <from>
                    <xdr:col>11</xdr:col>
                    <xdr:colOff>53340</xdr:colOff>
                    <xdr:row>16</xdr:row>
                    <xdr:rowOff>76200</xdr:rowOff>
                  </from>
                  <to>
                    <xdr:col>12</xdr:col>
                    <xdr:colOff>480060</xdr:colOff>
                    <xdr:row>17</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P209"/>
  <sheetViews>
    <sheetView workbookViewId="0">
      <pane ySplit="1" topLeftCell="A170" activePane="bottomLeft" state="frozen"/>
      <selection pane="bottomLeft" activeCell="D81" sqref="D81"/>
    </sheetView>
  </sheetViews>
  <sheetFormatPr defaultColWidth="9.109375" defaultRowHeight="13.8" x14ac:dyDescent="0.3"/>
  <cols>
    <col min="1" max="2" width="9.109375" style="6"/>
    <col min="3" max="3" width="14.109375" style="6" bestFit="1" customWidth="1"/>
    <col min="4" max="4" width="19.6640625" style="6" customWidth="1"/>
    <col min="5" max="5" width="9.5546875" style="6" bestFit="1" customWidth="1"/>
    <col min="6" max="6" width="11.109375" style="6" bestFit="1" customWidth="1"/>
    <col min="7" max="9" width="9.109375" style="49" customWidth="1"/>
    <col min="10" max="10" width="9.109375" style="6"/>
    <col min="11" max="11" width="8.5546875" style="6" customWidth="1"/>
    <col min="12" max="12" width="9.109375" style="48"/>
    <col min="13" max="14" width="9.109375" style="6"/>
    <col min="15" max="15" width="44.5546875" style="6" bestFit="1" customWidth="1"/>
    <col min="16" max="16384" width="9.109375" style="6"/>
  </cols>
  <sheetData>
    <row r="1" spans="1:16" x14ac:dyDescent="0.3">
      <c r="A1" s="1" t="s">
        <v>5</v>
      </c>
      <c r="B1" s="1" t="s">
        <v>50</v>
      </c>
      <c r="C1" s="1" t="s">
        <v>4</v>
      </c>
      <c r="D1" s="1" t="s">
        <v>49</v>
      </c>
      <c r="E1" s="2" t="s">
        <v>6</v>
      </c>
      <c r="F1" s="2" t="s">
        <v>7</v>
      </c>
      <c r="G1" s="51" t="s">
        <v>54</v>
      </c>
      <c r="I1" s="49" t="s">
        <v>5</v>
      </c>
      <c r="J1" s="50"/>
      <c r="K1" s="50"/>
      <c r="L1" s="50"/>
    </row>
    <row r="2" spans="1:16" x14ac:dyDescent="0.3">
      <c r="A2" s="7">
        <v>41275</v>
      </c>
      <c r="B2" s="7" t="s">
        <v>0</v>
      </c>
      <c r="C2" s="8" t="s">
        <v>8</v>
      </c>
      <c r="D2" s="6" t="s">
        <v>17</v>
      </c>
      <c r="E2" s="3">
        <v>4.4402836494074993</v>
      </c>
      <c r="F2" s="3">
        <v>4.6739827888499992</v>
      </c>
      <c r="G2" s="52">
        <f>F2-E2</f>
        <v>0.23369913944249987</v>
      </c>
      <c r="H2" s="49">
        <f>IF(G2&gt;0,1,0)</f>
        <v>1</v>
      </c>
      <c r="I2" s="49">
        <f>MONTH(A2)</f>
        <v>1</v>
      </c>
      <c r="J2" s="50"/>
      <c r="K2" s="50" t="s">
        <v>0</v>
      </c>
      <c r="L2" s="50" t="s">
        <v>1</v>
      </c>
      <c r="M2" s="6" t="s">
        <v>2</v>
      </c>
      <c r="N2" s="6" t="s">
        <v>3</v>
      </c>
    </row>
    <row r="3" spans="1:16" x14ac:dyDescent="0.3">
      <c r="A3" s="7">
        <v>41275</v>
      </c>
      <c r="B3" s="7" t="s">
        <v>0</v>
      </c>
      <c r="C3" s="8" t="s">
        <v>10</v>
      </c>
      <c r="D3" s="9" t="s">
        <v>18</v>
      </c>
      <c r="E3" s="4">
        <v>4.8585368767049992</v>
      </c>
      <c r="F3" s="4">
        <v>5.1142493438999992</v>
      </c>
      <c r="G3" s="52">
        <f t="shared" ref="G3:G66" si="0">F3-E3</f>
        <v>0.25571246719499996</v>
      </c>
      <c r="H3" s="49">
        <f t="shared" ref="H3:H66" si="1">IF(G3&gt;0,1,0)</f>
        <v>1</v>
      </c>
      <c r="I3" s="49">
        <f t="shared" ref="I3:I66" si="2">MONTH(A3)</f>
        <v>1</v>
      </c>
      <c r="J3" s="50" t="s">
        <v>8</v>
      </c>
      <c r="K3" s="50">
        <f>SUMIFS($G$2:$G$193,$C$2:$C$193,$C$2,$B$2:$B$193,K2)</f>
        <v>80.974699688898525</v>
      </c>
      <c r="L3" s="50">
        <f>SUMIFS($F$2:$F$193,$C$2:$C$193,$C$2,$B$2:$B$193,L2)</f>
        <v>637.99402457287283</v>
      </c>
      <c r="M3" s="6">
        <f>SUMIFS($F$2:$F$193,$C$2:$C$193,$C$2,$B$2:$B$193,M2)</f>
        <v>1565.6547168744896</v>
      </c>
      <c r="N3" s="6">
        <f>SUMIFS($F$2:$F$193,$C$2:$C$193,$C$2,$B$2:$B$193,N2)</f>
        <v>2317.816843023325</v>
      </c>
    </row>
    <row r="4" spans="1:16" x14ac:dyDescent="0.3">
      <c r="A4" s="7">
        <v>41275</v>
      </c>
      <c r="B4" s="7" t="s">
        <v>0</v>
      </c>
      <c r="C4" s="8" t="s">
        <v>9</v>
      </c>
      <c r="D4" s="9" t="s">
        <v>19</v>
      </c>
      <c r="E4" s="4">
        <v>2.4548135601924601</v>
      </c>
      <c r="F4" s="4">
        <v>2.5840142738868002</v>
      </c>
      <c r="G4" s="52">
        <f t="shared" si="0"/>
        <v>0.12920071369434005</v>
      </c>
      <c r="H4" s="49">
        <f t="shared" si="1"/>
        <v>1</v>
      </c>
      <c r="I4" s="49">
        <f t="shared" si="2"/>
        <v>1</v>
      </c>
      <c r="J4" s="50"/>
      <c r="K4" s="50"/>
      <c r="L4" s="50"/>
    </row>
    <row r="5" spans="1:16" x14ac:dyDescent="0.3">
      <c r="A5" s="7">
        <v>41275</v>
      </c>
      <c r="B5" s="7" t="s">
        <v>0</v>
      </c>
      <c r="C5" s="8" t="s">
        <v>12</v>
      </c>
      <c r="D5" s="9" t="s">
        <v>20</v>
      </c>
      <c r="E5" s="4">
        <v>1.3406443218349999</v>
      </c>
      <c r="F5" s="4">
        <v>1.4112045493000001</v>
      </c>
      <c r="G5" s="52">
        <f t="shared" si="0"/>
        <v>7.0560227465000125E-2</v>
      </c>
      <c r="H5" s="49">
        <f t="shared" si="1"/>
        <v>1</v>
      </c>
      <c r="I5" s="49">
        <f t="shared" si="2"/>
        <v>1</v>
      </c>
      <c r="J5" s="50"/>
      <c r="K5" s="50"/>
      <c r="L5" s="50"/>
    </row>
    <row r="6" spans="1:16" x14ac:dyDescent="0.3">
      <c r="A6" s="7">
        <v>41275</v>
      </c>
      <c r="B6" s="7" t="s">
        <v>0</v>
      </c>
      <c r="C6" s="8" t="s">
        <v>13</v>
      </c>
      <c r="D6" s="9" t="s">
        <v>21</v>
      </c>
      <c r="E6" s="4">
        <v>195.15876700457179</v>
      </c>
      <c r="F6" s="4">
        <v>205.43028105744401</v>
      </c>
      <c r="G6" s="52">
        <f t="shared" si="0"/>
        <v>10.27151405287222</v>
      </c>
      <c r="H6" s="49">
        <f t="shared" si="1"/>
        <v>1</v>
      </c>
      <c r="I6" s="49">
        <f t="shared" si="2"/>
        <v>1</v>
      </c>
      <c r="J6" s="50"/>
      <c r="K6" s="50"/>
      <c r="L6" s="50"/>
      <c r="M6" s="6">
        <f>SUMIFS(F2:F193,B2:B193,"Q1",C2:C193,"England")</f>
        <v>1684.2598617228443</v>
      </c>
    </row>
    <row r="7" spans="1:16" x14ac:dyDescent="0.3">
      <c r="A7" s="7">
        <v>41275</v>
      </c>
      <c r="B7" s="7" t="s">
        <v>0</v>
      </c>
      <c r="C7" s="8" t="s">
        <v>16</v>
      </c>
      <c r="D7" s="9" t="s">
        <v>22</v>
      </c>
      <c r="E7" s="4">
        <v>172.69971902386757</v>
      </c>
      <c r="F7" s="4">
        <v>181.78917791986061</v>
      </c>
      <c r="G7" s="52">
        <f t="shared" si="0"/>
        <v>9.0894588959930331</v>
      </c>
      <c r="H7" s="49">
        <f t="shared" si="1"/>
        <v>1</v>
      </c>
      <c r="I7" s="49">
        <f t="shared" si="2"/>
        <v>1</v>
      </c>
      <c r="J7" s="50"/>
      <c r="K7" s="50"/>
      <c r="L7" s="50"/>
      <c r="P7" s="10"/>
    </row>
    <row r="8" spans="1:16" x14ac:dyDescent="0.3">
      <c r="A8" s="7">
        <v>41275</v>
      </c>
      <c r="B8" s="7" t="s">
        <v>0</v>
      </c>
      <c r="C8" s="8" t="s">
        <v>11</v>
      </c>
      <c r="D8" s="9" t="s">
        <v>23</v>
      </c>
      <c r="E8" s="4">
        <v>67.654635873743061</v>
      </c>
      <c r="F8" s="4">
        <v>71.215406182887435</v>
      </c>
      <c r="G8" s="52">
        <f t="shared" si="0"/>
        <v>3.5607703091443739</v>
      </c>
      <c r="H8" s="49">
        <f t="shared" si="1"/>
        <v>1</v>
      </c>
      <c r="I8" s="49">
        <f t="shared" si="2"/>
        <v>1</v>
      </c>
      <c r="J8" s="50"/>
      <c r="K8" s="50"/>
      <c r="L8" s="50"/>
      <c r="P8" s="10"/>
    </row>
    <row r="9" spans="1:16" x14ac:dyDescent="0.3">
      <c r="A9" s="7">
        <v>41275</v>
      </c>
      <c r="B9" s="7" t="s">
        <v>0</v>
      </c>
      <c r="C9" s="8" t="s">
        <v>13</v>
      </c>
      <c r="D9" s="9" t="s">
        <v>24</v>
      </c>
      <c r="E9" s="4">
        <v>15.474897772520764</v>
      </c>
      <c r="F9" s="4">
        <v>16.289366076337647</v>
      </c>
      <c r="G9" s="52">
        <f t="shared" si="0"/>
        <v>0.81446830381688251</v>
      </c>
      <c r="H9" s="49">
        <f t="shared" si="1"/>
        <v>1</v>
      </c>
      <c r="I9" s="49">
        <f t="shared" si="2"/>
        <v>1</v>
      </c>
      <c r="J9" s="50"/>
      <c r="K9" s="50"/>
      <c r="L9" s="50"/>
      <c r="P9" s="10"/>
    </row>
    <row r="10" spans="1:16" x14ac:dyDescent="0.3">
      <c r="A10" s="7">
        <v>41275</v>
      </c>
      <c r="B10" s="7" t="s">
        <v>0</v>
      </c>
      <c r="C10" s="8" t="s">
        <v>14</v>
      </c>
      <c r="D10" s="9" t="s">
        <v>25</v>
      </c>
      <c r="E10" s="4">
        <v>1187.7744753688296</v>
      </c>
      <c r="F10" s="4">
        <v>1250.2889214408733</v>
      </c>
      <c r="G10" s="52">
        <f t="shared" si="0"/>
        <v>62.514446072043711</v>
      </c>
      <c r="H10" s="49">
        <f t="shared" si="1"/>
        <v>1</v>
      </c>
      <c r="I10" s="49">
        <f t="shared" si="2"/>
        <v>1</v>
      </c>
      <c r="J10" s="50"/>
      <c r="K10" s="50"/>
      <c r="L10" s="50"/>
      <c r="P10" s="10"/>
    </row>
    <row r="11" spans="1:16" x14ac:dyDescent="0.3">
      <c r="A11" s="7">
        <v>41275</v>
      </c>
      <c r="B11" s="7" t="s">
        <v>0</v>
      </c>
      <c r="C11" s="8" t="s">
        <v>11</v>
      </c>
      <c r="D11" s="9" t="s">
        <v>26</v>
      </c>
      <c r="E11" s="4">
        <v>1931.6575848319114</v>
      </c>
      <c r="F11" s="4">
        <v>2033.3237735072753</v>
      </c>
      <c r="G11" s="52">
        <f t="shared" si="0"/>
        <v>101.66618867536386</v>
      </c>
      <c r="H11" s="49">
        <f t="shared" si="1"/>
        <v>1</v>
      </c>
      <c r="I11" s="49">
        <f t="shared" si="2"/>
        <v>1</v>
      </c>
      <c r="J11" s="50"/>
      <c r="K11" s="50"/>
      <c r="L11" s="50"/>
      <c r="P11" s="10"/>
    </row>
    <row r="12" spans="1:16" x14ac:dyDescent="0.3">
      <c r="A12" s="7">
        <v>41275</v>
      </c>
      <c r="B12" s="7" t="s">
        <v>0</v>
      </c>
      <c r="C12" s="8" t="s">
        <v>13</v>
      </c>
      <c r="D12" s="9" t="s">
        <v>27</v>
      </c>
      <c r="E12" s="4">
        <v>79</v>
      </c>
      <c r="F12" s="4">
        <v>80</v>
      </c>
      <c r="G12" s="52">
        <f t="shared" si="0"/>
        <v>1</v>
      </c>
      <c r="H12" s="49">
        <f t="shared" si="1"/>
        <v>1</v>
      </c>
      <c r="I12" s="49">
        <f t="shared" si="2"/>
        <v>1</v>
      </c>
      <c r="J12" s="50"/>
      <c r="K12" s="50"/>
      <c r="L12" s="50"/>
      <c r="P12" s="10"/>
    </row>
    <row r="13" spans="1:16" x14ac:dyDescent="0.3">
      <c r="A13" s="7">
        <v>41275</v>
      </c>
      <c r="B13" s="7" t="s">
        <v>0</v>
      </c>
      <c r="C13" s="8" t="s">
        <v>14</v>
      </c>
      <c r="D13" s="9" t="s">
        <v>28</v>
      </c>
      <c r="E13" s="4">
        <v>112.07603187569002</v>
      </c>
      <c r="F13" s="4">
        <v>117.97477039546318</v>
      </c>
      <c r="G13" s="52">
        <f t="shared" si="0"/>
        <v>5.8987385197731612</v>
      </c>
      <c r="H13" s="49">
        <f t="shared" si="1"/>
        <v>1</v>
      </c>
      <c r="I13" s="49">
        <f t="shared" si="2"/>
        <v>1</v>
      </c>
      <c r="J13" s="50"/>
      <c r="K13" s="50"/>
      <c r="L13" s="50"/>
      <c r="P13" s="10"/>
    </row>
    <row r="14" spans="1:16" x14ac:dyDescent="0.3">
      <c r="A14" s="7">
        <v>41275</v>
      </c>
      <c r="B14" s="7" t="s">
        <v>0</v>
      </c>
      <c r="C14" s="8" t="s">
        <v>15</v>
      </c>
      <c r="D14" s="9" t="s">
        <v>29</v>
      </c>
      <c r="E14" s="4">
        <v>200.44939037074957</v>
      </c>
      <c r="F14" s="4">
        <v>210.99935828499954</v>
      </c>
      <c r="G14" s="52">
        <f t="shared" si="0"/>
        <v>10.549967914249976</v>
      </c>
      <c r="H14" s="49">
        <f t="shared" si="1"/>
        <v>1</v>
      </c>
      <c r="I14" s="49">
        <f t="shared" si="2"/>
        <v>1</v>
      </c>
      <c r="J14" s="50"/>
      <c r="K14" s="50"/>
      <c r="L14" s="50"/>
      <c r="P14" s="10"/>
    </row>
    <row r="15" spans="1:16" x14ac:dyDescent="0.3">
      <c r="A15" s="7">
        <v>41275</v>
      </c>
      <c r="B15" s="7" t="s">
        <v>0</v>
      </c>
      <c r="C15" s="8" t="s">
        <v>8</v>
      </c>
      <c r="D15" s="9" t="s">
        <v>30</v>
      </c>
      <c r="E15" s="4">
        <v>445.17523960633633</v>
      </c>
      <c r="F15" s="4">
        <v>468.60551537509087</v>
      </c>
      <c r="G15" s="52">
        <f t="shared" si="0"/>
        <v>23.430275768754541</v>
      </c>
      <c r="H15" s="49">
        <f t="shared" si="1"/>
        <v>1</v>
      </c>
      <c r="I15" s="49">
        <f t="shared" si="2"/>
        <v>1</v>
      </c>
      <c r="J15" s="50"/>
      <c r="K15" s="50"/>
      <c r="L15" s="50"/>
      <c r="P15" s="10"/>
    </row>
    <row r="16" spans="1:16" x14ac:dyDescent="0.3">
      <c r="A16" s="7">
        <v>41275</v>
      </c>
      <c r="B16" s="7" t="s">
        <v>0</v>
      </c>
      <c r="C16" s="8" t="s">
        <v>10</v>
      </c>
      <c r="D16" s="9" t="s">
        <v>31</v>
      </c>
      <c r="E16" s="4">
        <v>323.5060143036132</v>
      </c>
      <c r="F16" s="4">
        <v>340.53264663538232</v>
      </c>
      <c r="G16" s="52">
        <f t="shared" si="0"/>
        <v>17.026632331769122</v>
      </c>
      <c r="H16" s="49">
        <f t="shared" si="1"/>
        <v>1</v>
      </c>
      <c r="I16" s="49">
        <f t="shared" si="2"/>
        <v>1</v>
      </c>
      <c r="J16" s="50"/>
      <c r="K16" s="50"/>
      <c r="L16" s="50"/>
      <c r="P16" s="10"/>
    </row>
    <row r="17" spans="1:16" x14ac:dyDescent="0.3">
      <c r="A17" s="7">
        <v>41275</v>
      </c>
      <c r="B17" s="7" t="s">
        <v>0</v>
      </c>
      <c r="C17" s="8" t="s">
        <v>9</v>
      </c>
      <c r="D17" s="9" t="s">
        <v>32</v>
      </c>
      <c r="E17" s="4">
        <v>24.158525093743329</v>
      </c>
      <c r="F17" s="4">
        <v>26.768448857333333</v>
      </c>
      <c r="G17" s="52">
        <f t="shared" si="0"/>
        <v>2.6099237635900039</v>
      </c>
      <c r="H17" s="49">
        <f t="shared" si="1"/>
        <v>1</v>
      </c>
      <c r="I17" s="49">
        <f t="shared" si="2"/>
        <v>1</v>
      </c>
      <c r="J17" s="50"/>
      <c r="K17" s="50"/>
      <c r="L17" s="50"/>
      <c r="P17" s="10"/>
    </row>
    <row r="18" spans="1:16" x14ac:dyDescent="0.3">
      <c r="A18" s="7">
        <v>41306</v>
      </c>
      <c r="B18" s="7" t="s">
        <v>0</v>
      </c>
      <c r="C18" s="8" t="s">
        <v>12</v>
      </c>
      <c r="D18" s="9" t="s">
        <v>33</v>
      </c>
      <c r="E18" s="4">
        <v>4.5290893223956488</v>
      </c>
      <c r="F18" s="4">
        <v>4.7674624446269993</v>
      </c>
      <c r="G18" s="52">
        <f t="shared" si="0"/>
        <v>0.23837312223135054</v>
      </c>
      <c r="H18" s="49">
        <f t="shared" si="1"/>
        <v>1</v>
      </c>
      <c r="I18" s="49">
        <f t="shared" si="2"/>
        <v>2</v>
      </c>
      <c r="J18" s="50"/>
      <c r="K18" s="50"/>
      <c r="L18" s="50"/>
      <c r="P18" s="10"/>
    </row>
    <row r="19" spans="1:16" x14ac:dyDescent="0.3">
      <c r="A19" s="7">
        <v>41306</v>
      </c>
      <c r="B19" s="7" t="s">
        <v>0</v>
      </c>
      <c r="C19" s="8" t="s">
        <v>13</v>
      </c>
      <c r="D19" s="9" t="s">
        <v>34</v>
      </c>
      <c r="E19" s="4">
        <v>4.955707614239099</v>
      </c>
      <c r="F19" s="4">
        <v>5.216534330777999</v>
      </c>
      <c r="G19" s="52">
        <f t="shared" si="0"/>
        <v>0.26082671653889999</v>
      </c>
      <c r="H19" s="49">
        <f t="shared" si="1"/>
        <v>1</v>
      </c>
      <c r="I19" s="49">
        <f t="shared" si="2"/>
        <v>2</v>
      </c>
      <c r="J19" s="50"/>
      <c r="K19" s="50"/>
      <c r="L19" s="50"/>
      <c r="P19" s="10"/>
    </row>
    <row r="20" spans="1:16" x14ac:dyDescent="0.3">
      <c r="A20" s="7">
        <v>41306</v>
      </c>
      <c r="B20" s="7" t="s">
        <v>0</v>
      </c>
      <c r="C20" s="8" t="s">
        <v>16</v>
      </c>
      <c r="D20" s="9" t="s">
        <v>35</v>
      </c>
      <c r="E20" s="4">
        <v>2.5039098313963093</v>
      </c>
      <c r="F20" s="4">
        <v>2.635694559364536</v>
      </c>
      <c r="G20" s="52">
        <f t="shared" si="0"/>
        <v>0.13178472796822671</v>
      </c>
      <c r="H20" s="49">
        <f t="shared" si="1"/>
        <v>1</v>
      </c>
      <c r="I20" s="49">
        <f t="shared" si="2"/>
        <v>2</v>
      </c>
      <c r="J20" s="50"/>
      <c r="K20" s="50"/>
      <c r="L20" s="50"/>
      <c r="P20" s="10"/>
    </row>
    <row r="21" spans="1:16" x14ac:dyDescent="0.3">
      <c r="A21" s="7">
        <v>41306</v>
      </c>
      <c r="B21" s="7" t="s">
        <v>0</v>
      </c>
      <c r="C21" s="8" t="s">
        <v>11</v>
      </c>
      <c r="D21" s="9" t="s">
        <v>36</v>
      </c>
      <c r="E21" s="4">
        <v>1.3674572082717</v>
      </c>
      <c r="F21" s="4">
        <v>1.4394286402860001</v>
      </c>
      <c r="G21" s="52">
        <f t="shared" si="0"/>
        <v>7.1971432014300118E-2</v>
      </c>
      <c r="H21" s="49">
        <f t="shared" si="1"/>
        <v>1</v>
      </c>
      <c r="I21" s="49">
        <f t="shared" si="2"/>
        <v>2</v>
      </c>
      <c r="J21" s="50"/>
      <c r="K21" s="50"/>
      <c r="L21" s="50"/>
      <c r="P21" s="10"/>
    </row>
    <row r="22" spans="1:16" x14ac:dyDescent="0.3">
      <c r="A22" s="7">
        <v>41306</v>
      </c>
      <c r="B22" s="7" t="s">
        <v>0</v>
      </c>
      <c r="C22" s="8" t="s">
        <v>13</v>
      </c>
      <c r="D22" s="9" t="s">
        <v>37</v>
      </c>
      <c r="E22" s="4">
        <v>199.06194234466324</v>
      </c>
      <c r="F22" s="4">
        <v>209.53888667859289</v>
      </c>
      <c r="G22" s="52">
        <f t="shared" si="0"/>
        <v>10.476944333929652</v>
      </c>
      <c r="H22" s="49">
        <f t="shared" si="1"/>
        <v>1</v>
      </c>
      <c r="I22" s="49">
        <f t="shared" si="2"/>
        <v>2</v>
      </c>
      <c r="J22" s="50"/>
      <c r="K22" s="50"/>
      <c r="L22" s="50"/>
      <c r="P22" s="10"/>
    </row>
    <row r="23" spans="1:16" x14ac:dyDescent="0.3">
      <c r="A23" s="7">
        <v>41306</v>
      </c>
      <c r="B23" s="7" t="s">
        <v>0</v>
      </c>
      <c r="C23" s="8" t="s">
        <v>14</v>
      </c>
      <c r="D23" s="9" t="s">
        <v>38</v>
      </c>
      <c r="E23" s="4">
        <v>176.15371340434493</v>
      </c>
      <c r="F23" s="4">
        <v>185.42496147825781</v>
      </c>
      <c r="G23" s="52">
        <f t="shared" si="0"/>
        <v>9.2712480739128864</v>
      </c>
      <c r="H23" s="49">
        <f t="shared" si="1"/>
        <v>1</v>
      </c>
      <c r="I23" s="49">
        <f t="shared" si="2"/>
        <v>2</v>
      </c>
      <c r="J23" s="50"/>
      <c r="K23" s="50"/>
      <c r="L23" s="50"/>
      <c r="P23" s="10"/>
    </row>
    <row r="24" spans="1:16" x14ac:dyDescent="0.3">
      <c r="A24" s="7">
        <v>41306</v>
      </c>
      <c r="B24" s="7" t="s">
        <v>0</v>
      </c>
      <c r="C24" s="8" t="s">
        <v>11</v>
      </c>
      <c r="D24" s="9" t="s">
        <v>39</v>
      </c>
      <c r="E24" s="4">
        <v>69.007728591217926</v>
      </c>
      <c r="F24" s="4">
        <v>72.639714306545187</v>
      </c>
      <c r="G24" s="52">
        <f t="shared" si="0"/>
        <v>3.6319857153272608</v>
      </c>
      <c r="H24" s="49">
        <f t="shared" si="1"/>
        <v>1</v>
      </c>
      <c r="I24" s="49">
        <f t="shared" si="2"/>
        <v>2</v>
      </c>
      <c r="J24" s="50"/>
      <c r="K24" s="50"/>
      <c r="L24" s="50"/>
      <c r="P24" s="10"/>
    </row>
    <row r="25" spans="1:16" x14ac:dyDescent="0.3">
      <c r="A25" s="7">
        <v>41306</v>
      </c>
      <c r="B25" s="7" t="s">
        <v>0</v>
      </c>
      <c r="C25" s="8" t="s">
        <v>13</v>
      </c>
      <c r="D25" s="9" t="s">
        <v>40</v>
      </c>
      <c r="E25" s="4">
        <v>15.78439572797118</v>
      </c>
      <c r="F25" s="4">
        <v>16.6151533978644</v>
      </c>
      <c r="G25" s="52">
        <f t="shared" si="0"/>
        <v>0.8307576698932202</v>
      </c>
      <c r="H25" s="49">
        <f t="shared" si="1"/>
        <v>1</v>
      </c>
      <c r="I25" s="49">
        <f t="shared" si="2"/>
        <v>2</v>
      </c>
      <c r="J25" s="50"/>
      <c r="K25" s="50"/>
      <c r="L25" s="50"/>
      <c r="P25" s="10"/>
    </row>
    <row r="26" spans="1:16" x14ac:dyDescent="0.3">
      <c r="A26" s="7">
        <v>41306</v>
      </c>
      <c r="B26" s="7" t="s">
        <v>0</v>
      </c>
      <c r="C26" s="8" t="s">
        <v>14</v>
      </c>
      <c r="D26" s="9" t="s">
        <v>41</v>
      </c>
      <c r="E26" s="4">
        <v>1211.5299648762061</v>
      </c>
      <c r="F26" s="4">
        <v>1275.2946998696907</v>
      </c>
      <c r="G26" s="52">
        <f t="shared" si="0"/>
        <v>63.764734993484581</v>
      </c>
      <c r="H26" s="49">
        <f t="shared" si="1"/>
        <v>1</v>
      </c>
      <c r="I26" s="49">
        <f t="shared" si="2"/>
        <v>2</v>
      </c>
      <c r="J26" s="50"/>
      <c r="K26" s="50"/>
      <c r="L26" s="50"/>
      <c r="P26" s="10"/>
    </row>
    <row r="27" spans="1:16" x14ac:dyDescent="0.3">
      <c r="A27" s="7">
        <v>41306</v>
      </c>
      <c r="B27" s="7" t="s">
        <v>0</v>
      </c>
      <c r="C27" s="8" t="s">
        <v>15</v>
      </c>
      <c r="D27" s="9" t="s">
        <v>42</v>
      </c>
      <c r="E27" s="4">
        <v>1970.2907365285496</v>
      </c>
      <c r="F27" s="4">
        <v>2073.9902489774208</v>
      </c>
      <c r="G27" s="52">
        <f t="shared" si="0"/>
        <v>103.69951244887125</v>
      </c>
      <c r="H27" s="49">
        <f t="shared" si="1"/>
        <v>1</v>
      </c>
      <c r="I27" s="49">
        <f t="shared" si="2"/>
        <v>2</v>
      </c>
      <c r="J27" s="50"/>
      <c r="K27" s="50"/>
      <c r="L27" s="50"/>
      <c r="P27" s="10"/>
    </row>
    <row r="28" spans="1:16" x14ac:dyDescent="0.3">
      <c r="A28" s="7">
        <v>41306</v>
      </c>
      <c r="B28" s="7" t="s">
        <v>0</v>
      </c>
      <c r="C28" s="8" t="s">
        <v>8</v>
      </c>
      <c r="D28" s="9" t="s">
        <v>43</v>
      </c>
      <c r="E28" s="4">
        <v>1134.6469496529871</v>
      </c>
      <c r="F28" s="4">
        <v>1194.3652101610392</v>
      </c>
      <c r="G28" s="52">
        <f t="shared" si="0"/>
        <v>59.718260508052026</v>
      </c>
      <c r="H28" s="49">
        <f t="shared" si="1"/>
        <v>1</v>
      </c>
      <c r="I28" s="49">
        <f t="shared" si="2"/>
        <v>2</v>
      </c>
      <c r="J28" s="50"/>
      <c r="K28" s="50"/>
      <c r="L28" s="50"/>
      <c r="P28" s="10"/>
    </row>
    <row r="29" spans="1:16" x14ac:dyDescent="0.3">
      <c r="A29" s="7">
        <v>41306</v>
      </c>
      <c r="B29" s="7" t="s">
        <v>0</v>
      </c>
      <c r="C29" s="8" t="s">
        <v>10</v>
      </c>
      <c r="D29" s="9" t="s">
        <v>44</v>
      </c>
      <c r="E29" s="4">
        <v>114.31755251320382</v>
      </c>
      <c r="F29" s="4">
        <v>120.33426580337245</v>
      </c>
      <c r="G29" s="52">
        <f t="shared" si="0"/>
        <v>6.0167132901686244</v>
      </c>
      <c r="H29" s="49">
        <f t="shared" si="1"/>
        <v>1</v>
      </c>
      <c r="I29" s="49">
        <f t="shared" si="2"/>
        <v>2</v>
      </c>
      <c r="J29" s="50"/>
      <c r="K29" s="50"/>
      <c r="L29" s="50"/>
      <c r="P29" s="10"/>
    </row>
    <row r="30" spans="1:16" x14ac:dyDescent="0.3">
      <c r="A30" s="7">
        <v>41306</v>
      </c>
      <c r="B30" s="7" t="s">
        <v>0</v>
      </c>
      <c r="C30" s="8" t="s">
        <v>9</v>
      </c>
      <c r="D30" s="9" t="s">
        <v>45</v>
      </c>
      <c r="E30" s="4">
        <v>204.45837817816454</v>
      </c>
      <c r="F30" s="4">
        <v>215.21934545069954</v>
      </c>
      <c r="G30" s="52">
        <f t="shared" si="0"/>
        <v>10.760967272534998</v>
      </c>
      <c r="H30" s="49">
        <f t="shared" si="1"/>
        <v>1</v>
      </c>
      <c r="I30" s="49">
        <f t="shared" si="2"/>
        <v>2</v>
      </c>
      <c r="J30" s="50"/>
      <c r="K30" s="50"/>
      <c r="L30" s="50"/>
      <c r="P30" s="10"/>
    </row>
    <row r="31" spans="1:16" x14ac:dyDescent="0.3">
      <c r="A31" s="7">
        <v>41306</v>
      </c>
      <c r="B31" s="7" t="s">
        <v>0</v>
      </c>
      <c r="C31" s="8" t="s">
        <v>12</v>
      </c>
      <c r="D31" s="9" t="s">
        <v>46</v>
      </c>
      <c r="E31" s="4">
        <v>454.07874439846307</v>
      </c>
      <c r="F31" s="4">
        <v>477.9776256825927</v>
      </c>
      <c r="G31" s="52">
        <f t="shared" si="0"/>
        <v>23.898881284129629</v>
      </c>
      <c r="H31" s="49">
        <f t="shared" si="1"/>
        <v>1</v>
      </c>
      <c r="I31" s="49">
        <f t="shared" si="2"/>
        <v>2</v>
      </c>
      <c r="J31" s="50"/>
      <c r="K31" s="50"/>
      <c r="L31" s="50"/>
      <c r="P31" s="10"/>
    </row>
    <row r="32" spans="1:16" x14ac:dyDescent="0.3">
      <c r="A32" s="7">
        <v>41306</v>
      </c>
      <c r="B32" s="7" t="s">
        <v>0</v>
      </c>
      <c r="C32" s="8" t="s">
        <v>13</v>
      </c>
      <c r="D32" s="9" t="s">
        <v>47</v>
      </c>
      <c r="E32" s="4">
        <v>329.97613458968544</v>
      </c>
      <c r="F32" s="4">
        <v>347.34329956808995</v>
      </c>
      <c r="G32" s="52">
        <f t="shared" si="0"/>
        <v>17.367164978404503</v>
      </c>
      <c r="H32" s="49">
        <f t="shared" si="1"/>
        <v>1</v>
      </c>
      <c r="I32" s="49">
        <f t="shared" si="2"/>
        <v>2</v>
      </c>
      <c r="J32" s="50"/>
      <c r="K32" s="50"/>
      <c r="L32" s="50"/>
      <c r="P32" s="10"/>
    </row>
    <row r="33" spans="1:12" x14ac:dyDescent="0.3">
      <c r="A33" s="7">
        <v>41306</v>
      </c>
      <c r="B33" s="7" t="s">
        <v>0</v>
      </c>
      <c r="C33" s="8" t="s">
        <v>16</v>
      </c>
      <c r="D33" s="9" t="s">
        <v>48</v>
      </c>
      <c r="E33" s="4">
        <v>25.938626942755999</v>
      </c>
      <c r="F33" s="4">
        <v>27.30381783448</v>
      </c>
      <c r="G33" s="52">
        <f t="shared" si="0"/>
        <v>1.3651908917240014</v>
      </c>
      <c r="H33" s="49">
        <f t="shared" si="1"/>
        <v>1</v>
      </c>
      <c r="I33" s="49">
        <f t="shared" si="2"/>
        <v>2</v>
      </c>
      <c r="J33" s="50"/>
      <c r="K33" s="50"/>
      <c r="L33" s="50"/>
    </row>
    <row r="34" spans="1:12" x14ac:dyDescent="0.3">
      <c r="A34" s="7">
        <v>41334</v>
      </c>
      <c r="B34" s="7" t="s">
        <v>0</v>
      </c>
      <c r="C34" s="8" t="s">
        <v>11</v>
      </c>
      <c r="D34" s="6" t="s">
        <v>17</v>
      </c>
      <c r="E34" s="4">
        <v>5.4582677528534527</v>
      </c>
      <c r="F34" s="4">
        <v>4.7674624446269993</v>
      </c>
      <c r="G34" s="52">
        <f t="shared" si="0"/>
        <v>-0.69080530822645336</v>
      </c>
      <c r="H34" s="49">
        <f t="shared" si="1"/>
        <v>0</v>
      </c>
      <c r="I34" s="49">
        <f t="shared" si="2"/>
        <v>3</v>
      </c>
      <c r="J34" s="50"/>
      <c r="K34" s="50"/>
      <c r="L34" s="50"/>
    </row>
    <row r="35" spans="1:12" x14ac:dyDescent="0.3">
      <c r="A35" s="7">
        <v>41334</v>
      </c>
      <c r="B35" s="7" t="s">
        <v>0</v>
      </c>
      <c r="C35" s="8" t="s">
        <v>13</v>
      </c>
      <c r="D35" s="9" t="s">
        <v>18</v>
      </c>
      <c r="E35" s="4">
        <v>5.9724101553077311</v>
      </c>
      <c r="F35" s="4">
        <v>5.216534330777999</v>
      </c>
      <c r="G35" s="52">
        <f t="shared" si="0"/>
        <v>-0.75587582452973212</v>
      </c>
      <c r="H35" s="49">
        <f t="shared" si="1"/>
        <v>0</v>
      </c>
      <c r="I35" s="49">
        <f t="shared" si="2"/>
        <v>3</v>
      </c>
      <c r="J35" s="50"/>
      <c r="K35" s="50"/>
      <c r="L35" s="50"/>
    </row>
    <row r="36" spans="1:12" x14ac:dyDescent="0.3">
      <c r="A36" s="7">
        <v>41334</v>
      </c>
      <c r="B36" s="7" t="s">
        <v>0</v>
      </c>
      <c r="C36" s="8" t="s">
        <v>14</v>
      </c>
      <c r="D36" s="9" t="s">
        <v>19</v>
      </c>
      <c r="E36" s="4">
        <v>3.0176067010164576</v>
      </c>
      <c r="F36" s="4">
        <v>2.635694559364536</v>
      </c>
      <c r="G36" s="52">
        <f t="shared" si="0"/>
        <v>-0.38191214165192156</v>
      </c>
      <c r="H36" s="49">
        <f t="shared" si="1"/>
        <v>0</v>
      </c>
      <c r="I36" s="49">
        <f t="shared" si="2"/>
        <v>3</v>
      </c>
      <c r="J36" s="50"/>
      <c r="K36" s="50"/>
      <c r="L36" s="50"/>
    </row>
    <row r="37" spans="1:12" x14ac:dyDescent="0.3">
      <c r="A37" s="7">
        <v>41334</v>
      </c>
      <c r="B37" s="7" t="s">
        <v>0</v>
      </c>
      <c r="C37" s="8" t="s">
        <v>11</v>
      </c>
      <c r="D37" s="9" t="s">
        <v>20</v>
      </c>
      <c r="E37" s="4">
        <v>0.48020385026344148</v>
      </c>
      <c r="F37" s="4">
        <v>0.41942864028600002</v>
      </c>
      <c r="G37" s="52">
        <f t="shared" si="0"/>
        <v>-6.0775209977441458E-2</v>
      </c>
      <c r="H37" s="49">
        <f t="shared" si="1"/>
        <v>0</v>
      </c>
      <c r="I37" s="49">
        <f t="shared" si="2"/>
        <v>3</v>
      </c>
      <c r="J37" s="50"/>
      <c r="K37" s="50"/>
      <c r="L37" s="50"/>
    </row>
    <row r="38" spans="1:12" x14ac:dyDescent="0.3">
      <c r="A38" s="7">
        <v>41334</v>
      </c>
      <c r="B38" s="7" t="s">
        <v>0</v>
      </c>
      <c r="C38" s="8" t="s">
        <v>13</v>
      </c>
      <c r="D38" s="9" t="s">
        <v>21</v>
      </c>
      <c r="E38" s="4">
        <v>239.90107135832105</v>
      </c>
      <c r="F38" s="4">
        <v>209.53888667859289</v>
      </c>
      <c r="G38" s="52">
        <f t="shared" si="0"/>
        <v>-30.362184679728159</v>
      </c>
      <c r="H38" s="49">
        <f t="shared" si="1"/>
        <v>0</v>
      </c>
      <c r="I38" s="49">
        <f t="shared" si="2"/>
        <v>3</v>
      </c>
      <c r="J38" s="50"/>
      <c r="K38" s="50"/>
      <c r="L38" s="50"/>
    </row>
    <row r="39" spans="1:12" x14ac:dyDescent="0.3">
      <c r="A39" s="7">
        <v>41334</v>
      </c>
      <c r="B39" s="7" t="s">
        <v>0</v>
      </c>
      <c r="C39" s="8" t="s">
        <v>14</v>
      </c>
      <c r="D39" s="9" t="s">
        <v>22</v>
      </c>
      <c r="E39" s="4">
        <v>212.2930383964574</v>
      </c>
      <c r="F39" s="4">
        <v>185.42496147825781</v>
      </c>
      <c r="G39" s="52">
        <f t="shared" si="0"/>
        <v>-26.868076918199591</v>
      </c>
      <c r="H39" s="49">
        <f t="shared" si="1"/>
        <v>0</v>
      </c>
      <c r="I39" s="49">
        <f t="shared" si="2"/>
        <v>3</v>
      </c>
      <c r="J39" s="50"/>
      <c r="K39" s="50"/>
      <c r="L39" s="50"/>
    </row>
    <row r="40" spans="1:12" x14ac:dyDescent="0.3">
      <c r="A40" s="7">
        <v>41334</v>
      </c>
      <c r="B40" s="7" t="s">
        <v>0</v>
      </c>
      <c r="C40" s="8" t="s">
        <v>15</v>
      </c>
      <c r="D40" s="9" t="s">
        <v>23</v>
      </c>
      <c r="E40" s="4">
        <v>83.165208909563603</v>
      </c>
      <c r="F40" s="4">
        <v>72.639714306545187</v>
      </c>
      <c r="G40" s="52">
        <f t="shared" si="0"/>
        <v>-10.525494603018416</v>
      </c>
      <c r="H40" s="49">
        <f t="shared" si="1"/>
        <v>0</v>
      </c>
      <c r="I40" s="49">
        <f t="shared" si="2"/>
        <v>3</v>
      </c>
      <c r="J40" s="50"/>
      <c r="K40" s="50"/>
      <c r="L40" s="50"/>
    </row>
    <row r="41" spans="1:12" x14ac:dyDescent="0.3">
      <c r="A41" s="7">
        <v>41334</v>
      </c>
      <c r="B41" s="7" t="s">
        <v>0</v>
      </c>
      <c r="C41" s="8" t="s">
        <v>8</v>
      </c>
      <c r="D41" s="9" t="s">
        <v>24</v>
      </c>
      <c r="E41" s="4">
        <v>19.022689125214953</v>
      </c>
      <c r="F41" s="4">
        <v>16.6151533978644</v>
      </c>
      <c r="G41" s="52">
        <f t="shared" si="0"/>
        <v>-2.4075357273505524</v>
      </c>
      <c r="H41" s="49">
        <f t="shared" si="1"/>
        <v>0</v>
      </c>
      <c r="I41" s="49">
        <f t="shared" si="2"/>
        <v>3</v>
      </c>
      <c r="J41" s="50"/>
      <c r="K41" s="50"/>
      <c r="L41" s="50"/>
    </row>
    <row r="42" spans="1:12" x14ac:dyDescent="0.3">
      <c r="A42" s="7">
        <v>41334</v>
      </c>
      <c r="B42" s="7" t="s">
        <v>0</v>
      </c>
      <c r="C42" s="8" t="s">
        <v>10</v>
      </c>
      <c r="D42" s="9" t="s">
        <v>25</v>
      </c>
      <c r="E42" s="4">
        <v>1460.084901880809</v>
      </c>
      <c r="F42" s="4">
        <v>1275.2946998696907</v>
      </c>
      <c r="G42" s="52">
        <f t="shared" si="0"/>
        <v>-184.79020201111825</v>
      </c>
      <c r="H42" s="49">
        <f t="shared" si="1"/>
        <v>0</v>
      </c>
      <c r="I42" s="49">
        <f t="shared" si="2"/>
        <v>3</v>
      </c>
      <c r="J42" s="50"/>
      <c r="K42" s="50"/>
      <c r="L42" s="50"/>
    </row>
    <row r="43" spans="1:12" x14ac:dyDescent="0.3">
      <c r="A43" s="7">
        <v>41334</v>
      </c>
      <c r="B43" s="7" t="s">
        <v>0</v>
      </c>
      <c r="C43" s="8" t="s">
        <v>9</v>
      </c>
      <c r="D43" s="9" t="s">
        <v>26</v>
      </c>
      <c r="E43" s="4">
        <v>2374.5114360542493</v>
      </c>
      <c r="F43" s="4">
        <v>2073.9902489774208</v>
      </c>
      <c r="G43" s="52">
        <f t="shared" si="0"/>
        <v>-300.52118707682848</v>
      </c>
      <c r="H43" s="49">
        <f t="shared" si="1"/>
        <v>0</v>
      </c>
      <c r="I43" s="49">
        <f t="shared" si="2"/>
        <v>3</v>
      </c>
      <c r="J43" s="50"/>
      <c r="K43" s="50"/>
      <c r="L43" s="50"/>
    </row>
    <row r="44" spans="1:12" x14ac:dyDescent="0.3">
      <c r="A44" s="7">
        <v>41334</v>
      </c>
      <c r="B44" s="7" t="s">
        <v>0</v>
      </c>
      <c r="C44" s="8" t="s">
        <v>12</v>
      </c>
      <c r="D44" s="9" t="s">
        <v>27</v>
      </c>
      <c r="E44" s="4">
        <v>1367.4287291133739</v>
      </c>
      <c r="F44" s="4">
        <v>1194.3652101610392</v>
      </c>
      <c r="G44" s="52">
        <f t="shared" si="0"/>
        <v>-173.06351895233479</v>
      </c>
      <c r="H44" s="49">
        <f t="shared" si="1"/>
        <v>0</v>
      </c>
      <c r="I44" s="49">
        <f t="shared" si="2"/>
        <v>3</v>
      </c>
      <c r="J44" s="50"/>
      <c r="K44" s="50"/>
      <c r="L44" s="50"/>
    </row>
    <row r="45" spans="1:12" x14ac:dyDescent="0.3">
      <c r="A45" s="7">
        <v>41334</v>
      </c>
      <c r="B45" s="7" t="s">
        <v>0</v>
      </c>
      <c r="C45" s="8" t="s">
        <v>13</v>
      </c>
      <c r="D45" s="9" t="s">
        <v>28</v>
      </c>
      <c r="E45" s="4">
        <v>137.77070091828114</v>
      </c>
      <c r="F45" s="4">
        <v>120.33426580337245</v>
      </c>
      <c r="G45" s="52">
        <f t="shared" si="0"/>
        <v>-17.43643511490869</v>
      </c>
      <c r="H45" s="49">
        <f t="shared" si="1"/>
        <v>0</v>
      </c>
      <c r="I45" s="49">
        <f t="shared" si="2"/>
        <v>3</v>
      </c>
      <c r="J45" s="50"/>
      <c r="K45" s="50"/>
      <c r="L45" s="50"/>
    </row>
    <row r="46" spans="1:12" x14ac:dyDescent="0.3">
      <c r="A46" s="7">
        <v>41334</v>
      </c>
      <c r="B46" s="7" t="s">
        <v>0</v>
      </c>
      <c r="C46" s="8" t="s">
        <v>16</v>
      </c>
      <c r="D46" s="9" t="s">
        <v>29</v>
      </c>
      <c r="E46" s="4">
        <v>246.40462860650592</v>
      </c>
      <c r="F46" s="4">
        <v>215.21934545069954</v>
      </c>
      <c r="G46" s="52">
        <f t="shared" si="0"/>
        <v>-31.185283155806388</v>
      </c>
      <c r="H46" s="49">
        <f t="shared" si="1"/>
        <v>0</v>
      </c>
      <c r="I46" s="49">
        <f t="shared" si="2"/>
        <v>3</v>
      </c>
      <c r="J46" s="50"/>
      <c r="K46" s="50"/>
      <c r="L46" s="50"/>
    </row>
    <row r="47" spans="1:12" x14ac:dyDescent="0.3">
      <c r="A47" s="7">
        <v>41334</v>
      </c>
      <c r="B47" s="7" t="s">
        <v>0</v>
      </c>
      <c r="C47" s="8" t="s">
        <v>11</v>
      </c>
      <c r="D47" s="9" t="s">
        <v>30</v>
      </c>
      <c r="E47" s="4">
        <v>547.23658364400046</v>
      </c>
      <c r="F47" s="4">
        <v>477.9776256825927</v>
      </c>
      <c r="G47" s="52">
        <f t="shared" si="0"/>
        <v>-69.258957961407759</v>
      </c>
      <c r="H47" s="49">
        <f t="shared" si="1"/>
        <v>0</v>
      </c>
      <c r="I47" s="49">
        <f t="shared" si="2"/>
        <v>3</v>
      </c>
      <c r="J47" s="50"/>
      <c r="K47" s="50"/>
      <c r="L47" s="50"/>
    </row>
    <row r="48" spans="1:12" x14ac:dyDescent="0.3">
      <c r="A48" s="7">
        <v>41334</v>
      </c>
      <c r="B48" s="7" t="s">
        <v>0</v>
      </c>
      <c r="C48" s="8" t="s">
        <v>13</v>
      </c>
      <c r="D48" s="9" t="s">
        <v>31</v>
      </c>
      <c r="E48" s="4">
        <v>397.6733436755062</v>
      </c>
      <c r="F48" s="4">
        <v>347.34329956808995</v>
      </c>
      <c r="G48" s="52">
        <f t="shared" si="0"/>
        <v>-50.330044107416256</v>
      </c>
      <c r="H48" s="49">
        <f t="shared" si="1"/>
        <v>0</v>
      </c>
      <c r="I48" s="49">
        <f t="shared" si="2"/>
        <v>3</v>
      </c>
      <c r="J48" s="50"/>
      <c r="K48" s="50"/>
      <c r="L48" s="50"/>
    </row>
    <row r="49" spans="1:12" x14ac:dyDescent="0.3">
      <c r="A49" s="7">
        <v>41334</v>
      </c>
      <c r="B49" s="7" t="s">
        <v>0</v>
      </c>
      <c r="C49" s="8" t="s">
        <v>14</v>
      </c>
      <c r="D49" s="9" t="s">
        <v>32</v>
      </c>
      <c r="E49" s="4">
        <v>31.260141038696155</v>
      </c>
      <c r="F49" s="4">
        <v>27.30381783448</v>
      </c>
      <c r="G49" s="52">
        <f t="shared" si="0"/>
        <v>-3.9563232042161545</v>
      </c>
      <c r="H49" s="49">
        <f t="shared" si="1"/>
        <v>0</v>
      </c>
      <c r="I49" s="49">
        <f t="shared" si="2"/>
        <v>3</v>
      </c>
      <c r="J49" s="50"/>
      <c r="K49" s="50"/>
      <c r="L49" s="50"/>
    </row>
    <row r="50" spans="1:12" x14ac:dyDescent="0.3">
      <c r="A50" s="7">
        <v>41365</v>
      </c>
      <c r="B50" s="7" t="s">
        <v>1</v>
      </c>
      <c r="C50" s="8" t="s">
        <v>11</v>
      </c>
      <c r="D50" s="9" t="s">
        <v>33</v>
      </c>
      <c r="E50" s="4">
        <v>4.1710622407697393</v>
      </c>
      <c r="F50" s="4">
        <v>4.3000641657419996</v>
      </c>
      <c r="G50" s="52">
        <f t="shared" si="0"/>
        <v>0.12900192497226026</v>
      </c>
      <c r="H50" s="49">
        <f t="shared" si="1"/>
        <v>1</v>
      </c>
      <c r="I50" s="49">
        <f t="shared" si="2"/>
        <v>4</v>
      </c>
      <c r="J50" s="50"/>
      <c r="K50" s="50"/>
      <c r="L50" s="50"/>
    </row>
    <row r="51" spans="1:12" x14ac:dyDescent="0.3">
      <c r="A51" s="7">
        <v>41365</v>
      </c>
      <c r="B51" s="7" t="s">
        <v>1</v>
      </c>
      <c r="C51" s="8" t="s">
        <v>13</v>
      </c>
      <c r="D51" s="9" t="s">
        <v>34</v>
      </c>
      <c r="E51" s="4">
        <v>4.5639561144963592</v>
      </c>
      <c r="F51" s="4">
        <v>4.7051093963879991</v>
      </c>
      <c r="G51" s="52">
        <f t="shared" si="0"/>
        <v>0.14115328189163989</v>
      </c>
      <c r="H51" s="49">
        <f t="shared" si="1"/>
        <v>1</v>
      </c>
      <c r="I51" s="49">
        <f t="shared" si="2"/>
        <v>4</v>
      </c>
      <c r="J51" s="50"/>
      <c r="K51" s="50"/>
      <c r="L51" s="50"/>
    </row>
    <row r="52" spans="1:12" x14ac:dyDescent="0.3">
      <c r="A52" s="7">
        <v>41365</v>
      </c>
      <c r="B52" s="7" t="s">
        <v>1</v>
      </c>
      <c r="C52" s="8" t="s">
        <v>14</v>
      </c>
      <c r="D52" s="9" t="s">
        <v>35</v>
      </c>
      <c r="E52" s="4">
        <v>2.3059743380165805</v>
      </c>
      <c r="F52" s="4">
        <v>2.3772931319758563</v>
      </c>
      <c r="G52" s="52">
        <f t="shared" si="0"/>
        <v>7.1318793959275872E-2</v>
      </c>
      <c r="H52" s="49">
        <f t="shared" si="1"/>
        <v>1</v>
      </c>
      <c r="I52" s="49">
        <f t="shared" si="2"/>
        <v>4</v>
      </c>
      <c r="J52" s="50"/>
      <c r="K52" s="50"/>
      <c r="L52" s="50"/>
    </row>
    <row r="53" spans="1:12" x14ac:dyDescent="0.3">
      <c r="A53" s="7">
        <v>41365</v>
      </c>
      <c r="B53" s="7" t="s">
        <v>1</v>
      </c>
      <c r="C53" s="8" t="s">
        <v>15</v>
      </c>
      <c r="D53" s="9" t="s">
        <v>36</v>
      </c>
      <c r="E53" s="4">
        <v>1.25935893979532</v>
      </c>
      <c r="F53" s="4">
        <v>1.2983081853560001</v>
      </c>
      <c r="G53" s="52">
        <f t="shared" si="0"/>
        <v>3.8949245560680135E-2</v>
      </c>
      <c r="H53" s="49">
        <f t="shared" si="1"/>
        <v>1</v>
      </c>
      <c r="I53" s="49">
        <f t="shared" si="2"/>
        <v>4</v>
      </c>
      <c r="J53" s="50"/>
      <c r="K53" s="50"/>
      <c r="L53" s="50"/>
    </row>
    <row r="54" spans="1:12" x14ac:dyDescent="0.3">
      <c r="A54" s="7">
        <v>41365</v>
      </c>
      <c r="B54" s="7" t="s">
        <v>1</v>
      </c>
      <c r="C54" s="8" t="s">
        <v>8</v>
      </c>
      <c r="D54" s="9" t="s">
        <v>37</v>
      </c>
      <c r="E54" s="4">
        <v>183.32598281566305</v>
      </c>
      <c r="F54" s="4">
        <v>188.9958585728485</v>
      </c>
      <c r="G54" s="52">
        <f t="shared" si="0"/>
        <v>5.6698757571854514</v>
      </c>
      <c r="H54" s="49">
        <f t="shared" si="1"/>
        <v>1</v>
      </c>
      <c r="I54" s="49">
        <f t="shared" si="2"/>
        <v>4</v>
      </c>
      <c r="J54" s="50"/>
      <c r="K54" s="50"/>
      <c r="L54" s="50"/>
    </row>
    <row r="55" spans="1:12" x14ac:dyDescent="0.3">
      <c r="A55" s="7">
        <v>41365</v>
      </c>
      <c r="B55" s="7" t="s">
        <v>1</v>
      </c>
      <c r="C55" s="8" t="s">
        <v>10</v>
      </c>
      <c r="D55" s="9" t="s">
        <v>38</v>
      </c>
      <c r="E55" s="4">
        <v>162.22866237568363</v>
      </c>
      <c r="F55" s="4">
        <v>167.24604368627178</v>
      </c>
      <c r="G55" s="52">
        <f t="shared" si="0"/>
        <v>5.0173813105881493</v>
      </c>
      <c r="H55" s="49">
        <f t="shared" si="1"/>
        <v>1</v>
      </c>
      <c r="I55" s="49">
        <f t="shared" si="2"/>
        <v>4</v>
      </c>
      <c r="J55" s="50"/>
      <c r="K55" s="50"/>
      <c r="L55" s="50"/>
    </row>
    <row r="56" spans="1:12" x14ac:dyDescent="0.3">
      <c r="A56" s="7">
        <v>41365</v>
      </c>
      <c r="B56" s="7" t="s">
        <v>1</v>
      </c>
      <c r="C56" s="8" t="s">
        <v>9</v>
      </c>
      <c r="D56" s="9" t="s">
        <v>39</v>
      </c>
      <c r="E56" s="4">
        <v>63.552628477608742</v>
      </c>
      <c r="F56" s="4">
        <v>65.518173688256439</v>
      </c>
      <c r="G56" s="52">
        <f t="shared" si="0"/>
        <v>1.9655452106476972</v>
      </c>
      <c r="H56" s="49">
        <f t="shared" si="1"/>
        <v>1</v>
      </c>
      <c r="I56" s="49">
        <f t="shared" si="2"/>
        <v>4</v>
      </c>
      <c r="J56" s="50"/>
      <c r="K56" s="50"/>
      <c r="L56" s="50"/>
    </row>
    <row r="57" spans="1:12" x14ac:dyDescent="0.3">
      <c r="A57" s="7">
        <v>41365</v>
      </c>
      <c r="B57" s="7" t="s">
        <v>1</v>
      </c>
      <c r="C57" s="8" t="s">
        <v>12</v>
      </c>
      <c r="D57" s="9" t="s">
        <v>40</v>
      </c>
      <c r="E57" s="4">
        <v>14.536630286523716</v>
      </c>
      <c r="F57" s="4">
        <v>14.986216790230635</v>
      </c>
      <c r="G57" s="52">
        <f t="shared" si="0"/>
        <v>0.44958650370691977</v>
      </c>
      <c r="H57" s="49">
        <f t="shared" si="1"/>
        <v>1</v>
      </c>
      <c r="I57" s="49">
        <f t="shared" si="2"/>
        <v>4</v>
      </c>
      <c r="J57" s="50"/>
      <c r="K57" s="50"/>
      <c r="L57" s="50"/>
    </row>
    <row r="58" spans="1:12" x14ac:dyDescent="0.3">
      <c r="A58" s="7">
        <v>41365</v>
      </c>
      <c r="B58" s="7" t="s">
        <v>1</v>
      </c>
      <c r="C58" s="8" t="s">
        <v>13</v>
      </c>
      <c r="D58" s="9" t="s">
        <v>41</v>
      </c>
      <c r="E58" s="4">
        <v>40</v>
      </c>
      <c r="F58" s="4">
        <v>70</v>
      </c>
      <c r="G58" s="52">
        <f t="shared" si="0"/>
        <v>30</v>
      </c>
      <c r="H58" s="49">
        <f t="shared" si="1"/>
        <v>1</v>
      </c>
      <c r="I58" s="49">
        <f t="shared" si="2"/>
        <v>4</v>
      </c>
      <c r="J58" s="50">
        <f>SUMIFS(F2:F193,C2:C193,C176,B2:B193,B3)</f>
        <v>426.94803576440472</v>
      </c>
      <c r="K58" s="50"/>
      <c r="L58" s="50"/>
    </row>
    <row r="59" spans="1:12" x14ac:dyDescent="0.3">
      <c r="A59" s="7">
        <v>41365</v>
      </c>
      <c r="B59" s="7" t="s">
        <v>1</v>
      </c>
      <c r="C59" s="8" t="s">
        <v>16</v>
      </c>
      <c r="D59" s="9" t="s">
        <v>42</v>
      </c>
      <c r="E59" s="4">
        <v>1814.5381354778924</v>
      </c>
      <c r="F59" s="4">
        <v>1870.6578716266933</v>
      </c>
      <c r="G59" s="52">
        <f t="shared" si="0"/>
        <v>56.119736148800939</v>
      </c>
      <c r="H59" s="49">
        <f t="shared" si="1"/>
        <v>1</v>
      </c>
      <c r="I59" s="49">
        <f t="shared" si="2"/>
        <v>4</v>
      </c>
      <c r="J59" s="50"/>
      <c r="K59" s="50"/>
      <c r="L59" s="50"/>
    </row>
    <row r="60" spans="1:12" x14ac:dyDescent="0.3">
      <c r="A60" s="7">
        <v>41365</v>
      </c>
      <c r="B60" s="7" t="s">
        <v>1</v>
      </c>
      <c r="C60" s="8" t="s">
        <v>11</v>
      </c>
      <c r="D60" s="9" t="s">
        <v>43</v>
      </c>
      <c r="E60" s="4">
        <v>1044.9524642624622</v>
      </c>
      <c r="F60" s="4">
        <v>1077.2705817138785</v>
      </c>
      <c r="G60" s="52">
        <f t="shared" si="0"/>
        <v>32.318117451416356</v>
      </c>
      <c r="H60" s="49">
        <f t="shared" si="1"/>
        <v>1</v>
      </c>
      <c r="I60" s="49">
        <f t="shared" si="2"/>
        <v>4</v>
      </c>
      <c r="J60" s="50"/>
      <c r="K60" s="50"/>
      <c r="L60" s="50"/>
    </row>
    <row r="61" spans="1:12" x14ac:dyDescent="0.3">
      <c r="A61" s="7">
        <v>41365</v>
      </c>
      <c r="B61" s="7" t="s">
        <v>1</v>
      </c>
      <c r="C61" s="8" t="s">
        <v>13</v>
      </c>
      <c r="D61" s="9" t="s">
        <v>44</v>
      </c>
      <c r="E61" s="4">
        <v>105.28068510091136</v>
      </c>
      <c r="F61" s="4">
        <v>108.53678876382614</v>
      </c>
      <c r="G61" s="52">
        <f t="shared" si="0"/>
        <v>3.2561036629147821</v>
      </c>
      <c r="H61" s="49">
        <f t="shared" si="1"/>
        <v>1</v>
      </c>
      <c r="I61" s="49">
        <f t="shared" si="2"/>
        <v>4</v>
      </c>
      <c r="J61" s="50"/>
      <c r="K61" s="50"/>
      <c r="L61" s="50"/>
    </row>
    <row r="62" spans="1:12" x14ac:dyDescent="0.3">
      <c r="A62" s="7">
        <v>41365</v>
      </c>
      <c r="B62" s="7" t="s">
        <v>1</v>
      </c>
      <c r="C62" s="8" t="s">
        <v>14</v>
      </c>
      <c r="D62" s="9" t="s">
        <v>45</v>
      </c>
      <c r="E62" s="4">
        <v>188.29582733353359</v>
      </c>
      <c r="F62" s="4">
        <v>194.11940962219958</v>
      </c>
      <c r="G62" s="52">
        <f t="shared" si="0"/>
        <v>5.8235822886659889</v>
      </c>
      <c r="H62" s="49">
        <f t="shared" si="1"/>
        <v>1</v>
      </c>
      <c r="I62" s="49">
        <f t="shared" si="2"/>
        <v>4</v>
      </c>
      <c r="J62" s="50"/>
      <c r="K62" s="50"/>
      <c r="L62" s="50"/>
    </row>
    <row r="63" spans="1:12" x14ac:dyDescent="0.3">
      <c r="A63" s="7">
        <v>41365</v>
      </c>
      <c r="B63" s="7" t="s">
        <v>1</v>
      </c>
      <c r="C63" s="8" t="s">
        <v>11</v>
      </c>
      <c r="D63" s="9" t="s">
        <v>46</v>
      </c>
      <c r="E63" s="4">
        <v>418.18356192073111</v>
      </c>
      <c r="F63" s="4">
        <v>431.11707414508362</v>
      </c>
      <c r="G63" s="52">
        <f t="shared" si="0"/>
        <v>12.933512224352512</v>
      </c>
      <c r="H63" s="49">
        <f t="shared" si="1"/>
        <v>1</v>
      </c>
      <c r="I63" s="49">
        <f t="shared" si="2"/>
        <v>4</v>
      </c>
      <c r="J63" s="50"/>
      <c r="K63" s="50"/>
      <c r="L63" s="50"/>
    </row>
    <row r="64" spans="1:12" x14ac:dyDescent="0.3">
      <c r="A64" s="7">
        <v>41365</v>
      </c>
      <c r="B64" s="7" t="s">
        <v>1</v>
      </c>
      <c r="C64" s="8" t="s">
        <v>13</v>
      </c>
      <c r="D64" s="9" t="s">
        <v>47</v>
      </c>
      <c r="E64" s="4">
        <v>303.89133385741519</v>
      </c>
      <c r="F64" s="4">
        <v>313.29003490455176</v>
      </c>
      <c r="G64" s="52">
        <f t="shared" si="0"/>
        <v>9.3987010471365693</v>
      </c>
      <c r="H64" s="49">
        <f t="shared" si="1"/>
        <v>1</v>
      </c>
      <c r="I64" s="49">
        <f t="shared" si="2"/>
        <v>4</v>
      </c>
      <c r="J64" s="50"/>
      <c r="K64" s="50"/>
      <c r="L64" s="50"/>
    </row>
    <row r="65" spans="1:12" x14ac:dyDescent="0.3">
      <c r="A65" s="7">
        <v>41365</v>
      </c>
      <c r="B65" s="7" t="s">
        <v>1</v>
      </c>
      <c r="C65" s="8" t="s">
        <v>14</v>
      </c>
      <c r="D65" s="9" t="s">
        <v>48</v>
      </c>
      <c r="E65" s="4">
        <v>23.888163760284264</v>
      </c>
      <c r="F65" s="4">
        <v>24.626972948746666</v>
      </c>
      <c r="G65" s="52">
        <f t="shared" si="0"/>
        <v>0.73880918846240107</v>
      </c>
      <c r="H65" s="49">
        <f t="shared" si="1"/>
        <v>1</v>
      </c>
      <c r="I65" s="49">
        <f t="shared" si="2"/>
        <v>4</v>
      </c>
      <c r="J65" s="50"/>
      <c r="K65" s="50"/>
      <c r="L65" s="50"/>
    </row>
    <row r="66" spans="1:12" x14ac:dyDescent="0.3">
      <c r="A66" s="7">
        <v>41395</v>
      </c>
      <c r="B66" s="7" t="s">
        <v>1</v>
      </c>
      <c r="C66" s="8" t="s">
        <v>15</v>
      </c>
      <c r="D66" s="6" t="s">
        <v>17</v>
      </c>
      <c r="E66" s="4">
        <v>4.4247660265485171</v>
      </c>
      <c r="F66" s="4">
        <v>4.5150673740290994</v>
      </c>
      <c r="G66" s="52">
        <f t="shared" si="0"/>
        <v>9.0301347480582272E-2</v>
      </c>
      <c r="H66" s="49">
        <f t="shared" si="1"/>
        <v>1</v>
      </c>
      <c r="I66" s="49">
        <f t="shared" si="2"/>
        <v>5</v>
      </c>
      <c r="J66" s="50"/>
      <c r="K66" s="50"/>
      <c r="L66" s="50"/>
    </row>
    <row r="67" spans="1:12" x14ac:dyDescent="0.3">
      <c r="A67" s="7">
        <v>41395</v>
      </c>
      <c r="B67" s="7" t="s">
        <v>1</v>
      </c>
      <c r="C67" s="8" t="s">
        <v>8</v>
      </c>
      <c r="D67" s="9" t="s">
        <v>18</v>
      </c>
      <c r="E67" s="4">
        <v>4.8415575688832506</v>
      </c>
      <c r="F67" s="4">
        <v>4.9403648662073989</v>
      </c>
      <c r="G67" s="52">
        <f t="shared" ref="G67:G130" si="3">F67-E67</f>
        <v>9.880729732414828E-2</v>
      </c>
      <c r="H67" s="49">
        <f t="shared" ref="H67:H130" si="4">IF(G67&gt;0,1,0)</f>
        <v>1</v>
      </c>
      <c r="I67" s="49">
        <f t="shared" ref="I67:I130" si="5">MONTH(A67)</f>
        <v>5</v>
      </c>
      <c r="J67" s="50"/>
      <c r="K67" s="50"/>
      <c r="L67" s="50"/>
    </row>
    <row r="68" spans="1:12" x14ac:dyDescent="0.3">
      <c r="A68" s="7">
        <v>41395</v>
      </c>
      <c r="B68" s="7" t="s">
        <v>1</v>
      </c>
      <c r="C68" s="8" t="s">
        <v>10</v>
      </c>
      <c r="D68" s="9" t="s">
        <v>19</v>
      </c>
      <c r="E68" s="4">
        <v>2.4462346328031561</v>
      </c>
      <c r="F68" s="4">
        <v>2.4961577885746493</v>
      </c>
      <c r="G68" s="52">
        <f t="shared" si="3"/>
        <v>4.9923155771493199E-2</v>
      </c>
      <c r="H68" s="49">
        <f t="shared" si="4"/>
        <v>1</v>
      </c>
      <c r="I68" s="49">
        <f t="shared" si="5"/>
        <v>5</v>
      </c>
      <c r="J68" s="50"/>
      <c r="K68" s="50"/>
      <c r="L68" s="50"/>
    </row>
    <row r="69" spans="1:12" x14ac:dyDescent="0.3">
      <c r="A69" s="7">
        <v>41395</v>
      </c>
      <c r="B69" s="7" t="s">
        <v>1</v>
      </c>
      <c r="C69" s="8" t="s">
        <v>9</v>
      </c>
      <c r="D69" s="9" t="s">
        <v>20</v>
      </c>
      <c r="E69" s="4">
        <v>1.3359591227313243</v>
      </c>
      <c r="F69" s="4">
        <v>1.3632235946238003</v>
      </c>
      <c r="G69" s="52">
        <f t="shared" si="3"/>
        <v>2.7264471892475939E-2</v>
      </c>
      <c r="H69" s="49">
        <f t="shared" si="4"/>
        <v>1</v>
      </c>
      <c r="I69" s="49">
        <f t="shared" si="5"/>
        <v>5</v>
      </c>
      <c r="J69" s="50"/>
      <c r="K69" s="50"/>
      <c r="L69" s="50"/>
    </row>
    <row r="70" spans="1:12" x14ac:dyDescent="0.3">
      <c r="A70" s="7">
        <v>41395</v>
      </c>
      <c r="B70" s="7" t="s">
        <v>1</v>
      </c>
      <c r="C70" s="8" t="s">
        <v>12</v>
      </c>
      <c r="D70" s="9" t="s">
        <v>21</v>
      </c>
      <c r="E70" s="4">
        <v>194.47673847146112</v>
      </c>
      <c r="F70" s="4">
        <v>198.44565150149094</v>
      </c>
      <c r="G70" s="52">
        <f t="shared" si="3"/>
        <v>3.9689130300298245</v>
      </c>
      <c r="H70" s="49">
        <f t="shared" si="4"/>
        <v>1</v>
      </c>
      <c r="I70" s="49">
        <f t="shared" si="5"/>
        <v>5</v>
      </c>
      <c r="J70" s="50"/>
      <c r="K70" s="50"/>
      <c r="L70" s="50"/>
    </row>
    <row r="71" spans="1:12" x14ac:dyDescent="0.3">
      <c r="A71" s="7">
        <v>41395</v>
      </c>
      <c r="B71" s="7" t="s">
        <v>1</v>
      </c>
      <c r="C71" s="8" t="s">
        <v>13</v>
      </c>
      <c r="D71" s="9" t="s">
        <v>22</v>
      </c>
      <c r="E71" s="4">
        <v>172.09617895317365</v>
      </c>
      <c r="F71" s="4">
        <v>175.60834587058537</v>
      </c>
      <c r="G71" s="52">
        <f t="shared" si="3"/>
        <v>3.5121669174117187</v>
      </c>
      <c r="H71" s="49">
        <f t="shared" si="4"/>
        <v>1</v>
      </c>
      <c r="I71" s="49">
        <f t="shared" si="5"/>
        <v>5</v>
      </c>
      <c r="J71" s="50"/>
      <c r="K71" s="50"/>
      <c r="L71" s="50"/>
    </row>
    <row r="72" spans="1:12" x14ac:dyDescent="0.3">
      <c r="A72" s="7">
        <v>41395</v>
      </c>
      <c r="B72" s="7" t="s">
        <v>1</v>
      </c>
      <c r="C72" s="8" t="s">
        <v>16</v>
      </c>
      <c r="D72" s="9" t="s">
        <v>23</v>
      </c>
      <c r="E72" s="4">
        <v>67.418200725215883</v>
      </c>
      <c r="F72" s="4">
        <v>68.794082372669266</v>
      </c>
      <c r="G72" s="52">
        <f t="shared" si="3"/>
        <v>1.375881647453383</v>
      </c>
      <c r="H72" s="49">
        <f t="shared" si="4"/>
        <v>1</v>
      </c>
      <c r="I72" s="49">
        <f t="shared" si="5"/>
        <v>5</v>
      </c>
      <c r="J72" s="50"/>
      <c r="K72" s="50"/>
      <c r="L72" s="50"/>
    </row>
    <row r="73" spans="1:12" x14ac:dyDescent="0.3">
      <c r="A73" s="7">
        <v>41395</v>
      </c>
      <c r="B73" s="7" t="s">
        <v>1</v>
      </c>
      <c r="C73" s="8" t="s">
        <v>11</v>
      </c>
      <c r="D73" s="9" t="s">
        <v>24</v>
      </c>
      <c r="E73" s="4">
        <v>15.420817077147323</v>
      </c>
      <c r="F73" s="4">
        <v>15.735527629742167</v>
      </c>
      <c r="G73" s="52">
        <f t="shared" si="3"/>
        <v>0.31471055259484437</v>
      </c>
      <c r="H73" s="49">
        <f t="shared" si="4"/>
        <v>1</v>
      </c>
      <c r="I73" s="49">
        <f t="shared" si="5"/>
        <v>5</v>
      </c>
      <c r="J73" s="50"/>
      <c r="K73" s="50"/>
      <c r="L73" s="50"/>
    </row>
    <row r="74" spans="1:12" x14ac:dyDescent="0.3">
      <c r="A74" s="7">
        <v>41395</v>
      </c>
      <c r="B74" s="7" t="s">
        <v>1</v>
      </c>
      <c r="C74" s="8" t="s">
        <v>13</v>
      </c>
      <c r="D74" s="9" t="s">
        <v>25</v>
      </c>
      <c r="E74" s="4">
        <v>100</v>
      </c>
      <c r="F74" s="4">
        <v>112</v>
      </c>
      <c r="G74" s="52">
        <f t="shared" si="3"/>
        <v>12</v>
      </c>
      <c r="H74" s="49">
        <f t="shared" si="4"/>
        <v>1</v>
      </c>
      <c r="I74" s="49">
        <f t="shared" si="5"/>
        <v>5</v>
      </c>
      <c r="J74" s="50"/>
      <c r="K74" s="50"/>
      <c r="L74" s="50"/>
    </row>
    <row r="75" spans="1:12" x14ac:dyDescent="0.3">
      <c r="A75" s="7">
        <v>41395</v>
      </c>
      <c r="B75" s="7" t="s">
        <v>1</v>
      </c>
      <c r="C75" s="8" t="s">
        <v>14</v>
      </c>
      <c r="D75" s="9" t="s">
        <v>26</v>
      </c>
      <c r="E75" s="4">
        <v>1924.9069499038676</v>
      </c>
      <c r="F75" s="4">
        <v>1964.1907652080281</v>
      </c>
      <c r="G75" s="52">
        <f t="shared" si="3"/>
        <v>39.283815304160498</v>
      </c>
      <c r="H75" s="49">
        <f t="shared" si="4"/>
        <v>1</v>
      </c>
      <c r="I75" s="49">
        <f t="shared" si="5"/>
        <v>5</v>
      </c>
      <c r="J75" s="50"/>
      <c r="K75" s="50"/>
      <c r="L75" s="50"/>
    </row>
    <row r="76" spans="1:12" x14ac:dyDescent="0.3">
      <c r="A76" s="7">
        <v>41395</v>
      </c>
      <c r="B76" s="7" t="s">
        <v>1</v>
      </c>
      <c r="C76" s="8" t="s">
        <v>11</v>
      </c>
      <c r="D76" s="9" t="s">
        <v>27</v>
      </c>
      <c r="E76" s="4">
        <v>1108.5114285835809</v>
      </c>
      <c r="F76" s="4">
        <v>1131.1341107995725</v>
      </c>
      <c r="G76" s="52">
        <f t="shared" si="3"/>
        <v>22.622682215991517</v>
      </c>
      <c r="H76" s="49">
        <f t="shared" si="4"/>
        <v>1</v>
      </c>
      <c r="I76" s="49">
        <f t="shared" si="5"/>
        <v>5</v>
      </c>
      <c r="J76" s="50"/>
      <c r="K76" s="50"/>
      <c r="L76" s="50"/>
    </row>
    <row r="77" spans="1:12" x14ac:dyDescent="0.3">
      <c r="A77" s="7">
        <v>41395</v>
      </c>
      <c r="B77" s="7" t="s">
        <v>1</v>
      </c>
      <c r="C77" s="8" t="s">
        <v>13</v>
      </c>
      <c r="D77" s="9" t="s">
        <v>28</v>
      </c>
      <c r="E77" s="4">
        <v>111.68435563797709</v>
      </c>
      <c r="F77" s="4">
        <v>113.96362820201745</v>
      </c>
      <c r="G77" s="52">
        <f t="shared" si="3"/>
        <v>2.2792725640403546</v>
      </c>
      <c r="H77" s="49">
        <f t="shared" si="4"/>
        <v>1</v>
      </c>
      <c r="I77" s="49">
        <f t="shared" si="5"/>
        <v>5</v>
      </c>
      <c r="J77" s="50"/>
      <c r="K77" s="50"/>
      <c r="L77" s="50"/>
    </row>
    <row r="78" spans="1:12" x14ac:dyDescent="0.3">
      <c r="A78" s="7">
        <v>41395</v>
      </c>
      <c r="B78" s="7" t="s">
        <v>1</v>
      </c>
      <c r="C78" s="8" t="s">
        <v>14</v>
      </c>
      <c r="D78" s="9" t="s">
        <v>29</v>
      </c>
      <c r="E78" s="4">
        <v>199.7488725012434</v>
      </c>
      <c r="F78" s="4">
        <v>203.82538010330958</v>
      </c>
      <c r="G78" s="52">
        <f t="shared" si="3"/>
        <v>4.0765076020661866</v>
      </c>
      <c r="H78" s="49">
        <f t="shared" si="4"/>
        <v>1</v>
      </c>
      <c r="I78" s="49">
        <f t="shared" si="5"/>
        <v>5</v>
      </c>
      <c r="J78" s="50"/>
      <c r="K78" s="50"/>
      <c r="L78" s="50"/>
    </row>
    <row r="79" spans="1:12" x14ac:dyDescent="0.3">
      <c r="A79" s="7">
        <v>41395</v>
      </c>
      <c r="B79" s="7" t="s">
        <v>1</v>
      </c>
      <c r="C79" s="8" t="s">
        <v>15</v>
      </c>
      <c r="D79" s="9" t="s">
        <v>30</v>
      </c>
      <c r="E79" s="4">
        <v>443.61946929529103</v>
      </c>
      <c r="F79" s="4">
        <v>452.67292785233781</v>
      </c>
      <c r="G79" s="52">
        <f t="shared" si="3"/>
        <v>9.0534585570467812</v>
      </c>
      <c r="H79" s="49">
        <f t="shared" si="4"/>
        <v>1</v>
      </c>
      <c r="I79" s="49">
        <f t="shared" si="5"/>
        <v>5</v>
      </c>
      <c r="J79" s="50"/>
      <c r="K79" s="50"/>
      <c r="L79" s="50"/>
    </row>
    <row r="80" spans="1:12" x14ac:dyDescent="0.3">
      <c r="A80" s="7">
        <v>41395</v>
      </c>
      <c r="B80" s="7" t="s">
        <v>1</v>
      </c>
      <c r="C80" s="8" t="s">
        <v>8</v>
      </c>
      <c r="D80" s="9" t="s">
        <v>31</v>
      </c>
      <c r="E80" s="4">
        <v>322.37544591678375</v>
      </c>
      <c r="F80" s="4">
        <v>328.95453664977936</v>
      </c>
      <c r="G80" s="52">
        <f t="shared" si="3"/>
        <v>6.5790907329956099</v>
      </c>
      <c r="H80" s="49">
        <f t="shared" si="4"/>
        <v>1</v>
      </c>
      <c r="I80" s="49">
        <f t="shared" si="5"/>
        <v>5</v>
      </c>
      <c r="J80" s="50"/>
      <c r="K80" s="50"/>
      <c r="L80" s="50"/>
    </row>
    <row r="81" spans="1:12" x14ac:dyDescent="0.3">
      <c r="A81" s="7">
        <v>41395</v>
      </c>
      <c r="B81" s="7" t="s">
        <v>1</v>
      </c>
      <c r="C81" s="8" t="s">
        <v>10</v>
      </c>
      <c r="D81" s="9" t="s">
        <v>32</v>
      </c>
      <c r="E81" s="4">
        <v>25.341155164260318</v>
      </c>
      <c r="F81" s="4">
        <v>25.858321596183998</v>
      </c>
      <c r="G81" s="52">
        <f t="shared" si="3"/>
        <v>0.51716643192368039</v>
      </c>
      <c r="H81" s="49">
        <f t="shared" si="4"/>
        <v>1</v>
      </c>
      <c r="I81" s="49">
        <f t="shared" si="5"/>
        <v>5</v>
      </c>
      <c r="J81" s="50"/>
      <c r="K81" s="50"/>
      <c r="L81" s="50"/>
    </row>
    <row r="82" spans="1:12" x14ac:dyDescent="0.3">
      <c r="A82" s="7">
        <v>41426</v>
      </c>
      <c r="B82" s="7" t="s">
        <v>1</v>
      </c>
      <c r="C82" s="8" t="s">
        <v>9</v>
      </c>
      <c r="D82" s="9" t="s">
        <v>33</v>
      </c>
      <c r="E82" s="4">
        <v>4.8095282897266491</v>
      </c>
      <c r="F82" s="4">
        <v>4.9076819282924991</v>
      </c>
      <c r="G82" s="52">
        <f t="shared" si="3"/>
        <v>9.815363856584991E-2</v>
      </c>
      <c r="H82" s="49">
        <f t="shared" si="4"/>
        <v>1</v>
      </c>
      <c r="I82" s="49">
        <f t="shared" si="5"/>
        <v>6</v>
      </c>
      <c r="J82" s="50"/>
      <c r="K82" s="50"/>
      <c r="L82" s="50"/>
    </row>
    <row r="83" spans="1:12" x14ac:dyDescent="0.3">
      <c r="A83" s="7">
        <v>41426</v>
      </c>
      <c r="B83" s="7" t="s">
        <v>1</v>
      </c>
      <c r="C83" s="8" t="s">
        <v>12</v>
      </c>
      <c r="D83" s="9" t="s">
        <v>34</v>
      </c>
      <c r="E83" s="4">
        <v>5.2625625748730993</v>
      </c>
      <c r="F83" s="4">
        <v>5.3699618110949991</v>
      </c>
      <c r="G83" s="52">
        <f t="shared" si="3"/>
        <v>0.10739923622189984</v>
      </c>
      <c r="H83" s="49">
        <f t="shared" si="4"/>
        <v>1</v>
      </c>
      <c r="I83" s="49">
        <f t="shared" si="5"/>
        <v>6</v>
      </c>
      <c r="J83" s="50"/>
      <c r="K83" s="50"/>
      <c r="L83" s="50"/>
    </row>
    <row r="84" spans="1:12" x14ac:dyDescent="0.3">
      <c r="A84" s="7">
        <v>41426</v>
      </c>
      <c r="B84" s="7" t="s">
        <v>1</v>
      </c>
      <c r="C84" s="8" t="s">
        <v>13</v>
      </c>
      <c r="D84" s="9" t="s">
        <v>35</v>
      </c>
      <c r="E84" s="4">
        <v>2.6589506878295173</v>
      </c>
      <c r="F84" s="4">
        <v>2.7132149875811402</v>
      </c>
      <c r="G84" s="52">
        <f t="shared" si="3"/>
        <v>5.4264299751622946E-2</v>
      </c>
      <c r="H84" s="49">
        <f t="shared" si="4"/>
        <v>1</v>
      </c>
      <c r="I84" s="49">
        <f t="shared" si="5"/>
        <v>6</v>
      </c>
      <c r="J84" s="50"/>
      <c r="K84" s="50"/>
      <c r="L84" s="50"/>
    </row>
    <row r="85" spans="1:12" x14ac:dyDescent="0.3">
      <c r="A85" s="7">
        <v>41426</v>
      </c>
      <c r="B85" s="7" t="s">
        <v>1</v>
      </c>
      <c r="C85" s="8" t="s">
        <v>16</v>
      </c>
      <c r="D85" s="9" t="s">
        <v>36</v>
      </c>
      <c r="E85" s="4">
        <v>0.42312948122970001</v>
      </c>
      <c r="F85" s="4">
        <v>0.43176477676500002</v>
      </c>
      <c r="G85" s="52">
        <f t="shared" si="3"/>
        <v>8.6352955353000138E-3</v>
      </c>
      <c r="H85" s="49">
        <f t="shared" si="4"/>
        <v>1</v>
      </c>
      <c r="I85" s="49">
        <f t="shared" si="5"/>
        <v>6</v>
      </c>
      <c r="J85" s="50"/>
      <c r="K85" s="50"/>
      <c r="L85" s="50"/>
    </row>
    <row r="86" spans="1:12" x14ac:dyDescent="0.3">
      <c r="A86" s="7">
        <v>41426</v>
      </c>
      <c r="B86" s="7" t="s">
        <v>1</v>
      </c>
      <c r="C86" s="8" t="s">
        <v>11</v>
      </c>
      <c r="D86" s="9" t="s">
        <v>37</v>
      </c>
      <c r="E86" s="4">
        <v>211.38775920810988</v>
      </c>
      <c r="F86" s="4">
        <v>215.70179511031623</v>
      </c>
      <c r="G86" s="52">
        <f t="shared" si="3"/>
        <v>4.3140359022063421</v>
      </c>
      <c r="H86" s="49">
        <f t="shared" si="4"/>
        <v>1</v>
      </c>
      <c r="I86" s="49">
        <f t="shared" si="5"/>
        <v>6</v>
      </c>
      <c r="J86" s="50"/>
      <c r="K86" s="50"/>
      <c r="L86" s="50"/>
    </row>
    <row r="87" spans="1:12" x14ac:dyDescent="0.3">
      <c r="A87" s="7">
        <v>41426</v>
      </c>
      <c r="B87" s="7" t="s">
        <v>1</v>
      </c>
      <c r="C87" s="8" t="s">
        <v>13</v>
      </c>
      <c r="D87" s="9" t="s">
        <v>38</v>
      </c>
      <c r="E87" s="4">
        <v>187.06106407953655</v>
      </c>
      <c r="F87" s="4">
        <v>190.87863681585364</v>
      </c>
      <c r="G87" s="52">
        <f t="shared" si="3"/>
        <v>3.8175727363170893</v>
      </c>
      <c r="H87" s="49">
        <f t="shared" si="4"/>
        <v>1</v>
      </c>
      <c r="I87" s="49">
        <f t="shared" si="5"/>
        <v>6</v>
      </c>
      <c r="J87" s="50"/>
      <c r="K87" s="50"/>
      <c r="L87" s="50"/>
    </row>
    <row r="88" spans="1:12" x14ac:dyDescent="0.3">
      <c r="A88" s="7">
        <v>41426</v>
      </c>
      <c r="B88" s="7" t="s">
        <v>1</v>
      </c>
      <c r="C88" s="8" t="s">
        <v>14</v>
      </c>
      <c r="D88" s="9" t="s">
        <v>39</v>
      </c>
      <c r="E88" s="4">
        <v>73.280652962191169</v>
      </c>
      <c r="F88" s="4">
        <v>74.776176492031809</v>
      </c>
      <c r="G88" s="52">
        <f t="shared" si="3"/>
        <v>1.4955235298406393</v>
      </c>
      <c r="H88" s="49">
        <f t="shared" si="4"/>
        <v>1</v>
      </c>
      <c r="I88" s="49">
        <f t="shared" si="5"/>
        <v>6</v>
      </c>
      <c r="J88" s="50"/>
      <c r="K88" s="50"/>
      <c r="L88" s="50"/>
    </row>
    <row r="89" spans="1:12" x14ac:dyDescent="0.3">
      <c r="A89" s="7">
        <v>41426</v>
      </c>
      <c r="B89" s="7" t="s">
        <v>1</v>
      </c>
      <c r="C89" s="8" t="s">
        <v>11</v>
      </c>
      <c r="D89" s="9" t="s">
        <v>40</v>
      </c>
      <c r="E89" s="4">
        <v>16.761757692551441</v>
      </c>
      <c r="F89" s="4">
        <v>17.103834380154531</v>
      </c>
      <c r="G89" s="52">
        <f t="shared" si="3"/>
        <v>0.34207668760308962</v>
      </c>
      <c r="H89" s="49">
        <f t="shared" si="4"/>
        <v>1</v>
      </c>
      <c r="I89" s="49">
        <f t="shared" si="5"/>
        <v>6</v>
      </c>
      <c r="J89" s="50"/>
      <c r="K89" s="50"/>
      <c r="L89" s="50"/>
    </row>
    <row r="90" spans="1:12" x14ac:dyDescent="0.3">
      <c r="A90" s="7">
        <v>41426</v>
      </c>
      <c r="B90" s="7" t="s">
        <v>1</v>
      </c>
      <c r="C90" s="8" t="s">
        <v>13</v>
      </c>
      <c r="D90" s="9" t="s">
        <v>41</v>
      </c>
      <c r="E90" s="4">
        <v>29</v>
      </c>
      <c r="F90" s="4">
        <v>44</v>
      </c>
      <c r="G90" s="52">
        <f t="shared" si="3"/>
        <v>15</v>
      </c>
      <c r="H90" s="49">
        <f t="shared" si="4"/>
        <v>1</v>
      </c>
      <c r="I90" s="49">
        <f t="shared" si="5"/>
        <v>6</v>
      </c>
      <c r="J90" s="50"/>
      <c r="K90" s="50"/>
      <c r="L90" s="50"/>
    </row>
    <row r="91" spans="1:12" x14ac:dyDescent="0.3">
      <c r="A91" s="7">
        <v>41426</v>
      </c>
      <c r="B91" s="7" t="s">
        <v>1</v>
      </c>
      <c r="C91" s="8" t="s">
        <v>14</v>
      </c>
      <c r="D91" s="9" t="s">
        <v>42</v>
      </c>
      <c r="E91" s="4">
        <v>1944.1560194029062</v>
      </c>
      <c r="F91" s="4">
        <v>1983.8326728601085</v>
      </c>
      <c r="G91" s="52">
        <f t="shared" si="3"/>
        <v>39.676653457202292</v>
      </c>
      <c r="H91" s="49">
        <f t="shared" si="4"/>
        <v>1</v>
      </c>
      <c r="I91" s="49">
        <f t="shared" si="5"/>
        <v>6</v>
      </c>
      <c r="J91" s="50"/>
      <c r="K91" s="50"/>
      <c r="L91" s="50"/>
    </row>
    <row r="92" spans="1:12" x14ac:dyDescent="0.3">
      <c r="A92" s="7">
        <v>41426</v>
      </c>
      <c r="B92" s="7" t="s">
        <v>1</v>
      </c>
      <c r="C92" s="8" t="s">
        <v>15</v>
      </c>
      <c r="D92" s="9" t="s">
        <v>43</v>
      </c>
      <c r="E92" s="4">
        <v>1119.5965428694169</v>
      </c>
      <c r="F92" s="4">
        <v>1142.4454519075682</v>
      </c>
      <c r="G92" s="52">
        <f t="shared" si="3"/>
        <v>22.848909038151305</v>
      </c>
      <c r="H92" s="49">
        <f t="shared" si="4"/>
        <v>1</v>
      </c>
      <c r="I92" s="49">
        <f t="shared" si="5"/>
        <v>6</v>
      </c>
      <c r="J92" s="50"/>
      <c r="K92" s="50"/>
      <c r="L92" s="50"/>
    </row>
    <row r="93" spans="1:12" x14ac:dyDescent="0.3">
      <c r="A93" s="7">
        <v>41426</v>
      </c>
      <c r="B93" s="7" t="s">
        <v>1</v>
      </c>
      <c r="C93" s="8" t="s">
        <v>8</v>
      </c>
      <c r="D93" s="9" t="s">
        <v>44</v>
      </c>
      <c r="E93" s="4">
        <v>112.80119919435687</v>
      </c>
      <c r="F93" s="4">
        <v>115.10326448403762</v>
      </c>
      <c r="G93" s="52">
        <f t="shared" si="3"/>
        <v>2.3020652896807547</v>
      </c>
      <c r="H93" s="49">
        <f t="shared" si="4"/>
        <v>1</v>
      </c>
      <c r="I93" s="49">
        <f t="shared" si="5"/>
        <v>6</v>
      </c>
      <c r="J93" s="50"/>
      <c r="K93" s="50"/>
      <c r="L93" s="50"/>
    </row>
    <row r="94" spans="1:12" x14ac:dyDescent="0.3">
      <c r="A94" s="7">
        <v>41426</v>
      </c>
      <c r="B94" s="7" t="s">
        <v>1</v>
      </c>
      <c r="C94" s="8" t="s">
        <v>10</v>
      </c>
      <c r="D94" s="9" t="s">
        <v>45</v>
      </c>
      <c r="E94" s="4">
        <v>201.74636122625583</v>
      </c>
      <c r="F94" s="4">
        <v>205.86363390434269</v>
      </c>
      <c r="G94" s="52">
        <f t="shared" si="3"/>
        <v>4.1172726780868629</v>
      </c>
      <c r="H94" s="49">
        <f t="shared" si="4"/>
        <v>1</v>
      </c>
      <c r="I94" s="49">
        <f t="shared" si="5"/>
        <v>6</v>
      </c>
      <c r="J94" s="50"/>
      <c r="K94" s="50"/>
      <c r="L94" s="50"/>
    </row>
    <row r="95" spans="1:12" x14ac:dyDescent="0.3">
      <c r="A95" s="7">
        <v>41426</v>
      </c>
      <c r="B95" s="7" t="s">
        <v>1</v>
      </c>
      <c r="C95" s="8" t="s">
        <v>9</v>
      </c>
      <c r="D95" s="9" t="s">
        <v>46</v>
      </c>
      <c r="E95" s="4">
        <v>448.05566398824396</v>
      </c>
      <c r="F95" s="4">
        <v>457.19965713086117</v>
      </c>
      <c r="G95" s="52">
        <f t="shared" si="3"/>
        <v>9.1439931426172052</v>
      </c>
      <c r="H95" s="49">
        <f t="shared" si="4"/>
        <v>1</v>
      </c>
      <c r="I95" s="49">
        <f t="shared" si="5"/>
        <v>6</v>
      </c>
      <c r="J95" s="50"/>
      <c r="K95" s="50"/>
      <c r="L95" s="50"/>
    </row>
    <row r="96" spans="1:12" x14ac:dyDescent="0.3">
      <c r="A96" s="7">
        <v>41426</v>
      </c>
      <c r="B96" s="7" t="s">
        <v>1</v>
      </c>
      <c r="C96" s="8" t="s">
        <v>12</v>
      </c>
      <c r="D96" s="9" t="s">
        <v>47</v>
      </c>
      <c r="E96" s="4">
        <v>325.59920037595163</v>
      </c>
      <c r="F96" s="4">
        <v>332.24408201627716</v>
      </c>
      <c r="G96" s="52">
        <f t="shared" si="3"/>
        <v>6.6448816403255364</v>
      </c>
      <c r="H96" s="49">
        <f t="shared" si="4"/>
        <v>1</v>
      </c>
      <c r="I96" s="49">
        <f t="shared" si="5"/>
        <v>6</v>
      </c>
      <c r="J96" s="50"/>
      <c r="K96" s="50"/>
      <c r="L96" s="50"/>
    </row>
    <row r="97" spans="1:12" x14ac:dyDescent="0.3">
      <c r="A97" s="7">
        <v>41426</v>
      </c>
      <c r="B97" s="7" t="s">
        <v>1</v>
      </c>
      <c r="C97" s="8" t="s">
        <v>13</v>
      </c>
      <c r="D97" s="9" t="s">
        <v>48</v>
      </c>
      <c r="E97" s="4">
        <v>25.594566715902921</v>
      </c>
      <c r="F97" s="4">
        <v>26.11690481214584</v>
      </c>
      <c r="G97" s="52">
        <f t="shared" si="3"/>
        <v>0.52233809624291894</v>
      </c>
      <c r="H97" s="49">
        <f t="shared" si="4"/>
        <v>1</v>
      </c>
      <c r="I97" s="49">
        <f t="shared" si="5"/>
        <v>6</v>
      </c>
      <c r="J97" s="50"/>
      <c r="K97" s="50"/>
      <c r="L97" s="50"/>
    </row>
    <row r="98" spans="1:12" x14ac:dyDescent="0.3">
      <c r="A98" s="7">
        <v>41456</v>
      </c>
      <c r="B98" s="7" t="s">
        <v>2</v>
      </c>
      <c r="C98" s="8" t="s">
        <v>16</v>
      </c>
      <c r="D98" s="6" t="s">
        <v>17</v>
      </c>
      <c r="E98" s="4">
        <v>4.7089208101966529</v>
      </c>
      <c r="F98" s="4">
        <v>4.9567587475754245</v>
      </c>
      <c r="G98" s="52">
        <f t="shared" si="3"/>
        <v>0.24783793737877158</v>
      </c>
      <c r="H98" s="49">
        <f t="shared" si="4"/>
        <v>1</v>
      </c>
      <c r="I98" s="49">
        <f t="shared" si="5"/>
        <v>7</v>
      </c>
      <c r="J98" s="50"/>
      <c r="K98" s="50"/>
      <c r="L98" s="50"/>
    </row>
    <row r="99" spans="1:12" x14ac:dyDescent="0.3">
      <c r="A99" s="7">
        <v>41456</v>
      </c>
      <c r="B99" s="7" t="s">
        <v>2</v>
      </c>
      <c r="C99" s="8" t="s">
        <v>11</v>
      </c>
      <c r="D99" s="9" t="s">
        <v>18</v>
      </c>
      <c r="E99" s="4">
        <v>5.1524783577456512</v>
      </c>
      <c r="F99" s="4">
        <v>5.4236614292059491</v>
      </c>
      <c r="G99" s="52">
        <f t="shared" si="3"/>
        <v>0.27118307146029785</v>
      </c>
      <c r="H99" s="49">
        <f t="shared" si="4"/>
        <v>1</v>
      </c>
      <c r="I99" s="49">
        <f t="shared" si="5"/>
        <v>7</v>
      </c>
      <c r="J99" s="50"/>
      <c r="K99" s="50"/>
      <c r="L99" s="50"/>
    </row>
    <row r="100" spans="1:12" x14ac:dyDescent="0.3">
      <c r="A100" s="7">
        <v>41456</v>
      </c>
      <c r="B100" s="7" t="s">
        <v>2</v>
      </c>
      <c r="C100" s="8" t="s">
        <v>13</v>
      </c>
      <c r="D100" s="9" t="s">
        <v>19</v>
      </c>
      <c r="E100" s="4">
        <v>2.6033297805841036</v>
      </c>
      <c r="F100" s="4">
        <v>2.7403471374569515</v>
      </c>
      <c r="G100" s="52">
        <f t="shared" si="3"/>
        <v>0.13701735687284788</v>
      </c>
      <c r="H100" s="49">
        <f t="shared" si="4"/>
        <v>1</v>
      </c>
      <c r="I100" s="49">
        <f t="shared" si="5"/>
        <v>7</v>
      </c>
      <c r="J100" s="50"/>
      <c r="K100" s="50"/>
      <c r="L100" s="50"/>
    </row>
    <row r="101" spans="1:12" x14ac:dyDescent="0.3">
      <c r="A101" s="7">
        <v>41456</v>
      </c>
      <c r="B101" s="7" t="s">
        <v>2</v>
      </c>
      <c r="C101" s="8" t="s">
        <v>14</v>
      </c>
      <c r="D101" s="9" t="s">
        <v>20</v>
      </c>
      <c r="E101" s="4">
        <v>0.4142783033060175</v>
      </c>
      <c r="F101" s="4">
        <v>0.43608242453265</v>
      </c>
      <c r="G101" s="52">
        <f t="shared" si="3"/>
        <v>2.18041212266325E-2</v>
      </c>
      <c r="H101" s="49">
        <f t="shared" si="4"/>
        <v>1</v>
      </c>
      <c r="I101" s="49">
        <f t="shared" si="5"/>
        <v>7</v>
      </c>
      <c r="J101" s="50"/>
      <c r="K101" s="50"/>
      <c r="L101" s="50"/>
    </row>
    <row r="102" spans="1:12" x14ac:dyDescent="0.3">
      <c r="A102" s="7">
        <v>41456</v>
      </c>
      <c r="B102" s="7" t="s">
        <v>2</v>
      </c>
      <c r="C102" s="8" t="s">
        <v>11</v>
      </c>
      <c r="D102" s="9" t="s">
        <v>21</v>
      </c>
      <c r="E102" s="4">
        <v>206.96587240834842</v>
      </c>
      <c r="F102" s="4">
        <v>217.8588130614194</v>
      </c>
      <c r="G102" s="52">
        <f t="shared" si="3"/>
        <v>10.89294065307098</v>
      </c>
      <c r="H102" s="49">
        <f t="shared" si="4"/>
        <v>1</v>
      </c>
      <c r="I102" s="49">
        <f t="shared" si="5"/>
        <v>7</v>
      </c>
      <c r="J102" s="50"/>
      <c r="K102" s="50"/>
      <c r="L102" s="50"/>
    </row>
    <row r="103" spans="1:12" x14ac:dyDescent="0.3">
      <c r="A103" s="7">
        <v>41456</v>
      </c>
      <c r="B103" s="7" t="s">
        <v>2</v>
      </c>
      <c r="C103" s="8" t="s">
        <v>13</v>
      </c>
      <c r="D103" s="9" t="s">
        <v>22</v>
      </c>
      <c r="E103" s="4">
        <v>183.14805202481156</v>
      </c>
      <c r="F103" s="4">
        <v>192.78742318401217</v>
      </c>
      <c r="G103" s="52">
        <f t="shared" si="3"/>
        <v>9.6393711592006071</v>
      </c>
      <c r="H103" s="49">
        <f t="shared" si="4"/>
        <v>1</v>
      </c>
      <c r="I103" s="49">
        <f t="shared" si="5"/>
        <v>7</v>
      </c>
      <c r="J103" s="50"/>
      <c r="K103" s="50"/>
      <c r="L103" s="50"/>
    </row>
    <row r="104" spans="1:12" x14ac:dyDescent="0.3">
      <c r="A104" s="7">
        <v>41456</v>
      </c>
      <c r="B104" s="7" t="s">
        <v>2</v>
      </c>
      <c r="C104" s="8" t="s">
        <v>14</v>
      </c>
      <c r="D104" s="9" t="s">
        <v>23</v>
      </c>
      <c r="E104" s="4">
        <v>71.747741344104512</v>
      </c>
      <c r="F104" s="4">
        <v>75.523938256952121</v>
      </c>
      <c r="G104" s="52">
        <f t="shared" si="3"/>
        <v>3.7761969128476096</v>
      </c>
      <c r="H104" s="49">
        <f t="shared" si="4"/>
        <v>1</v>
      </c>
      <c r="I104" s="49">
        <f t="shared" si="5"/>
        <v>7</v>
      </c>
      <c r="J104" s="50"/>
      <c r="K104" s="50"/>
      <c r="L104" s="50"/>
    </row>
    <row r="105" spans="1:12" x14ac:dyDescent="0.3">
      <c r="A105" s="7">
        <v>41456</v>
      </c>
      <c r="B105" s="7" t="s">
        <v>2</v>
      </c>
      <c r="C105" s="8" t="s">
        <v>15</v>
      </c>
      <c r="D105" s="9" t="s">
        <v>24</v>
      </c>
      <c r="E105" s="4">
        <v>16.411129087758273</v>
      </c>
      <c r="F105" s="4">
        <v>17.274872723956076</v>
      </c>
      <c r="G105" s="52">
        <f t="shared" si="3"/>
        <v>0.86374363619780326</v>
      </c>
      <c r="H105" s="49">
        <f t="shared" si="4"/>
        <v>1</v>
      </c>
      <c r="I105" s="49">
        <f t="shared" si="5"/>
        <v>7</v>
      </c>
      <c r="J105" s="50"/>
      <c r="K105" s="50"/>
      <c r="L105" s="50"/>
    </row>
    <row r="106" spans="1:12" x14ac:dyDescent="0.3">
      <c r="A106" s="7">
        <v>41456</v>
      </c>
      <c r="B106" s="7" t="s">
        <v>2</v>
      </c>
      <c r="C106" s="8" t="s">
        <v>8</v>
      </c>
      <c r="D106" s="9" t="s">
        <v>25</v>
      </c>
      <c r="E106" s="4">
        <v>1259.6348311286438</v>
      </c>
      <c r="F106" s="4">
        <v>1325.9314011880463</v>
      </c>
      <c r="G106" s="52">
        <f t="shared" si="3"/>
        <v>66.296570059402484</v>
      </c>
      <c r="H106" s="49">
        <f t="shared" si="4"/>
        <v>1</v>
      </c>
      <c r="I106" s="49">
        <f t="shared" si="5"/>
        <v>7</v>
      </c>
      <c r="J106" s="50"/>
      <c r="K106" s="50"/>
      <c r="L106" s="50"/>
    </row>
    <row r="107" spans="1:12" x14ac:dyDescent="0.3">
      <c r="A107" s="7">
        <v>41456</v>
      </c>
      <c r="B107" s="7" t="s">
        <v>2</v>
      </c>
      <c r="C107" s="8" t="s">
        <v>10</v>
      </c>
      <c r="D107" s="9" t="s">
        <v>26</v>
      </c>
      <c r="E107" s="4">
        <v>1950.9741606802304</v>
      </c>
      <c r="F107" s="4">
        <v>2053.6570112423478</v>
      </c>
      <c r="G107" s="52">
        <f t="shared" si="3"/>
        <v>102.68285056211744</v>
      </c>
      <c r="H107" s="49">
        <f t="shared" si="4"/>
        <v>1</v>
      </c>
      <c r="I107" s="49">
        <f t="shared" si="5"/>
        <v>7</v>
      </c>
      <c r="J107" s="50"/>
      <c r="K107" s="50"/>
      <c r="L107" s="50"/>
    </row>
    <row r="108" spans="1:12" x14ac:dyDescent="0.3">
      <c r="A108" s="7">
        <v>41456</v>
      </c>
      <c r="B108" s="7" t="s">
        <v>2</v>
      </c>
      <c r="C108" s="8" t="s">
        <v>9</v>
      </c>
      <c r="D108" s="9" t="s">
        <v>27</v>
      </c>
      <c r="E108" s="4">
        <v>1123.5229599505067</v>
      </c>
      <c r="F108" s="4">
        <v>1182.655747316323</v>
      </c>
      <c r="G108" s="52">
        <f t="shared" si="3"/>
        <v>59.132787365816284</v>
      </c>
      <c r="H108" s="49">
        <f t="shared" si="4"/>
        <v>1</v>
      </c>
      <c r="I108" s="49">
        <f t="shared" si="5"/>
        <v>7</v>
      </c>
      <c r="J108" s="50"/>
      <c r="K108" s="50"/>
      <c r="L108" s="50"/>
    </row>
    <row r="109" spans="1:12" x14ac:dyDescent="0.3">
      <c r="A109" s="7">
        <v>41456</v>
      </c>
      <c r="B109" s="7" t="s">
        <v>2</v>
      </c>
      <c r="C109" s="8" t="s">
        <v>12</v>
      </c>
      <c r="D109" s="9" t="s">
        <v>28</v>
      </c>
      <c r="E109" s="4">
        <v>113.19679219444691</v>
      </c>
      <c r="F109" s="4">
        <v>119.15451809941781</v>
      </c>
      <c r="G109" s="52">
        <f t="shared" si="3"/>
        <v>5.9577259049708999</v>
      </c>
      <c r="H109" s="49">
        <f t="shared" si="4"/>
        <v>1</v>
      </c>
      <c r="I109" s="49">
        <f t="shared" si="5"/>
        <v>7</v>
      </c>
      <c r="J109" s="50"/>
      <c r="K109" s="50"/>
      <c r="L109" s="50"/>
    </row>
    <row r="110" spans="1:12" x14ac:dyDescent="0.3">
      <c r="A110" s="7">
        <v>41456</v>
      </c>
      <c r="B110" s="7" t="s">
        <v>2</v>
      </c>
      <c r="C110" s="8" t="s">
        <v>13</v>
      </c>
      <c r="D110" s="9" t="s">
        <v>29</v>
      </c>
      <c r="E110" s="4">
        <v>202.45388427445707</v>
      </c>
      <c r="F110" s="4">
        <v>213.10935186784954</v>
      </c>
      <c r="G110" s="52">
        <f t="shared" si="3"/>
        <v>10.655467593392473</v>
      </c>
      <c r="H110" s="49">
        <f t="shared" si="4"/>
        <v>1</v>
      </c>
      <c r="I110" s="49">
        <f t="shared" si="5"/>
        <v>7</v>
      </c>
      <c r="J110" s="50"/>
      <c r="K110" s="50"/>
      <c r="L110" s="50"/>
    </row>
    <row r="111" spans="1:12" x14ac:dyDescent="0.3">
      <c r="A111" s="7">
        <v>41456</v>
      </c>
      <c r="B111" s="7" t="s">
        <v>2</v>
      </c>
      <c r="C111" s="8" t="s">
        <v>16</v>
      </c>
      <c r="D111" s="9" t="s">
        <v>30</v>
      </c>
      <c r="E111" s="4">
        <v>449.62699200239967</v>
      </c>
      <c r="F111" s="4">
        <v>473.29157052884176</v>
      </c>
      <c r="G111" s="52">
        <f t="shared" si="3"/>
        <v>23.664578526442085</v>
      </c>
      <c r="H111" s="49">
        <f t="shared" si="4"/>
        <v>1</v>
      </c>
      <c r="I111" s="49">
        <f t="shared" si="5"/>
        <v>7</v>
      </c>
      <c r="J111" s="50"/>
      <c r="K111" s="50"/>
      <c r="L111" s="50"/>
    </row>
    <row r="112" spans="1:12" x14ac:dyDescent="0.3">
      <c r="A112" s="7">
        <v>41456</v>
      </c>
      <c r="B112" s="7" t="s">
        <v>2</v>
      </c>
      <c r="C112" s="8" t="s">
        <v>11</v>
      </c>
      <c r="D112" s="9" t="s">
        <v>31</v>
      </c>
      <c r="E112" s="4">
        <v>326.74107444664929</v>
      </c>
      <c r="F112" s="4">
        <v>343.93797310173613</v>
      </c>
      <c r="G112" s="52">
        <f t="shared" si="3"/>
        <v>17.196898655086841</v>
      </c>
      <c r="H112" s="49">
        <f t="shared" si="4"/>
        <v>1</v>
      </c>
      <c r="I112" s="49">
        <f t="shared" si="5"/>
        <v>7</v>
      </c>
      <c r="J112" s="50"/>
      <c r="K112" s="50"/>
      <c r="L112" s="50"/>
    </row>
    <row r="113" spans="1:12" x14ac:dyDescent="0.3">
      <c r="A113" s="7">
        <v>41456</v>
      </c>
      <c r="B113" s="7" t="s">
        <v>2</v>
      </c>
      <c r="C113" s="8" t="s">
        <v>13</v>
      </c>
      <c r="D113" s="9" t="s">
        <v>32</v>
      </c>
      <c r="E113" s="4">
        <v>25.684326678611331</v>
      </c>
      <c r="F113" s="4">
        <v>27.036133345906666</v>
      </c>
      <c r="G113" s="52">
        <f t="shared" si="3"/>
        <v>1.3518066672953353</v>
      </c>
      <c r="H113" s="49">
        <f t="shared" si="4"/>
        <v>1</v>
      </c>
      <c r="I113" s="49">
        <f t="shared" si="5"/>
        <v>7</v>
      </c>
      <c r="J113" s="50"/>
      <c r="K113" s="50"/>
      <c r="L113" s="50"/>
    </row>
    <row r="114" spans="1:12" x14ac:dyDescent="0.3">
      <c r="A114" s="7">
        <v>41487</v>
      </c>
      <c r="B114" s="7" t="s">
        <v>2</v>
      </c>
      <c r="C114" s="8" t="s">
        <v>14</v>
      </c>
      <c r="D114" s="9" t="s">
        <v>33</v>
      </c>
      <c r="E114" s="4">
        <v>4.484686485901574</v>
      </c>
      <c r="F114" s="4">
        <v>4.7207226167384988</v>
      </c>
      <c r="G114" s="52">
        <f t="shared" si="3"/>
        <v>0.23603613083692476</v>
      </c>
      <c r="H114" s="49">
        <f t="shared" si="4"/>
        <v>1</v>
      </c>
      <c r="I114" s="49">
        <f t="shared" si="5"/>
        <v>8</v>
      </c>
      <c r="J114" s="50"/>
      <c r="K114" s="50"/>
      <c r="L114" s="50"/>
    </row>
    <row r="115" spans="1:12" x14ac:dyDescent="0.3">
      <c r="A115" s="7">
        <v>41487</v>
      </c>
      <c r="B115" s="7" t="s">
        <v>2</v>
      </c>
      <c r="C115" s="8" t="s">
        <v>11</v>
      </c>
      <c r="D115" s="9" t="s">
        <v>34</v>
      </c>
      <c r="E115" s="4">
        <v>4.9071222454720491</v>
      </c>
      <c r="F115" s="4">
        <v>5.1653918373389995</v>
      </c>
      <c r="G115" s="52">
        <f t="shared" si="3"/>
        <v>0.25826959186695042</v>
      </c>
      <c r="H115" s="49">
        <f t="shared" si="4"/>
        <v>1</v>
      </c>
      <c r="I115" s="49">
        <f t="shared" si="5"/>
        <v>8</v>
      </c>
      <c r="J115" s="50"/>
      <c r="K115" s="50"/>
      <c r="L115" s="50"/>
    </row>
    <row r="116" spans="1:12" x14ac:dyDescent="0.3">
      <c r="A116" s="7">
        <v>41487</v>
      </c>
      <c r="B116" s="7" t="s">
        <v>2</v>
      </c>
      <c r="C116" s="8" t="s">
        <v>13</v>
      </c>
      <c r="D116" s="9" t="s">
        <v>35</v>
      </c>
      <c r="E116" s="4">
        <v>2.837629460836673</v>
      </c>
      <c r="F116" s="4">
        <v>2.9869783798280771</v>
      </c>
      <c r="G116" s="52">
        <f t="shared" si="3"/>
        <v>0.14934891899140412</v>
      </c>
      <c r="H116" s="49">
        <f t="shared" si="4"/>
        <v>1</v>
      </c>
      <c r="I116" s="49">
        <f t="shared" si="5"/>
        <v>8</v>
      </c>
      <c r="J116" s="50"/>
      <c r="K116" s="50"/>
      <c r="L116" s="50"/>
    </row>
    <row r="117" spans="1:12" x14ac:dyDescent="0.3">
      <c r="A117" s="7">
        <v>41487</v>
      </c>
      <c r="B117" s="7" t="s">
        <v>2</v>
      </c>
      <c r="C117" s="8" t="s">
        <v>14</v>
      </c>
      <c r="D117" s="9" t="s">
        <v>36</v>
      </c>
      <c r="E117" s="4">
        <v>0.45156335060355907</v>
      </c>
      <c r="F117" s="4">
        <v>0.47532984274058854</v>
      </c>
      <c r="G117" s="52">
        <f t="shared" si="3"/>
        <v>2.3766492137029471E-2</v>
      </c>
      <c r="H117" s="49">
        <f t="shared" si="4"/>
        <v>1</v>
      </c>
      <c r="I117" s="49">
        <f t="shared" si="5"/>
        <v>8</v>
      </c>
      <c r="J117" s="50"/>
      <c r="K117" s="50"/>
      <c r="L117" s="50"/>
    </row>
    <row r="118" spans="1:12" x14ac:dyDescent="0.3">
      <c r="A118" s="7">
        <v>41487</v>
      </c>
      <c r="B118" s="7" t="s">
        <v>2</v>
      </c>
      <c r="C118" s="8" t="s">
        <v>15</v>
      </c>
      <c r="D118" s="9" t="s">
        <v>37</v>
      </c>
      <c r="E118" s="4">
        <v>225.59280092509979</v>
      </c>
      <c r="F118" s="4">
        <v>237.46610623694716</v>
      </c>
      <c r="G118" s="52">
        <f t="shared" si="3"/>
        <v>11.873305311847361</v>
      </c>
      <c r="H118" s="49">
        <f t="shared" si="4"/>
        <v>1</v>
      </c>
      <c r="I118" s="49">
        <f t="shared" si="5"/>
        <v>8</v>
      </c>
      <c r="J118" s="50"/>
      <c r="K118" s="50"/>
      <c r="L118" s="50"/>
    </row>
    <row r="119" spans="1:12" x14ac:dyDescent="0.3">
      <c r="A119" s="7">
        <v>41487</v>
      </c>
      <c r="B119" s="7" t="s">
        <v>2</v>
      </c>
      <c r="C119" s="8" t="s">
        <v>8</v>
      </c>
      <c r="D119" s="9" t="s">
        <v>38</v>
      </c>
      <c r="E119" s="4">
        <v>199.63137670704461</v>
      </c>
      <c r="F119" s="4">
        <v>210.13829127057329</v>
      </c>
      <c r="G119" s="52">
        <f t="shared" si="3"/>
        <v>10.506914563528682</v>
      </c>
      <c r="H119" s="49">
        <f t="shared" si="4"/>
        <v>1</v>
      </c>
      <c r="I119" s="49">
        <f t="shared" si="5"/>
        <v>8</v>
      </c>
      <c r="J119" s="50"/>
      <c r="K119" s="50"/>
      <c r="L119" s="50"/>
    </row>
    <row r="120" spans="1:12" x14ac:dyDescent="0.3">
      <c r="A120" s="7">
        <v>41487</v>
      </c>
      <c r="B120" s="7" t="s">
        <v>2</v>
      </c>
      <c r="C120" s="8" t="s">
        <v>10</v>
      </c>
      <c r="D120" s="9" t="s">
        <v>39</v>
      </c>
      <c r="E120" s="4">
        <v>78.205038065073921</v>
      </c>
      <c r="F120" s="4">
        <v>82.321092700077813</v>
      </c>
      <c r="G120" s="52">
        <f t="shared" si="3"/>
        <v>4.1160546350038913</v>
      </c>
      <c r="H120" s="49">
        <f t="shared" si="4"/>
        <v>1</v>
      </c>
      <c r="I120" s="49">
        <f t="shared" si="5"/>
        <v>8</v>
      </c>
      <c r="J120" s="50"/>
      <c r="K120" s="50"/>
      <c r="L120" s="50"/>
    </row>
    <row r="121" spans="1:12" x14ac:dyDescent="0.3">
      <c r="A121" s="7">
        <v>41487</v>
      </c>
      <c r="B121" s="7" t="s">
        <v>2</v>
      </c>
      <c r="C121" s="8" t="s">
        <v>9</v>
      </c>
      <c r="D121" s="9" t="s">
        <v>40</v>
      </c>
      <c r="E121" s="4">
        <v>17.888130705656518</v>
      </c>
      <c r="F121" s="4">
        <v>18.829611269112124</v>
      </c>
      <c r="G121" s="52">
        <f t="shared" si="3"/>
        <v>0.94148056345560605</v>
      </c>
      <c r="H121" s="49">
        <f t="shared" si="4"/>
        <v>1</v>
      </c>
      <c r="I121" s="49">
        <f t="shared" si="5"/>
        <v>8</v>
      </c>
      <c r="J121" s="50"/>
      <c r="K121" s="50"/>
      <c r="L121" s="50"/>
    </row>
    <row r="122" spans="1:12" x14ac:dyDescent="0.3">
      <c r="A122" s="7">
        <v>41487</v>
      </c>
      <c r="B122" s="7" t="s">
        <v>2</v>
      </c>
      <c r="C122" s="8" t="s">
        <v>12</v>
      </c>
      <c r="D122" s="9" t="s">
        <v>41</v>
      </c>
      <c r="E122" s="4">
        <v>1373.001965930222</v>
      </c>
      <c r="F122" s="4">
        <v>1445.2652272949706</v>
      </c>
      <c r="G122" s="52">
        <f t="shared" si="3"/>
        <v>72.263261364748587</v>
      </c>
      <c r="H122" s="49">
        <f t="shared" si="4"/>
        <v>1</v>
      </c>
      <c r="I122" s="49">
        <f t="shared" si="5"/>
        <v>8</v>
      </c>
      <c r="J122" s="50"/>
      <c r="K122" s="50"/>
      <c r="L122" s="50"/>
    </row>
    <row r="123" spans="1:12" x14ac:dyDescent="0.3">
      <c r="A123" s="7">
        <v>41487</v>
      </c>
      <c r="B123" s="7" t="s">
        <v>2</v>
      </c>
      <c r="C123" s="8" t="s">
        <v>13</v>
      </c>
      <c r="D123" s="9" t="s">
        <v>42</v>
      </c>
      <c r="E123" s="4">
        <v>2.837629460836673</v>
      </c>
      <c r="F123" s="4">
        <v>2.9869783798280771</v>
      </c>
      <c r="G123" s="52">
        <f t="shared" si="3"/>
        <v>0.14934891899140412</v>
      </c>
      <c r="H123" s="49">
        <f t="shared" si="4"/>
        <v>1</v>
      </c>
      <c r="I123" s="49">
        <f t="shared" si="5"/>
        <v>8</v>
      </c>
      <c r="J123" s="50"/>
      <c r="K123" s="50"/>
      <c r="L123" s="50"/>
    </row>
    <row r="124" spans="1:12" x14ac:dyDescent="0.3">
      <c r="A124" s="7">
        <v>41487</v>
      </c>
      <c r="B124" s="7" t="s">
        <v>2</v>
      </c>
      <c r="C124" s="8" t="s">
        <v>16</v>
      </c>
      <c r="D124" s="9" t="s">
        <v>43</v>
      </c>
      <c r="E124" s="4">
        <v>1224.6400263460525</v>
      </c>
      <c r="F124" s="4">
        <v>1289.0947645747922</v>
      </c>
      <c r="G124" s="52">
        <f t="shared" si="3"/>
        <v>64.454738228739643</v>
      </c>
      <c r="H124" s="49">
        <f t="shared" si="4"/>
        <v>1</v>
      </c>
      <c r="I124" s="49">
        <f t="shared" si="5"/>
        <v>8</v>
      </c>
      <c r="J124" s="50"/>
      <c r="K124" s="50"/>
      <c r="L124" s="50"/>
    </row>
    <row r="125" spans="1:12" x14ac:dyDescent="0.3">
      <c r="A125" s="7">
        <v>41487</v>
      </c>
      <c r="B125" s="7" t="s">
        <v>2</v>
      </c>
      <c r="C125" s="8" t="s">
        <v>11</v>
      </c>
      <c r="D125" s="9" t="s">
        <v>44</v>
      </c>
      <c r="E125" s="4">
        <v>123.38450349194714</v>
      </c>
      <c r="F125" s="4">
        <v>129.87842472836542</v>
      </c>
      <c r="G125" s="52">
        <f t="shared" si="3"/>
        <v>6.4939212364182737</v>
      </c>
      <c r="H125" s="49">
        <f t="shared" si="4"/>
        <v>1</v>
      </c>
      <c r="I125" s="49">
        <f t="shared" si="5"/>
        <v>8</v>
      </c>
      <c r="J125" s="50"/>
      <c r="K125" s="50"/>
      <c r="L125" s="50"/>
    </row>
    <row r="126" spans="1:12" x14ac:dyDescent="0.3">
      <c r="A126" s="7">
        <v>41487</v>
      </c>
      <c r="B126" s="7" t="s">
        <v>2</v>
      </c>
      <c r="C126" s="8" t="s">
        <v>13</v>
      </c>
      <c r="D126" s="9" t="s">
        <v>45</v>
      </c>
      <c r="E126" s="4">
        <v>220.67473385915818</v>
      </c>
      <c r="F126" s="4">
        <v>232.289193535956</v>
      </c>
      <c r="G126" s="52">
        <f t="shared" si="3"/>
        <v>11.614459676797821</v>
      </c>
      <c r="H126" s="49">
        <f t="shared" si="4"/>
        <v>1</v>
      </c>
      <c r="I126" s="49">
        <f t="shared" si="5"/>
        <v>8</v>
      </c>
      <c r="J126" s="50"/>
      <c r="K126" s="50"/>
      <c r="L126" s="50"/>
    </row>
    <row r="127" spans="1:12" x14ac:dyDescent="0.3">
      <c r="A127" s="7">
        <v>41487</v>
      </c>
      <c r="B127" s="7" t="s">
        <v>2</v>
      </c>
      <c r="C127" s="8" t="s">
        <v>14</v>
      </c>
      <c r="D127" s="9" t="s">
        <v>46</v>
      </c>
      <c r="E127" s="4">
        <v>490.09342128261568</v>
      </c>
      <c r="F127" s="4">
        <v>515.88781187643758</v>
      </c>
      <c r="G127" s="52">
        <f t="shared" si="3"/>
        <v>25.794390593821902</v>
      </c>
      <c r="H127" s="49">
        <f t="shared" si="4"/>
        <v>1</v>
      </c>
      <c r="I127" s="49">
        <f t="shared" si="5"/>
        <v>8</v>
      </c>
      <c r="J127" s="50"/>
      <c r="K127" s="50"/>
      <c r="L127" s="50"/>
    </row>
    <row r="128" spans="1:12" x14ac:dyDescent="0.3">
      <c r="A128" s="7">
        <v>41487</v>
      </c>
      <c r="B128" s="7" t="s">
        <v>2</v>
      </c>
      <c r="C128" s="8" t="s">
        <v>11</v>
      </c>
      <c r="D128" s="9" t="s">
        <v>47</v>
      </c>
      <c r="E128" s="4">
        <v>356.14777114684773</v>
      </c>
      <c r="F128" s="4">
        <v>374.89239068089239</v>
      </c>
      <c r="G128" s="52">
        <f t="shared" si="3"/>
        <v>18.744619534044659</v>
      </c>
      <c r="H128" s="49">
        <f t="shared" si="4"/>
        <v>1</v>
      </c>
      <c r="I128" s="49">
        <f t="shared" si="5"/>
        <v>8</v>
      </c>
      <c r="J128" s="50"/>
      <c r="K128" s="50"/>
      <c r="L128" s="50"/>
    </row>
    <row r="129" spans="1:12" x14ac:dyDescent="0.3">
      <c r="A129" s="7">
        <v>41487</v>
      </c>
      <c r="B129" s="7" t="s">
        <v>2</v>
      </c>
      <c r="C129" s="8" t="s">
        <v>13</v>
      </c>
      <c r="D129" s="9" t="s">
        <v>48</v>
      </c>
      <c r="E129" s="4">
        <v>27.995916079686353</v>
      </c>
      <c r="F129" s="4">
        <v>29.469385347038269</v>
      </c>
      <c r="G129" s="52">
        <f t="shared" si="3"/>
        <v>1.4734692673519163</v>
      </c>
      <c r="H129" s="49">
        <f t="shared" si="4"/>
        <v>1</v>
      </c>
      <c r="I129" s="49">
        <f t="shared" si="5"/>
        <v>8</v>
      </c>
      <c r="J129" s="50"/>
      <c r="K129" s="50"/>
      <c r="L129" s="50"/>
    </row>
    <row r="130" spans="1:12" x14ac:dyDescent="0.3">
      <c r="A130" s="7">
        <v>41518</v>
      </c>
      <c r="B130" s="7" t="s">
        <v>2</v>
      </c>
      <c r="C130" s="8" t="s">
        <v>14</v>
      </c>
      <c r="D130" s="6" t="s">
        <v>17</v>
      </c>
      <c r="E130" s="4">
        <v>4.6512036906215091</v>
      </c>
      <c r="F130" s="4">
        <v>5.1455876522449637</v>
      </c>
      <c r="G130" s="52">
        <f t="shared" si="3"/>
        <v>0.49438396162345466</v>
      </c>
      <c r="H130" s="49">
        <f t="shared" si="4"/>
        <v>1</v>
      </c>
      <c r="I130" s="49">
        <f t="shared" si="5"/>
        <v>9</v>
      </c>
      <c r="J130" s="50"/>
      <c r="K130" s="50"/>
      <c r="L130" s="50"/>
    </row>
    <row r="131" spans="1:12" x14ac:dyDescent="0.3">
      <c r="A131" s="7">
        <v>41518</v>
      </c>
      <c r="B131" s="7" t="s">
        <v>2</v>
      </c>
      <c r="C131" s="8" t="s">
        <v>15</v>
      </c>
      <c r="D131" s="9" t="s">
        <v>18</v>
      </c>
      <c r="E131" s="4">
        <v>5.089324564876935</v>
      </c>
      <c r="F131" s="4">
        <v>5.6302771026995098</v>
      </c>
      <c r="G131" s="52">
        <f t="shared" ref="G131:G193" si="6">F131-E131</f>
        <v>0.5409525378225748</v>
      </c>
      <c r="H131" s="49">
        <f t="shared" ref="H131:H193" si="7">IF(G131&gt;0,1,0)</f>
        <v>1</v>
      </c>
      <c r="I131" s="49">
        <f t="shared" ref="I131:I193" si="8">MONTH(A131)</f>
        <v>9</v>
      </c>
      <c r="J131" s="50"/>
      <c r="K131" s="50"/>
      <c r="L131" s="50"/>
    </row>
    <row r="132" spans="1:12" x14ac:dyDescent="0.3">
      <c r="A132" s="7">
        <v>41518</v>
      </c>
      <c r="B132" s="7" t="s">
        <v>2</v>
      </c>
      <c r="C132" s="8" t="s">
        <v>8</v>
      </c>
      <c r="D132" s="9" t="s">
        <v>19</v>
      </c>
      <c r="E132" s="4">
        <v>2.5459612231198201</v>
      </c>
      <c r="F132" s="4">
        <v>2.8165755585366123</v>
      </c>
      <c r="G132" s="52">
        <f t="shared" si="6"/>
        <v>0.27061433541679225</v>
      </c>
      <c r="H132" s="49">
        <f t="shared" si="7"/>
        <v>1</v>
      </c>
      <c r="I132" s="49">
        <f t="shared" si="8"/>
        <v>9</v>
      </c>
      <c r="J132" s="50"/>
      <c r="K132" s="50"/>
      <c r="L132" s="50"/>
    </row>
    <row r="133" spans="1:12" x14ac:dyDescent="0.3">
      <c r="A133" s="7">
        <v>41518</v>
      </c>
      <c r="B133" s="7" t="s">
        <v>2</v>
      </c>
      <c r="C133" s="8" t="s">
        <v>10</v>
      </c>
      <c r="D133" s="9" t="s">
        <v>20</v>
      </c>
      <c r="E133" s="4">
        <v>0.40514901479763449</v>
      </c>
      <c r="F133" s="4">
        <v>0.44821295873700001</v>
      </c>
      <c r="G133" s="52">
        <f t="shared" si="6"/>
        <v>4.3063943939365523E-2</v>
      </c>
      <c r="H133" s="49">
        <f t="shared" si="7"/>
        <v>1</v>
      </c>
      <c r="I133" s="49">
        <f t="shared" si="8"/>
        <v>9</v>
      </c>
      <c r="J133" s="50"/>
      <c r="K133" s="50"/>
      <c r="L133" s="50"/>
    </row>
    <row r="134" spans="1:12" x14ac:dyDescent="0.3">
      <c r="A134" s="7">
        <v>41518</v>
      </c>
      <c r="B134" s="7" t="s">
        <v>2</v>
      </c>
      <c r="C134" s="8" t="s">
        <v>9</v>
      </c>
      <c r="D134" s="9" t="s">
        <v>21</v>
      </c>
      <c r="E134" s="4">
        <v>202.40504664091907</v>
      </c>
      <c r="F134" s="4">
        <v>223.91900635261399</v>
      </c>
      <c r="G134" s="52">
        <f t="shared" si="6"/>
        <v>21.513959711694923</v>
      </c>
      <c r="H134" s="49">
        <f t="shared" si="7"/>
        <v>1</v>
      </c>
      <c r="I134" s="49">
        <f t="shared" si="8"/>
        <v>9</v>
      </c>
      <c r="J134" s="50"/>
      <c r="K134" s="50"/>
      <c r="L134" s="50"/>
    </row>
    <row r="135" spans="1:12" x14ac:dyDescent="0.3">
      <c r="A135" s="7">
        <v>41518</v>
      </c>
      <c r="B135" s="7" t="s">
        <v>2</v>
      </c>
      <c r="C135" s="8" t="s">
        <v>12</v>
      </c>
      <c r="D135" s="9" t="s">
        <v>22</v>
      </c>
      <c r="E135" s="4">
        <v>179.11209022488171</v>
      </c>
      <c r="F135" s="4">
        <v>198.15020393264808</v>
      </c>
      <c r="G135" s="52">
        <f t="shared" si="6"/>
        <v>19.038113707766371</v>
      </c>
      <c r="H135" s="49">
        <f t="shared" si="7"/>
        <v>1</v>
      </c>
      <c r="I135" s="49">
        <f t="shared" si="8"/>
        <v>9</v>
      </c>
      <c r="J135" s="50"/>
      <c r="K135" s="50"/>
      <c r="L135" s="50"/>
    </row>
    <row r="136" spans="1:12" x14ac:dyDescent="0.3">
      <c r="A136" s="7">
        <v>41518</v>
      </c>
      <c r="B136" s="7" t="s">
        <v>2</v>
      </c>
      <c r="C136" s="8" t="s">
        <v>13</v>
      </c>
      <c r="D136" s="9" t="s">
        <v>23</v>
      </c>
      <c r="E136" s="4">
        <v>70.166664504385665</v>
      </c>
      <c r="F136" s="4">
        <v>77.624792739347313</v>
      </c>
      <c r="G136" s="52">
        <f t="shared" si="6"/>
        <v>7.4581282349616487</v>
      </c>
      <c r="H136" s="49">
        <f t="shared" si="7"/>
        <v>1</v>
      </c>
      <c r="I136" s="49">
        <f t="shared" si="8"/>
        <v>9</v>
      </c>
      <c r="J136" s="50"/>
      <c r="K136" s="50"/>
      <c r="L136" s="50"/>
    </row>
    <row r="137" spans="1:12" x14ac:dyDescent="0.3">
      <c r="A137" s="7">
        <v>41518</v>
      </c>
      <c r="B137" s="7" t="s">
        <v>2</v>
      </c>
      <c r="C137" s="8" t="s">
        <v>16</v>
      </c>
      <c r="D137" s="9" t="s">
        <v>24</v>
      </c>
      <c r="E137" s="4">
        <v>16.049483471768113</v>
      </c>
      <c r="F137" s="4">
        <v>17.755409023208035</v>
      </c>
      <c r="G137" s="52">
        <f t="shared" si="6"/>
        <v>1.7059255514399219</v>
      </c>
      <c r="H137" s="49">
        <f t="shared" si="7"/>
        <v>1</v>
      </c>
      <c r="I137" s="49">
        <f t="shared" si="8"/>
        <v>9</v>
      </c>
      <c r="J137" s="50"/>
      <c r="K137" s="50"/>
      <c r="L137" s="50"/>
    </row>
    <row r="138" spans="1:12" x14ac:dyDescent="0.3">
      <c r="A138" s="7">
        <v>41518</v>
      </c>
      <c r="B138" s="7" t="s">
        <v>2</v>
      </c>
      <c r="C138" s="8" t="s">
        <v>11</v>
      </c>
      <c r="D138" s="9" t="s">
        <v>25</v>
      </c>
      <c r="E138" s="4">
        <v>1231.8767523279612</v>
      </c>
      <c r="F138" s="4">
        <v>1362.814924370552</v>
      </c>
      <c r="G138" s="52">
        <f t="shared" si="6"/>
        <v>130.93817204259085</v>
      </c>
      <c r="H138" s="49">
        <f t="shared" si="7"/>
        <v>1</v>
      </c>
      <c r="I138" s="49">
        <f t="shared" si="8"/>
        <v>9</v>
      </c>
      <c r="J138" s="50"/>
      <c r="K138" s="50"/>
      <c r="L138" s="50"/>
    </row>
    <row r="139" spans="1:12" x14ac:dyDescent="0.3">
      <c r="A139" s="7">
        <v>41518</v>
      </c>
      <c r="B139" s="7" t="s">
        <v>2</v>
      </c>
      <c r="C139" s="8" t="s">
        <v>13</v>
      </c>
      <c r="D139" s="9" t="s">
        <v>26</v>
      </c>
      <c r="E139" s="4">
        <v>44</v>
      </c>
      <c r="F139" s="4">
        <v>60</v>
      </c>
      <c r="G139" s="52">
        <f t="shared" si="6"/>
        <v>16</v>
      </c>
      <c r="H139" s="49">
        <f t="shared" si="7"/>
        <v>1</v>
      </c>
      <c r="I139" s="49">
        <f t="shared" si="8"/>
        <v>9</v>
      </c>
      <c r="J139" s="50"/>
      <c r="K139" s="50"/>
      <c r="L139" s="50"/>
    </row>
    <row r="140" spans="1:12" x14ac:dyDescent="0.3">
      <c r="A140" s="7">
        <v>41518</v>
      </c>
      <c r="B140" s="7" t="s">
        <v>2</v>
      </c>
      <c r="C140" s="8" t="s">
        <v>14</v>
      </c>
      <c r="D140" s="9" t="s">
        <v>27</v>
      </c>
      <c r="E140" s="4">
        <v>1153.7025413318358</v>
      </c>
      <c r="F140" s="4">
        <v>1276.3314500740516</v>
      </c>
      <c r="G140" s="52">
        <f t="shared" si="6"/>
        <v>122.6289087422158</v>
      </c>
      <c r="H140" s="49">
        <f t="shared" si="7"/>
        <v>1</v>
      </c>
      <c r="I140" s="49">
        <f t="shared" si="8"/>
        <v>9</v>
      </c>
      <c r="J140" s="50"/>
      <c r="K140" s="50"/>
      <c r="L140" s="50"/>
    </row>
    <row r="141" spans="1:12" x14ac:dyDescent="0.3">
      <c r="A141" s="7">
        <v>41518</v>
      </c>
      <c r="B141" s="7" t="s">
        <v>2</v>
      </c>
      <c r="C141" s="8" t="s">
        <v>11</v>
      </c>
      <c r="D141" s="9" t="s">
        <v>28</v>
      </c>
      <c r="E141" s="4">
        <v>106.63984845816411</v>
      </c>
      <c r="F141" s="4">
        <v>117.97477039546318</v>
      </c>
      <c r="G141" s="52">
        <f t="shared" si="6"/>
        <v>11.334921937299072</v>
      </c>
      <c r="H141" s="49">
        <f t="shared" si="7"/>
        <v>1</v>
      </c>
      <c r="I141" s="49">
        <f t="shared" si="8"/>
        <v>9</v>
      </c>
      <c r="J141" s="50"/>
      <c r="K141" s="50"/>
      <c r="L141" s="50"/>
    </row>
    <row r="142" spans="1:12" x14ac:dyDescent="0.3">
      <c r="A142" s="7">
        <v>41518</v>
      </c>
      <c r="B142" s="7" t="s">
        <v>2</v>
      </c>
      <c r="C142" s="8" t="s">
        <v>13</v>
      </c>
      <c r="D142" s="9" t="s">
        <v>29</v>
      </c>
      <c r="E142" s="4">
        <v>190.72670806526546</v>
      </c>
      <c r="F142" s="4">
        <v>210.99935828499954</v>
      </c>
      <c r="G142" s="52">
        <f t="shared" si="6"/>
        <v>20.272650219734089</v>
      </c>
      <c r="H142" s="49">
        <f t="shared" si="7"/>
        <v>1</v>
      </c>
      <c r="I142" s="49">
        <f t="shared" si="8"/>
        <v>9</v>
      </c>
      <c r="J142" s="50"/>
      <c r="K142" s="50"/>
      <c r="L142" s="50"/>
    </row>
    <row r="143" spans="1:12" x14ac:dyDescent="0.3">
      <c r="A143" s="7">
        <v>41518</v>
      </c>
      <c r="B143" s="7" t="s">
        <v>2</v>
      </c>
      <c r="C143" s="8" t="s">
        <v>14</v>
      </c>
      <c r="D143" s="9" t="s">
        <v>30</v>
      </c>
      <c r="E143" s="4">
        <v>423.58227084272676</v>
      </c>
      <c r="F143" s="4">
        <v>468.60551537509087</v>
      </c>
      <c r="G143" s="52">
        <f t="shared" si="6"/>
        <v>45.023244532364117</v>
      </c>
      <c r="H143" s="49">
        <f t="shared" si="7"/>
        <v>1</v>
      </c>
      <c r="I143" s="49">
        <f t="shared" si="8"/>
        <v>9</v>
      </c>
      <c r="J143" s="50"/>
      <c r="K143" s="50"/>
      <c r="L143" s="50"/>
    </row>
    <row r="144" spans="1:12" x14ac:dyDescent="0.3">
      <c r="A144" s="7">
        <v>41518</v>
      </c>
      <c r="B144" s="7" t="s">
        <v>2</v>
      </c>
      <c r="C144" s="8" t="s">
        <v>15</v>
      </c>
      <c r="D144" s="9" t="s">
        <v>31</v>
      </c>
      <c r="E144" s="4">
        <v>307.81454128306763</v>
      </c>
      <c r="F144" s="4">
        <v>340.53264663538232</v>
      </c>
      <c r="G144" s="52">
        <f t="shared" si="6"/>
        <v>32.718105352314694</v>
      </c>
      <c r="H144" s="49">
        <f t="shared" si="7"/>
        <v>1</v>
      </c>
      <c r="I144" s="49">
        <f t="shared" si="8"/>
        <v>9</v>
      </c>
      <c r="J144" s="50"/>
      <c r="K144" s="50"/>
      <c r="L144" s="50"/>
    </row>
    <row r="145" spans="1:12" x14ac:dyDescent="0.3">
      <c r="A145" s="7">
        <v>41518</v>
      </c>
      <c r="B145" s="7" t="s">
        <v>2</v>
      </c>
      <c r="C145" s="8" t="s">
        <v>8</v>
      </c>
      <c r="D145" s="9" t="s">
        <v>32</v>
      </c>
      <c r="E145" s="4">
        <v>24.196557620220791</v>
      </c>
      <c r="F145" s="4">
        <v>26.768448857333333</v>
      </c>
      <c r="G145" s="52">
        <f t="shared" si="6"/>
        <v>2.571891237112542</v>
      </c>
      <c r="H145" s="49">
        <f t="shared" si="7"/>
        <v>1</v>
      </c>
      <c r="I145" s="49">
        <f t="shared" si="8"/>
        <v>9</v>
      </c>
      <c r="J145" s="50"/>
      <c r="K145" s="50"/>
      <c r="L145" s="50"/>
    </row>
    <row r="146" spans="1:12" x14ac:dyDescent="0.3">
      <c r="A146" s="7">
        <v>41548</v>
      </c>
      <c r="B146" s="7" t="s">
        <v>3</v>
      </c>
      <c r="C146" s="8" t="s">
        <v>10</v>
      </c>
      <c r="D146" s="9" t="s">
        <v>33</v>
      </c>
      <c r="E146" s="4">
        <v>4.7207226167384988</v>
      </c>
      <c r="F146" s="4">
        <v>4.6739827888499992</v>
      </c>
      <c r="G146" s="52">
        <f t="shared" si="6"/>
        <v>-4.6739827888499619E-2</v>
      </c>
      <c r="H146" s="49">
        <f t="shared" si="7"/>
        <v>0</v>
      </c>
      <c r="I146" s="49">
        <f t="shared" si="8"/>
        <v>10</v>
      </c>
      <c r="J146" s="50"/>
      <c r="K146" s="50"/>
      <c r="L146" s="50"/>
    </row>
    <row r="147" spans="1:12" x14ac:dyDescent="0.3">
      <c r="A147" s="7">
        <v>41548</v>
      </c>
      <c r="B147" s="7" t="s">
        <v>3</v>
      </c>
      <c r="C147" s="8" t="s">
        <v>9</v>
      </c>
      <c r="D147" s="9" t="s">
        <v>34</v>
      </c>
      <c r="E147" s="4">
        <v>5.1653918373389995</v>
      </c>
      <c r="F147" s="4">
        <v>5.1142493438999992</v>
      </c>
      <c r="G147" s="52">
        <f t="shared" si="6"/>
        <v>-5.1142493439000347E-2</v>
      </c>
      <c r="H147" s="49">
        <f t="shared" si="7"/>
        <v>0</v>
      </c>
      <c r="I147" s="49">
        <f t="shared" si="8"/>
        <v>10</v>
      </c>
      <c r="J147" s="50"/>
      <c r="K147" s="50"/>
      <c r="L147" s="50"/>
    </row>
    <row r="148" spans="1:12" x14ac:dyDescent="0.3">
      <c r="A148" s="7">
        <v>41548</v>
      </c>
      <c r="B148" s="7" t="s">
        <v>3</v>
      </c>
      <c r="C148" s="8" t="s">
        <v>12</v>
      </c>
      <c r="D148" s="9" t="s">
        <v>35</v>
      </c>
      <c r="E148" s="4">
        <v>2.6098544166256681</v>
      </c>
      <c r="F148" s="4">
        <v>2.5840142738868002</v>
      </c>
      <c r="G148" s="52">
        <f t="shared" si="6"/>
        <v>-2.5840142738867922E-2</v>
      </c>
      <c r="H148" s="49">
        <f t="shared" si="7"/>
        <v>0</v>
      </c>
      <c r="I148" s="49">
        <f t="shared" si="8"/>
        <v>10</v>
      </c>
      <c r="J148" s="50"/>
      <c r="K148" s="50"/>
      <c r="L148" s="50"/>
    </row>
    <row r="149" spans="1:12" x14ac:dyDescent="0.3">
      <c r="A149" s="7">
        <v>41548</v>
      </c>
      <c r="B149" s="7" t="s">
        <v>3</v>
      </c>
      <c r="C149" s="8" t="s">
        <v>13</v>
      </c>
      <c r="D149" s="9" t="s">
        <v>36</v>
      </c>
      <c r="E149" s="4">
        <v>0.41531659479299998</v>
      </c>
      <c r="F149" s="4">
        <v>0.4112045493</v>
      </c>
      <c r="G149" s="52">
        <f t="shared" si="6"/>
        <v>-4.1120454929999828E-3</v>
      </c>
      <c r="H149" s="49">
        <f t="shared" si="7"/>
        <v>0</v>
      </c>
      <c r="I149" s="49">
        <f t="shared" si="8"/>
        <v>10</v>
      </c>
      <c r="J149" s="50"/>
      <c r="K149" s="50"/>
      <c r="L149" s="50"/>
    </row>
    <row r="150" spans="1:12" x14ac:dyDescent="0.3">
      <c r="A150" s="7">
        <v>41548</v>
      </c>
      <c r="B150" s="7" t="s">
        <v>3</v>
      </c>
      <c r="C150" s="8" t="s">
        <v>16</v>
      </c>
      <c r="D150" s="9" t="s">
        <v>37</v>
      </c>
      <c r="E150" s="4">
        <v>207.48458386801846</v>
      </c>
      <c r="F150" s="4">
        <v>205.43028105744401</v>
      </c>
      <c r="G150" s="52">
        <f t="shared" si="6"/>
        <v>-2.0543028105744554</v>
      </c>
      <c r="H150" s="49">
        <f t="shared" si="7"/>
        <v>0</v>
      </c>
      <c r="I150" s="49">
        <f t="shared" si="8"/>
        <v>10</v>
      </c>
      <c r="J150" s="50"/>
      <c r="K150" s="50"/>
      <c r="L150" s="50"/>
    </row>
    <row r="151" spans="1:12" x14ac:dyDescent="0.3">
      <c r="A151" s="7">
        <v>41548</v>
      </c>
      <c r="B151" s="7" t="s">
        <v>3</v>
      </c>
      <c r="C151" s="8" t="s">
        <v>11</v>
      </c>
      <c r="D151" s="9" t="s">
        <v>38</v>
      </c>
      <c r="E151" s="4">
        <v>183.60706969905922</v>
      </c>
      <c r="F151" s="4">
        <v>181.78917791986061</v>
      </c>
      <c r="G151" s="52">
        <f t="shared" si="6"/>
        <v>-1.817891779198618</v>
      </c>
      <c r="H151" s="49">
        <f t="shared" si="7"/>
        <v>0</v>
      </c>
      <c r="I151" s="49">
        <f t="shared" si="8"/>
        <v>10</v>
      </c>
      <c r="J151" s="50"/>
      <c r="K151" s="50"/>
      <c r="L151" s="50"/>
    </row>
    <row r="152" spans="1:12" x14ac:dyDescent="0.3">
      <c r="A152" s="7">
        <v>41548</v>
      </c>
      <c r="B152" s="7" t="s">
        <v>3</v>
      </c>
      <c r="C152" s="8" t="s">
        <v>13</v>
      </c>
      <c r="D152" s="9" t="s">
        <v>39</v>
      </c>
      <c r="E152" s="4">
        <v>71.927560244716304</v>
      </c>
      <c r="F152" s="4">
        <v>71.215406182887435</v>
      </c>
      <c r="G152" s="52">
        <f t="shared" si="6"/>
        <v>-0.71215406182886909</v>
      </c>
      <c r="H152" s="49">
        <f t="shared" si="7"/>
        <v>0</v>
      </c>
      <c r="I152" s="49">
        <f t="shared" si="8"/>
        <v>10</v>
      </c>
      <c r="J152" s="50"/>
      <c r="K152" s="50"/>
      <c r="L152" s="50"/>
    </row>
    <row r="153" spans="1:12" x14ac:dyDescent="0.3">
      <c r="A153" s="7">
        <v>41548</v>
      </c>
      <c r="B153" s="7" t="s">
        <v>3</v>
      </c>
      <c r="C153" s="8" t="s">
        <v>14</v>
      </c>
      <c r="D153" s="9" t="s">
        <v>40</v>
      </c>
      <c r="E153" s="4">
        <v>16.452259737101024</v>
      </c>
      <c r="F153" s="4">
        <v>16.289366076337647</v>
      </c>
      <c r="G153" s="52">
        <f t="shared" si="6"/>
        <v>-0.16289366076337686</v>
      </c>
      <c r="H153" s="49">
        <f t="shared" si="7"/>
        <v>0</v>
      </c>
      <c r="I153" s="49">
        <f t="shared" si="8"/>
        <v>10</v>
      </c>
      <c r="J153" s="50"/>
      <c r="K153" s="50"/>
      <c r="L153" s="50"/>
    </row>
    <row r="154" spans="1:12" x14ac:dyDescent="0.3">
      <c r="A154" s="7">
        <v>41548</v>
      </c>
      <c r="B154" s="7" t="s">
        <v>3</v>
      </c>
      <c r="C154" s="8" t="s">
        <v>11</v>
      </c>
      <c r="D154" s="9" t="s">
        <v>41</v>
      </c>
      <c r="E154" s="4">
        <v>1262.791810655282</v>
      </c>
      <c r="F154" s="4">
        <v>1250.2889214408733</v>
      </c>
      <c r="G154" s="52">
        <f t="shared" si="6"/>
        <v>-12.502889214408697</v>
      </c>
      <c r="H154" s="49">
        <f t="shared" si="7"/>
        <v>0</v>
      </c>
      <c r="I154" s="49">
        <f t="shared" si="8"/>
        <v>10</v>
      </c>
      <c r="J154" s="50"/>
      <c r="K154" s="50"/>
      <c r="L154" s="50"/>
    </row>
    <row r="155" spans="1:12" x14ac:dyDescent="0.3">
      <c r="A155" s="7">
        <v>41548</v>
      </c>
      <c r="B155" s="7" t="s">
        <v>3</v>
      </c>
      <c r="C155" s="8" t="s">
        <v>13</v>
      </c>
      <c r="D155" s="9" t="s">
        <v>42</v>
      </c>
      <c r="E155" s="4">
        <v>69.791098059229682</v>
      </c>
      <c r="F155" s="4">
        <v>71.215406182887435</v>
      </c>
      <c r="G155" s="52">
        <f t="shared" si="6"/>
        <v>1.4243081236577524</v>
      </c>
      <c r="H155" s="49">
        <f t="shared" si="7"/>
        <v>1</v>
      </c>
      <c r="I155" s="49">
        <f t="shared" si="8"/>
        <v>10</v>
      </c>
      <c r="J155" s="50"/>
      <c r="K155" s="50"/>
      <c r="L155" s="50"/>
    </row>
    <row r="156" spans="1:12" x14ac:dyDescent="0.3">
      <c r="A156" s="7">
        <v>41548</v>
      </c>
      <c r="B156" s="7" t="s">
        <v>3</v>
      </c>
      <c r="C156" s="8" t="s">
        <v>14</v>
      </c>
      <c r="D156" s="9" t="s">
        <v>43</v>
      </c>
      <c r="E156" s="4">
        <v>1182.655747316323</v>
      </c>
      <c r="F156" s="4">
        <v>1170.946284471607</v>
      </c>
      <c r="G156" s="52">
        <f t="shared" si="6"/>
        <v>-11.709462844715972</v>
      </c>
      <c r="H156" s="49">
        <f t="shared" si="7"/>
        <v>0</v>
      </c>
      <c r="I156" s="49">
        <f t="shared" si="8"/>
        <v>10</v>
      </c>
      <c r="J156" s="50"/>
      <c r="K156" s="50"/>
      <c r="L156" s="50"/>
    </row>
    <row r="157" spans="1:12" x14ac:dyDescent="0.3">
      <c r="A157" s="7">
        <v>41548</v>
      </c>
      <c r="B157" s="7" t="s">
        <v>3</v>
      </c>
      <c r="C157" s="8" t="s">
        <v>15</v>
      </c>
      <c r="D157" s="9" t="s">
        <v>44</v>
      </c>
      <c r="E157" s="4">
        <v>119.15451809941781</v>
      </c>
      <c r="F157" s="4">
        <v>117.97477039546318</v>
      </c>
      <c r="G157" s="52">
        <f t="shared" si="6"/>
        <v>-1.1797477039546322</v>
      </c>
      <c r="H157" s="49">
        <f t="shared" si="7"/>
        <v>0</v>
      </c>
      <c r="I157" s="49">
        <f t="shared" si="8"/>
        <v>10</v>
      </c>
      <c r="J157" s="50"/>
      <c r="K157" s="50"/>
      <c r="L157" s="50"/>
    </row>
    <row r="158" spans="1:12" x14ac:dyDescent="0.3">
      <c r="A158" s="7">
        <v>41548</v>
      </c>
      <c r="B158" s="7" t="s">
        <v>3</v>
      </c>
      <c r="C158" s="8" t="s">
        <v>8</v>
      </c>
      <c r="D158" s="9" t="s">
        <v>45</v>
      </c>
      <c r="E158" s="4">
        <v>213.10935186784954</v>
      </c>
      <c r="F158" s="4">
        <v>210.99935828499954</v>
      </c>
      <c r="G158" s="52">
        <f t="shared" si="6"/>
        <v>-2.1099935828499952</v>
      </c>
      <c r="H158" s="49">
        <f t="shared" si="7"/>
        <v>0</v>
      </c>
      <c r="I158" s="49">
        <f t="shared" si="8"/>
        <v>10</v>
      </c>
      <c r="J158" s="50"/>
      <c r="K158" s="50"/>
      <c r="L158" s="50"/>
    </row>
    <row r="159" spans="1:12" x14ac:dyDescent="0.3">
      <c r="A159" s="7">
        <v>41548</v>
      </c>
      <c r="B159" s="7" t="s">
        <v>3</v>
      </c>
      <c r="C159" s="8" t="s">
        <v>10</v>
      </c>
      <c r="D159" s="9" t="s">
        <v>46</v>
      </c>
      <c r="E159" s="4">
        <v>473.29157052884176</v>
      </c>
      <c r="F159" s="4">
        <v>468.60551537509087</v>
      </c>
      <c r="G159" s="52">
        <f t="shared" si="6"/>
        <v>-4.6860551537508854</v>
      </c>
      <c r="H159" s="49">
        <f t="shared" si="7"/>
        <v>0</v>
      </c>
      <c r="I159" s="49">
        <f t="shared" si="8"/>
        <v>10</v>
      </c>
      <c r="J159" s="50"/>
      <c r="K159" s="50"/>
      <c r="L159" s="50"/>
    </row>
    <row r="160" spans="1:12" x14ac:dyDescent="0.3">
      <c r="A160" s="7">
        <v>41548</v>
      </c>
      <c r="B160" s="7" t="s">
        <v>3</v>
      </c>
      <c r="C160" s="8" t="s">
        <v>9</v>
      </c>
      <c r="D160" s="9" t="s">
        <v>47</v>
      </c>
      <c r="E160" s="4">
        <v>343.93797310173613</v>
      </c>
      <c r="F160" s="4">
        <v>340.53264663538232</v>
      </c>
      <c r="G160" s="52">
        <f t="shared" si="6"/>
        <v>-3.405326466353813</v>
      </c>
      <c r="H160" s="49">
        <f t="shared" si="7"/>
        <v>0</v>
      </c>
      <c r="I160" s="49">
        <f t="shared" si="8"/>
        <v>10</v>
      </c>
      <c r="J160" s="50"/>
      <c r="K160" s="50"/>
      <c r="L160" s="50"/>
    </row>
    <row r="161" spans="1:12" x14ac:dyDescent="0.3">
      <c r="A161" s="7">
        <v>41548</v>
      </c>
      <c r="B161" s="7" t="s">
        <v>3</v>
      </c>
      <c r="C161" s="8" t="s">
        <v>12</v>
      </c>
      <c r="D161" s="9" t="s">
        <v>48</v>
      </c>
      <c r="E161" s="4">
        <v>27.036133345906666</v>
      </c>
      <c r="F161" s="4">
        <v>26.768448857333333</v>
      </c>
      <c r="G161" s="52">
        <f t="shared" si="6"/>
        <v>-0.26768448857333382</v>
      </c>
      <c r="H161" s="49">
        <f t="shared" si="7"/>
        <v>0</v>
      </c>
      <c r="I161" s="49">
        <f t="shared" si="8"/>
        <v>10</v>
      </c>
      <c r="J161" s="50"/>
      <c r="K161" s="50"/>
      <c r="L161" s="50"/>
    </row>
    <row r="162" spans="1:12" x14ac:dyDescent="0.3">
      <c r="A162" s="7">
        <v>41579</v>
      </c>
      <c r="B162" s="7" t="s">
        <v>3</v>
      </c>
      <c r="C162" s="8" t="s">
        <v>13</v>
      </c>
      <c r="D162" s="6" t="s">
        <v>17</v>
      </c>
      <c r="E162" s="4">
        <v>4.5805031330729991</v>
      </c>
      <c r="F162" s="4">
        <v>4.6739827888499992</v>
      </c>
      <c r="G162" s="52">
        <f t="shared" si="6"/>
        <v>9.3479655777000126E-2</v>
      </c>
      <c r="H162" s="49">
        <f t="shared" si="7"/>
        <v>1</v>
      </c>
      <c r="I162" s="49">
        <f t="shared" si="8"/>
        <v>11</v>
      </c>
      <c r="J162" s="50"/>
      <c r="K162" s="50"/>
      <c r="L162" s="50"/>
    </row>
    <row r="163" spans="1:12" x14ac:dyDescent="0.3">
      <c r="A163" s="7">
        <v>41579</v>
      </c>
      <c r="B163" s="7" t="s">
        <v>3</v>
      </c>
      <c r="C163" s="8" t="s">
        <v>16</v>
      </c>
      <c r="D163" s="9" t="s">
        <v>18</v>
      </c>
      <c r="E163" s="4">
        <v>5.0119643570219994</v>
      </c>
      <c r="F163" s="4">
        <v>5.1142493438999992</v>
      </c>
      <c r="G163" s="52">
        <f t="shared" si="6"/>
        <v>0.10228498687799981</v>
      </c>
      <c r="H163" s="49">
        <f t="shared" si="7"/>
        <v>1</v>
      </c>
      <c r="I163" s="49">
        <f t="shared" si="8"/>
        <v>11</v>
      </c>
      <c r="J163" s="50"/>
      <c r="K163" s="50"/>
      <c r="L163" s="50"/>
    </row>
    <row r="164" spans="1:12" x14ac:dyDescent="0.3">
      <c r="A164" s="7">
        <v>41579</v>
      </c>
      <c r="B164" s="7" t="s">
        <v>3</v>
      </c>
      <c r="C164" s="8" t="s">
        <v>11</v>
      </c>
      <c r="D164" s="9" t="s">
        <v>19</v>
      </c>
      <c r="E164" s="4">
        <v>2.5323339884090643</v>
      </c>
      <c r="F164" s="4">
        <v>2.5840142738868002</v>
      </c>
      <c r="G164" s="52">
        <f t="shared" si="6"/>
        <v>5.1680285477735843E-2</v>
      </c>
      <c r="H164" s="49">
        <f t="shared" si="7"/>
        <v>1</v>
      </c>
      <c r="I164" s="49">
        <f t="shared" si="8"/>
        <v>11</v>
      </c>
      <c r="J164" s="50"/>
      <c r="K164" s="50"/>
      <c r="L164" s="50"/>
    </row>
    <row r="165" spans="1:12" x14ac:dyDescent="0.3">
      <c r="A165" s="7">
        <v>41579</v>
      </c>
      <c r="B165" s="7" t="s">
        <v>3</v>
      </c>
      <c r="C165" s="8" t="s">
        <v>13</v>
      </c>
      <c r="D165" s="9" t="s">
        <v>20</v>
      </c>
      <c r="E165" s="4">
        <v>0.40298045831399998</v>
      </c>
      <c r="F165" s="4">
        <v>0.4112045493</v>
      </c>
      <c r="G165" s="52">
        <f t="shared" si="6"/>
        <v>8.2240909860000211E-3</v>
      </c>
      <c r="H165" s="49">
        <f t="shared" si="7"/>
        <v>1</v>
      </c>
      <c r="I165" s="49">
        <f t="shared" si="8"/>
        <v>11</v>
      </c>
      <c r="J165" s="50"/>
      <c r="K165" s="50"/>
      <c r="L165" s="50"/>
    </row>
    <row r="166" spans="1:12" x14ac:dyDescent="0.3">
      <c r="A166" s="7">
        <v>41579</v>
      </c>
      <c r="B166" s="7" t="s">
        <v>3</v>
      </c>
      <c r="C166" s="8" t="s">
        <v>14</v>
      </c>
      <c r="D166" s="9" t="s">
        <v>21</v>
      </c>
      <c r="E166" s="4">
        <v>201.32167543629512</v>
      </c>
      <c r="F166" s="4">
        <v>205.43028105744401</v>
      </c>
      <c r="G166" s="52">
        <f t="shared" si="6"/>
        <v>4.1086056211488824</v>
      </c>
      <c r="H166" s="49">
        <f t="shared" si="7"/>
        <v>1</v>
      </c>
      <c r="I166" s="49">
        <f t="shared" si="8"/>
        <v>11</v>
      </c>
      <c r="J166" s="50"/>
      <c r="K166" s="50"/>
      <c r="L166" s="50"/>
    </row>
    <row r="167" spans="1:12" x14ac:dyDescent="0.3">
      <c r="A167" s="7">
        <v>41579</v>
      </c>
      <c r="B167" s="7" t="s">
        <v>3</v>
      </c>
      <c r="C167" s="8" t="s">
        <v>11</v>
      </c>
      <c r="D167" s="9" t="s">
        <v>22</v>
      </c>
      <c r="E167" s="4">
        <v>178.1533943614634</v>
      </c>
      <c r="F167" s="4">
        <v>181.78917791986061</v>
      </c>
      <c r="G167" s="52">
        <f t="shared" si="6"/>
        <v>3.6357835583972076</v>
      </c>
      <c r="H167" s="49">
        <f t="shared" si="7"/>
        <v>1</v>
      </c>
      <c r="I167" s="49">
        <f t="shared" si="8"/>
        <v>11</v>
      </c>
      <c r="J167" s="50"/>
      <c r="K167" s="50"/>
      <c r="L167" s="50"/>
    </row>
    <row r="168" spans="1:12" x14ac:dyDescent="0.3">
      <c r="A168" s="7">
        <v>41579</v>
      </c>
      <c r="B168" s="7" t="s">
        <v>3</v>
      </c>
      <c r="C168" s="8" t="s">
        <v>13</v>
      </c>
      <c r="D168" s="9" t="s">
        <v>23</v>
      </c>
      <c r="E168" s="4">
        <v>69.791098059229682</v>
      </c>
      <c r="F168" s="4">
        <v>71.215406182887435</v>
      </c>
      <c r="G168" s="52">
        <f t="shared" si="6"/>
        <v>1.4243081236577524</v>
      </c>
      <c r="H168" s="49">
        <f t="shared" si="7"/>
        <v>1</v>
      </c>
      <c r="I168" s="49">
        <f t="shared" si="8"/>
        <v>11</v>
      </c>
      <c r="J168" s="50"/>
      <c r="K168" s="50"/>
      <c r="L168" s="50"/>
    </row>
    <row r="169" spans="1:12" x14ac:dyDescent="0.3">
      <c r="A169" s="7">
        <v>41579</v>
      </c>
      <c r="B169" s="7" t="s">
        <v>3</v>
      </c>
      <c r="C169" s="8" t="s">
        <v>14</v>
      </c>
      <c r="D169" s="9" t="s">
        <v>24</v>
      </c>
      <c r="E169" s="4">
        <v>15.963578754810893</v>
      </c>
      <c r="F169" s="4">
        <v>16.289366076337647</v>
      </c>
      <c r="G169" s="52">
        <f t="shared" si="6"/>
        <v>0.32578732152675371</v>
      </c>
      <c r="H169" s="49">
        <f t="shared" si="7"/>
        <v>1</v>
      </c>
      <c r="I169" s="49">
        <f t="shared" si="8"/>
        <v>11</v>
      </c>
      <c r="J169" s="50"/>
      <c r="K169" s="50"/>
      <c r="L169" s="50"/>
    </row>
    <row r="170" spans="1:12" x14ac:dyDescent="0.3">
      <c r="A170" s="7">
        <v>41579</v>
      </c>
      <c r="B170" s="7" t="s">
        <v>3</v>
      </c>
      <c r="C170" s="8" t="s">
        <v>15</v>
      </c>
      <c r="D170" s="9" t="s">
        <v>25</v>
      </c>
      <c r="E170" s="4">
        <v>1225.2831430120559</v>
      </c>
      <c r="F170" s="4">
        <v>1250.2889214408733</v>
      </c>
      <c r="G170" s="52">
        <f t="shared" si="6"/>
        <v>25.005778428817393</v>
      </c>
      <c r="H170" s="49">
        <f t="shared" si="7"/>
        <v>1</v>
      </c>
      <c r="I170" s="49">
        <f t="shared" si="8"/>
        <v>11</v>
      </c>
      <c r="J170" s="50"/>
      <c r="K170" s="50"/>
      <c r="L170" s="50"/>
    </row>
    <row r="171" spans="1:12" x14ac:dyDescent="0.3">
      <c r="A171" s="7">
        <v>41579</v>
      </c>
      <c r="B171" s="7" t="s">
        <v>3</v>
      </c>
      <c r="C171" s="8" t="s">
        <v>8</v>
      </c>
      <c r="D171" s="9" t="s">
        <v>26</v>
      </c>
      <c r="E171" s="4">
        <v>1992.6572980371297</v>
      </c>
      <c r="F171" s="4">
        <v>2033.3237735072753</v>
      </c>
      <c r="G171" s="52">
        <f t="shared" si="6"/>
        <v>40.666475470145542</v>
      </c>
      <c r="H171" s="49">
        <f t="shared" si="7"/>
        <v>1</v>
      </c>
      <c r="I171" s="49">
        <f t="shared" si="8"/>
        <v>11</v>
      </c>
      <c r="J171" s="50"/>
      <c r="K171" s="50"/>
      <c r="L171" s="50"/>
    </row>
    <row r="172" spans="1:12" x14ac:dyDescent="0.3">
      <c r="A172" s="7">
        <v>41579</v>
      </c>
      <c r="B172" s="7" t="s">
        <v>3</v>
      </c>
      <c r="C172" s="8" t="s">
        <v>10</v>
      </c>
      <c r="D172" s="9" t="s">
        <v>27</v>
      </c>
      <c r="E172" s="4">
        <v>1147.5273587821748</v>
      </c>
      <c r="F172" s="4">
        <v>1170.946284471607</v>
      </c>
      <c r="G172" s="52">
        <f t="shared" si="6"/>
        <v>23.418925689432172</v>
      </c>
      <c r="H172" s="49">
        <f t="shared" si="7"/>
        <v>1</v>
      </c>
      <c r="I172" s="49">
        <f t="shared" si="8"/>
        <v>11</v>
      </c>
      <c r="J172" s="50"/>
      <c r="K172" s="50"/>
      <c r="L172" s="50"/>
    </row>
    <row r="173" spans="1:12" x14ac:dyDescent="0.3">
      <c r="A173" s="7">
        <v>41579</v>
      </c>
      <c r="B173" s="7" t="s">
        <v>3</v>
      </c>
      <c r="C173" s="8" t="s">
        <v>9</v>
      </c>
      <c r="D173" s="9" t="s">
        <v>28</v>
      </c>
      <c r="E173" s="4">
        <v>115.61527498755392</v>
      </c>
      <c r="F173" s="4">
        <v>117.97477039546318</v>
      </c>
      <c r="G173" s="52">
        <f t="shared" si="6"/>
        <v>2.3594954079092645</v>
      </c>
      <c r="H173" s="49">
        <f t="shared" si="7"/>
        <v>1</v>
      </c>
      <c r="I173" s="49">
        <f t="shared" si="8"/>
        <v>11</v>
      </c>
      <c r="J173" s="50"/>
      <c r="K173" s="50"/>
      <c r="L173" s="50"/>
    </row>
    <row r="174" spans="1:12" x14ac:dyDescent="0.3">
      <c r="A174" s="7">
        <v>41579</v>
      </c>
      <c r="B174" s="7" t="s">
        <v>3</v>
      </c>
      <c r="C174" s="8" t="s">
        <v>12</v>
      </c>
      <c r="D174" s="9" t="s">
        <v>29</v>
      </c>
      <c r="E174" s="4">
        <v>206.77937111929955</v>
      </c>
      <c r="F174" s="4">
        <v>210.99935828499954</v>
      </c>
      <c r="G174" s="52">
        <f t="shared" si="6"/>
        <v>4.2199871656999903</v>
      </c>
      <c r="H174" s="49">
        <f t="shared" si="7"/>
        <v>1</v>
      </c>
      <c r="I174" s="49">
        <f t="shared" si="8"/>
        <v>11</v>
      </c>
      <c r="J174" s="50"/>
      <c r="K174" s="50"/>
      <c r="L174" s="50"/>
    </row>
    <row r="175" spans="1:12" x14ac:dyDescent="0.3">
      <c r="A175" s="7">
        <v>41579</v>
      </c>
      <c r="B175" s="7" t="s">
        <v>3</v>
      </c>
      <c r="C175" s="8" t="s">
        <v>13</v>
      </c>
      <c r="D175" s="9" t="s">
        <v>30</v>
      </c>
      <c r="E175" s="4">
        <v>459.23340506758905</v>
      </c>
      <c r="F175" s="4">
        <v>468.60551537509087</v>
      </c>
      <c r="G175" s="52">
        <f t="shared" si="6"/>
        <v>9.3721103075018277</v>
      </c>
      <c r="H175" s="49">
        <f t="shared" si="7"/>
        <v>1</v>
      </c>
      <c r="I175" s="49">
        <f t="shared" si="8"/>
        <v>11</v>
      </c>
      <c r="J175" s="50"/>
      <c r="K175" s="50"/>
      <c r="L175" s="50"/>
    </row>
    <row r="176" spans="1:12" x14ac:dyDescent="0.3">
      <c r="A176" s="7">
        <v>41579</v>
      </c>
      <c r="B176" s="7" t="s">
        <v>3</v>
      </c>
      <c r="C176" s="8" t="s">
        <v>16</v>
      </c>
      <c r="D176" s="9" t="s">
        <v>31</v>
      </c>
      <c r="E176" s="4">
        <v>333.72199370267469</v>
      </c>
      <c r="F176" s="4">
        <v>340.53264663538232</v>
      </c>
      <c r="G176" s="52">
        <f t="shared" si="6"/>
        <v>6.810652932707626</v>
      </c>
      <c r="H176" s="49">
        <f t="shared" si="7"/>
        <v>1</v>
      </c>
      <c r="I176" s="49">
        <f t="shared" si="8"/>
        <v>11</v>
      </c>
      <c r="J176" s="50"/>
      <c r="K176" s="50"/>
      <c r="L176" s="50"/>
    </row>
    <row r="177" spans="1:12" x14ac:dyDescent="0.3">
      <c r="A177" s="7">
        <v>41579</v>
      </c>
      <c r="B177" s="7" t="s">
        <v>3</v>
      </c>
      <c r="C177" s="8" t="s">
        <v>11</v>
      </c>
      <c r="D177" s="9" t="s">
        <v>32</v>
      </c>
      <c r="E177" s="4">
        <v>26.233079880186665</v>
      </c>
      <c r="F177" s="4">
        <v>26.768448857333333</v>
      </c>
      <c r="G177" s="52">
        <f t="shared" si="6"/>
        <v>0.53536897714666765</v>
      </c>
      <c r="H177" s="49">
        <f t="shared" si="7"/>
        <v>1</v>
      </c>
      <c r="I177" s="49">
        <f t="shared" si="8"/>
        <v>11</v>
      </c>
      <c r="J177" s="50"/>
      <c r="K177" s="50"/>
      <c r="L177" s="50"/>
    </row>
    <row r="178" spans="1:12" x14ac:dyDescent="0.3">
      <c r="A178" s="7">
        <v>41609</v>
      </c>
      <c r="B178" s="7" t="s">
        <v>3</v>
      </c>
      <c r="C178" s="8" t="s">
        <v>13</v>
      </c>
      <c r="D178" s="9" t="s">
        <v>33</v>
      </c>
      <c r="E178" s="3">
        <v>4.7270414169999997</v>
      </c>
      <c r="F178" s="5">
        <v>4.8235116499999995</v>
      </c>
      <c r="G178" s="52">
        <f t="shared" si="6"/>
        <v>9.6470232999999794E-2</v>
      </c>
      <c r="H178" s="49">
        <f t="shared" si="7"/>
        <v>1</v>
      </c>
      <c r="I178" s="49">
        <f t="shared" si="8"/>
        <v>12</v>
      </c>
      <c r="J178" s="50"/>
      <c r="K178" s="50"/>
      <c r="L178" s="50"/>
    </row>
    <row r="179" spans="1:12" x14ac:dyDescent="0.3">
      <c r="A179" s="7">
        <v>41609</v>
      </c>
      <c r="B179" s="7" t="s">
        <v>3</v>
      </c>
      <c r="C179" s="8" t="s">
        <v>14</v>
      </c>
      <c r="D179" s="9" t="s">
        <v>34</v>
      </c>
      <c r="E179" s="3">
        <v>5.1723058379999989</v>
      </c>
      <c r="F179" s="5">
        <v>5.2778630999999994</v>
      </c>
      <c r="G179" s="52">
        <f t="shared" si="6"/>
        <v>0.10555726200000048</v>
      </c>
      <c r="H179" s="49">
        <f t="shared" si="7"/>
        <v>1</v>
      </c>
      <c r="I179" s="49">
        <f t="shared" si="8"/>
        <v>12</v>
      </c>
      <c r="J179" s="50"/>
      <c r="K179" s="50"/>
      <c r="L179" s="50"/>
    </row>
    <row r="180" spans="1:12" x14ac:dyDescent="0.3">
      <c r="A180" s="7">
        <v>41609</v>
      </c>
      <c r="B180" s="7" t="s">
        <v>3</v>
      </c>
      <c r="C180" s="8" t="s">
        <v>11</v>
      </c>
      <c r="D180" s="9" t="s">
        <v>35</v>
      </c>
      <c r="E180" s="3">
        <v>2.6133477692559999</v>
      </c>
      <c r="F180" s="5">
        <v>2.6666813972000001</v>
      </c>
      <c r="G180" s="52">
        <f t="shared" si="6"/>
        <v>5.3333627944000206E-2</v>
      </c>
      <c r="H180" s="49">
        <f t="shared" si="7"/>
        <v>1</v>
      </c>
      <c r="I180" s="49">
        <f t="shared" si="8"/>
        <v>12</v>
      </c>
      <c r="J180" s="50"/>
      <c r="K180" s="50"/>
      <c r="L180" s="50"/>
    </row>
    <row r="181" spans="1:12" x14ac:dyDescent="0.3">
      <c r="A181" s="7">
        <v>41609</v>
      </c>
      <c r="B181" s="7" t="s">
        <v>3</v>
      </c>
      <c r="C181" s="8" t="s">
        <v>13</v>
      </c>
      <c r="D181" s="9" t="s">
        <v>36</v>
      </c>
      <c r="E181" s="3">
        <v>0.41587250599999998</v>
      </c>
      <c r="F181" s="5">
        <v>0.42435970000000001</v>
      </c>
      <c r="G181" s="52">
        <f t="shared" si="6"/>
        <v>8.4871940000000312E-3</v>
      </c>
      <c r="H181" s="49">
        <f t="shared" si="7"/>
        <v>1</v>
      </c>
      <c r="I181" s="49">
        <f t="shared" si="8"/>
        <v>12</v>
      </c>
      <c r="J181" s="50"/>
      <c r="K181" s="50"/>
      <c r="L181" s="50"/>
    </row>
    <row r="182" spans="1:12" x14ac:dyDescent="0.3">
      <c r="A182" s="7">
        <v>41609</v>
      </c>
      <c r="B182" s="7" t="s">
        <v>3</v>
      </c>
      <c r="C182" s="8" t="s">
        <v>14</v>
      </c>
      <c r="D182" s="9" t="s">
        <v>37</v>
      </c>
      <c r="E182" s="3">
        <v>207.76230695180098</v>
      </c>
      <c r="F182" s="5">
        <v>212.00235403244997</v>
      </c>
      <c r="G182" s="52">
        <f t="shared" si="6"/>
        <v>4.2400470806489921</v>
      </c>
      <c r="H182" s="49">
        <f t="shared" si="7"/>
        <v>1</v>
      </c>
      <c r="I182" s="49">
        <f t="shared" si="8"/>
        <v>12</v>
      </c>
      <c r="J182" s="50"/>
      <c r="K182" s="50"/>
      <c r="L182" s="50"/>
    </row>
    <row r="183" spans="1:12" x14ac:dyDescent="0.3">
      <c r="A183" s="7">
        <v>41609</v>
      </c>
      <c r="B183" s="7" t="s">
        <v>3</v>
      </c>
      <c r="C183" s="8" t="s">
        <v>15</v>
      </c>
      <c r="D183" s="9" t="s">
        <v>38</v>
      </c>
      <c r="E183" s="3">
        <v>183.85283215837296</v>
      </c>
      <c r="F183" s="5">
        <v>187.60493077384996</v>
      </c>
      <c r="G183" s="52">
        <f t="shared" si="6"/>
        <v>3.7520986154769957</v>
      </c>
      <c r="H183" s="49">
        <f t="shared" si="7"/>
        <v>1</v>
      </c>
      <c r="I183" s="49">
        <f t="shared" si="8"/>
        <v>12</v>
      </c>
      <c r="J183" s="50"/>
      <c r="K183" s="50"/>
      <c r="L183" s="50"/>
    </row>
    <row r="184" spans="1:12" x14ac:dyDescent="0.3">
      <c r="A184" s="7">
        <v>41609</v>
      </c>
      <c r="B184" s="7" t="s">
        <v>3</v>
      </c>
      <c r="C184" s="8" t="s">
        <v>8</v>
      </c>
      <c r="D184" s="9" t="s">
        <v>39</v>
      </c>
      <c r="E184" s="3">
        <v>72.023837006428991</v>
      </c>
      <c r="F184" s="5">
        <v>73.493711231049986</v>
      </c>
      <c r="G184" s="52">
        <f t="shared" si="6"/>
        <v>1.4698742246209946</v>
      </c>
      <c r="H184" s="49">
        <f t="shared" si="7"/>
        <v>1</v>
      </c>
      <c r="I184" s="49">
        <f t="shared" si="8"/>
        <v>12</v>
      </c>
      <c r="J184" s="50"/>
      <c r="K184" s="50"/>
      <c r="L184" s="50"/>
    </row>
    <row r="185" spans="1:12" x14ac:dyDescent="0.3">
      <c r="A185" s="7">
        <v>41609</v>
      </c>
      <c r="B185" s="7" t="s">
        <v>3</v>
      </c>
      <c r="C185" s="8" t="s">
        <v>10</v>
      </c>
      <c r="D185" s="9" t="s">
        <v>40</v>
      </c>
      <c r="E185" s="3">
        <v>16.474281480712996</v>
      </c>
      <c r="F185" s="5">
        <v>16.810491306849997</v>
      </c>
      <c r="G185" s="52">
        <f t="shared" si="6"/>
        <v>0.33620982613700079</v>
      </c>
      <c r="H185" s="49">
        <f t="shared" si="7"/>
        <v>1</v>
      </c>
      <c r="I185" s="49">
        <f t="shared" si="8"/>
        <v>12</v>
      </c>
      <c r="J185" s="50"/>
      <c r="K185" s="50"/>
      <c r="L185" s="50"/>
    </row>
    <row r="186" spans="1:12" x14ac:dyDescent="0.3">
      <c r="A186" s="7">
        <v>41609</v>
      </c>
      <c r="B186" s="7" t="s">
        <v>3</v>
      </c>
      <c r="C186" s="8" t="s">
        <v>9</v>
      </c>
      <c r="D186" s="9" t="s">
        <v>41</v>
      </c>
      <c r="E186" s="3">
        <v>1264.4820877317397</v>
      </c>
      <c r="F186" s="11">
        <v>1290.2878446242244</v>
      </c>
      <c r="G186" s="52">
        <f t="shared" si="6"/>
        <v>25.805756892484624</v>
      </c>
      <c r="H186" s="49">
        <f t="shared" si="7"/>
        <v>1</v>
      </c>
      <c r="I186" s="49">
        <f t="shared" si="8"/>
        <v>12</v>
      </c>
      <c r="J186" s="50"/>
      <c r="K186" s="50"/>
      <c r="L186" s="50"/>
    </row>
    <row r="187" spans="1:12" x14ac:dyDescent="0.3">
      <c r="A187" s="7">
        <v>41609</v>
      </c>
      <c r="B187" s="7" t="s">
        <v>3</v>
      </c>
      <c r="C187" s="8" t="s">
        <v>12</v>
      </c>
      <c r="D187" s="9" t="s">
        <v>42</v>
      </c>
      <c r="E187" s="3">
        <v>2056.4058803272751</v>
      </c>
      <c r="F187" s="11">
        <v>2098.3733472727299</v>
      </c>
      <c r="G187" s="52">
        <f t="shared" si="6"/>
        <v>41.967466945454817</v>
      </c>
      <c r="H187" s="49">
        <f t="shared" si="7"/>
        <v>1</v>
      </c>
      <c r="I187" s="49">
        <f t="shared" si="8"/>
        <v>12</v>
      </c>
      <c r="J187" s="50"/>
      <c r="K187" s="50"/>
      <c r="L187" s="50"/>
    </row>
    <row r="188" spans="1:12" x14ac:dyDescent="0.3">
      <c r="A188" s="7">
        <v>41609</v>
      </c>
      <c r="B188" s="7" t="s">
        <v>3</v>
      </c>
      <c r="C188" s="8" t="s">
        <v>13</v>
      </c>
      <c r="D188" s="9" t="s">
        <v>43</v>
      </c>
      <c r="E188" s="4">
        <v>69.791098059229682</v>
      </c>
      <c r="F188" s="4">
        <v>71.215406182887435</v>
      </c>
      <c r="G188" s="52">
        <f t="shared" si="6"/>
        <v>1.4243081236577524</v>
      </c>
      <c r="H188" s="49">
        <f t="shared" si="7"/>
        <v>1</v>
      </c>
      <c r="I188" s="49">
        <f t="shared" si="8"/>
        <v>12</v>
      </c>
      <c r="J188" s="50"/>
      <c r="K188" s="50"/>
      <c r="L188" s="50"/>
    </row>
    <row r="189" spans="1:12" x14ac:dyDescent="0.3">
      <c r="A189" s="7">
        <v>41609</v>
      </c>
      <c r="B189" s="7" t="s">
        <v>3</v>
      </c>
      <c r="C189" s="8" t="s">
        <v>16</v>
      </c>
      <c r="D189" s="9" t="s">
        <v>44</v>
      </c>
      <c r="E189" s="3">
        <v>119.31400927508143</v>
      </c>
      <c r="F189" s="11">
        <v>121.74898905620555</v>
      </c>
      <c r="G189" s="52">
        <f t="shared" si="6"/>
        <v>2.4349797811241132</v>
      </c>
      <c r="H189" s="49">
        <f t="shared" si="7"/>
        <v>1</v>
      </c>
      <c r="I189" s="49">
        <f t="shared" si="8"/>
        <v>12</v>
      </c>
      <c r="J189" s="50"/>
      <c r="K189" s="50"/>
      <c r="L189" s="50"/>
    </row>
    <row r="190" spans="1:12" x14ac:dyDescent="0.3">
      <c r="A190" s="7">
        <v>41609</v>
      </c>
      <c r="B190" s="7" t="s">
        <v>3</v>
      </c>
      <c r="C190" s="8" t="s">
        <v>11</v>
      </c>
      <c r="D190" s="9" t="s">
        <v>45</v>
      </c>
      <c r="E190" s="3">
        <v>213.39460383828643</v>
      </c>
      <c r="F190" s="5">
        <v>217.7495957533535</v>
      </c>
      <c r="G190" s="52">
        <f t="shared" si="6"/>
        <v>4.3549919150670746</v>
      </c>
      <c r="H190" s="49">
        <f t="shared" si="7"/>
        <v>1</v>
      </c>
      <c r="I190" s="49">
        <f t="shared" si="8"/>
        <v>12</v>
      </c>
      <c r="J190" s="50"/>
      <c r="K190" s="50"/>
      <c r="L190" s="50"/>
    </row>
    <row r="191" spans="1:12" x14ac:dyDescent="0.3">
      <c r="A191" s="7">
        <v>41609</v>
      </c>
      <c r="B191" s="7" t="s">
        <v>3</v>
      </c>
      <c r="C191" s="8" t="s">
        <v>13</v>
      </c>
      <c r="D191" s="9" t="s">
        <v>46</v>
      </c>
      <c r="E191" s="3">
        <v>473.92508262909092</v>
      </c>
      <c r="F191" s="5">
        <v>483.59702309090909</v>
      </c>
      <c r="G191" s="52">
        <f t="shared" si="6"/>
        <v>9.671940461818167</v>
      </c>
      <c r="H191" s="49">
        <f t="shared" si="7"/>
        <v>1</v>
      </c>
      <c r="I191" s="49">
        <f t="shared" si="8"/>
        <v>12</v>
      </c>
      <c r="J191" s="50"/>
      <c r="K191" s="50"/>
      <c r="L191" s="50"/>
    </row>
    <row r="192" spans="1:12" x14ac:dyDescent="0.3">
      <c r="A192" s="7">
        <v>41609</v>
      </c>
      <c r="B192" s="7" t="s">
        <v>3</v>
      </c>
      <c r="C192" s="8" t="s">
        <v>14</v>
      </c>
      <c r="D192" s="9" t="s">
        <v>47</v>
      </c>
      <c r="E192" s="3">
        <v>344.39834231442171</v>
      </c>
      <c r="F192" s="5">
        <v>351.42687991267525</v>
      </c>
      <c r="G192" s="52">
        <f t="shared" si="6"/>
        <v>7.0285375982535356</v>
      </c>
      <c r="H192" s="49">
        <f t="shared" si="7"/>
        <v>1</v>
      </c>
      <c r="I192" s="49">
        <f t="shared" si="8"/>
        <v>12</v>
      </c>
      <c r="J192" s="50"/>
      <c r="K192" s="50"/>
      <c r="L192" s="50"/>
    </row>
    <row r="193" spans="1:12" x14ac:dyDescent="0.3">
      <c r="A193" s="7">
        <v>41609</v>
      </c>
      <c r="B193" s="7" t="s">
        <v>3</v>
      </c>
      <c r="C193" s="8" t="s">
        <v>11</v>
      </c>
      <c r="D193" s="9" t="s">
        <v>48</v>
      </c>
      <c r="E193" s="3">
        <v>27.07232185777778</v>
      </c>
      <c r="F193" s="5">
        <v>27.624818222222224</v>
      </c>
      <c r="G193" s="52">
        <f t="shared" si="6"/>
        <v>0.55249636444444405</v>
      </c>
      <c r="H193" s="49">
        <f t="shared" si="7"/>
        <v>1</v>
      </c>
      <c r="I193" s="49">
        <f t="shared" si="8"/>
        <v>12</v>
      </c>
      <c r="J193" s="50"/>
      <c r="K193" s="50"/>
      <c r="L193" s="50"/>
    </row>
    <row r="194" spans="1:12" x14ac:dyDescent="0.3">
      <c r="C194" s="8"/>
    </row>
    <row r="195" spans="1:12" x14ac:dyDescent="0.3">
      <c r="C195" s="8"/>
    </row>
    <row r="196" spans="1:12" x14ac:dyDescent="0.3">
      <c r="C196" s="8"/>
    </row>
    <row r="197" spans="1:12" x14ac:dyDescent="0.3">
      <c r="C197" s="8"/>
    </row>
    <row r="198" spans="1:12" x14ac:dyDescent="0.3">
      <c r="C198" s="8"/>
    </row>
    <row r="199" spans="1:12" x14ac:dyDescent="0.3">
      <c r="C199" s="8"/>
    </row>
    <row r="200" spans="1:12" x14ac:dyDescent="0.3">
      <c r="C200" s="8"/>
    </row>
    <row r="201" spans="1:12" x14ac:dyDescent="0.3">
      <c r="C201" s="8"/>
    </row>
    <row r="202" spans="1:12" x14ac:dyDescent="0.3">
      <c r="C202" s="8"/>
    </row>
    <row r="203" spans="1:12" x14ac:dyDescent="0.3">
      <c r="C203" s="8"/>
    </row>
    <row r="204" spans="1:12" x14ac:dyDescent="0.3">
      <c r="C204" s="8"/>
    </row>
    <row r="205" spans="1:12" x14ac:dyDescent="0.3">
      <c r="C205" s="8"/>
    </row>
    <row r="206" spans="1:12" x14ac:dyDescent="0.3">
      <c r="C206" s="8"/>
    </row>
    <row r="207" spans="1:12" x14ac:dyDescent="0.3">
      <c r="C207" s="8"/>
    </row>
    <row r="208" spans="1:12" x14ac:dyDescent="0.3">
      <c r="C208" s="8"/>
    </row>
    <row r="209" spans="3:3" x14ac:dyDescent="0.3">
      <c r="C209"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G105"/>
  <sheetViews>
    <sheetView topLeftCell="A39" zoomScale="90" zoomScaleNormal="90" workbookViewId="0">
      <selection activeCell="C44" sqref="C44"/>
    </sheetView>
  </sheetViews>
  <sheetFormatPr defaultColWidth="9.109375" defaultRowHeight="14.4" x14ac:dyDescent="0.3"/>
  <cols>
    <col min="1" max="1" width="18.109375" style="14" customWidth="1"/>
    <col min="2" max="2" width="12" style="14" customWidth="1"/>
    <col min="3" max="3" width="8" style="14" customWidth="1"/>
    <col min="4" max="4" width="9.109375" style="14" customWidth="1"/>
    <col min="5" max="5" width="7.44140625" style="14" customWidth="1"/>
    <col min="6" max="6" width="12.6640625" style="14" bestFit="1" customWidth="1"/>
    <col min="7" max="7" width="7.88671875" style="14" customWidth="1"/>
    <col min="8" max="8" width="8.5546875" style="14" customWidth="1"/>
    <col min="9" max="9" width="9.33203125" style="14" customWidth="1"/>
    <col min="10" max="10" width="11.44140625" style="14" customWidth="1"/>
    <col min="11" max="11" width="11.33203125" style="14" customWidth="1"/>
    <col min="12" max="21" width="17.5546875" style="14" customWidth="1"/>
    <col min="22" max="32" width="17.5546875" style="14" bestFit="1" customWidth="1"/>
    <col min="33" max="33" width="11.33203125" style="14" bestFit="1" customWidth="1"/>
    <col min="34" max="16384" width="9.109375" style="14"/>
  </cols>
  <sheetData>
    <row r="1" spans="1:21" ht="18.600000000000001" customHeight="1" x14ac:dyDescent="0.3">
      <c r="A1" s="40" t="s">
        <v>51</v>
      </c>
      <c r="B1" s="40" t="s">
        <v>0</v>
      </c>
      <c r="C1" s="40" t="s">
        <v>1</v>
      </c>
      <c r="D1" s="40" t="s">
        <v>2</v>
      </c>
      <c r="E1" s="40" t="s">
        <v>3</v>
      </c>
      <c r="F1" s="40" t="s">
        <v>52</v>
      </c>
      <c r="I1" s="14" t="s">
        <v>55</v>
      </c>
      <c r="J1" s="14" t="s">
        <v>55</v>
      </c>
      <c r="K1" s="14" t="s">
        <v>57</v>
      </c>
    </row>
    <row r="2" spans="1:21" ht="16.8" customHeight="1" x14ac:dyDescent="0.3">
      <c r="A2" s="41" t="s">
        <v>8</v>
      </c>
      <c r="B2" s="40">
        <f>SUMIFS(Data!$F$2:$F$193,Data!$C$2:$C$193,Calc!$A2,Data!B2:B193,Calc!B$1)</f>
        <v>1684.2598617228443</v>
      </c>
      <c r="C2" s="40">
        <f>SUMIFS(Data!$F$2:$F$193,Data!$C$2:$C$193,Calc!$A2,Data!$B$2:$B$193,Calc!C$1)</f>
        <v>637.99402457287283</v>
      </c>
      <c r="D2" s="40">
        <f>SUMIFS(Data!$F$2:$F$193,Data!$C$2:$C$193,Calc!$A2,Data!$B$2:$B$193,Calc!D$1)</f>
        <v>1565.6547168744896</v>
      </c>
      <c r="E2" s="40">
        <f>SUMIFS(Data!$F$2:$F$193,Data!$C$2:$C$193,Calc!$A2,Data!$B$2:$B$193,Calc!E$1)</f>
        <v>2317.816843023325</v>
      </c>
      <c r="F2" s="40">
        <f>SUM(B2:E2)</f>
        <v>6205.7254461935318</v>
      </c>
      <c r="G2" s="14" t="s">
        <v>0</v>
      </c>
      <c r="H2" s="15" t="s">
        <v>8</v>
      </c>
      <c r="I2" s="14">
        <f>COUNTIFS(Data!$H$2:$H$193,1,Data!$C$2:$C$193,Calc!$H2)</f>
        <v>13</v>
      </c>
      <c r="J2" s="16">
        <f>I2/COUNTA(Data!H2:H193)</f>
        <v>6.7708333333333329E-2</v>
      </c>
      <c r="K2" s="16">
        <f>1-J2</f>
        <v>0.93229166666666663</v>
      </c>
    </row>
    <row r="3" spans="1:21" x14ac:dyDescent="0.3">
      <c r="A3" s="41" t="s">
        <v>10</v>
      </c>
      <c r="B3" s="40">
        <f>SUMIFS(Data!$F$2:$F$193,Data!$C$2:$C$193,Calc!$A3,Data!B3:B194,Calc!B$1)</f>
        <v>1741.2758616523454</v>
      </c>
      <c r="C3" s="40">
        <f>SUMIFS(Data!$F$2:$F$193,Data!$C$2:$C$193,Calc!$A3,Data!$B$2:$B$193,Calc!C$1)</f>
        <v>401.4641569753731</v>
      </c>
      <c r="D3" s="40">
        <f>SUMIFS(Data!$F$2:$F$193,Data!$C$2:$C$193,Calc!$A3,Data!$B$2:$B$193,Calc!D$1)</f>
        <v>2136.4263169011624</v>
      </c>
      <c r="E3" s="40">
        <f>SUMIFS(Data!$F$2:$F$193,Data!$C$2:$C$193,Calc!$A3,Data!$B$2:$B$193,Calc!E$1)</f>
        <v>1661.0362739423979</v>
      </c>
      <c r="F3" s="40">
        <f t="shared" ref="F3:F10" si="0">SUM(B3:E3)</f>
        <v>5940.2026094712792</v>
      </c>
      <c r="G3" s="17" t="s">
        <v>1</v>
      </c>
      <c r="H3" s="41" t="s">
        <v>10</v>
      </c>
      <c r="I3" s="40">
        <f>COUNTIFS(Data!$H$2:$H$193,1,Data!$C$2:$C$193,Calc!$H3)</f>
        <v>12</v>
      </c>
      <c r="J3" s="46">
        <f>I3/COUNTA(Data!H3:H194)</f>
        <v>6.2827225130890049E-2</v>
      </c>
      <c r="K3" s="46">
        <f t="shared" ref="K3:K10" si="1">1-J3</f>
        <v>0.93717277486910999</v>
      </c>
      <c r="L3" s="40"/>
      <c r="M3" s="40"/>
      <c r="N3" s="40"/>
      <c r="O3" s="40"/>
      <c r="P3" s="40"/>
      <c r="Q3" s="40"/>
      <c r="R3" s="40"/>
      <c r="S3" s="40"/>
      <c r="T3" s="40"/>
    </row>
    <row r="4" spans="1:21" x14ac:dyDescent="0.3">
      <c r="A4" s="41" t="s">
        <v>9</v>
      </c>
      <c r="B4" s="40">
        <f>SUMIFS(Data!$F$2:$F$193,Data!$C$2:$C$193,Calc!$A4,Data!B4:B195,Calc!B$1)</f>
        <v>2318.5620575593407</v>
      </c>
      <c r="C4" s="40">
        <f>SUMIFS(Data!$F$2:$F$193,Data!$C$2:$C$193,Calc!$A4,Data!$B$2:$B$193,Calc!C$1)</f>
        <v>528.98873634203392</v>
      </c>
      <c r="D4" s="40">
        <f>SUMIFS(Data!$F$2:$F$193,Data!$C$2:$C$193,Calc!$A4,Data!$B$2:$B$193,Calc!D$1)</f>
        <v>1425.404364938049</v>
      </c>
      <c r="E4" s="40">
        <f>SUMIFS(Data!$F$2:$F$193,Data!$C$2:$C$193,Calc!$A4,Data!$B$2:$B$193,Calc!E$1)</f>
        <v>1753.9095109989698</v>
      </c>
      <c r="F4" s="40">
        <f t="shared" si="0"/>
        <v>6026.8646698383927</v>
      </c>
      <c r="G4" s="17" t="s">
        <v>2</v>
      </c>
      <c r="H4" s="41" t="s">
        <v>9</v>
      </c>
      <c r="I4" s="40">
        <f>COUNTIFS(Data!$H$2:$H$193,1,Data!$C$2:$C$193,Calc!$H4)</f>
        <v>12</v>
      </c>
      <c r="J4" s="46">
        <f>I4/COUNTA(Data!H4:H195)</f>
        <v>6.3157894736842107E-2</v>
      </c>
      <c r="K4" s="46">
        <f t="shared" si="1"/>
        <v>0.93684210526315792</v>
      </c>
      <c r="L4" s="40"/>
      <c r="M4" s="40"/>
      <c r="N4" s="40"/>
      <c r="O4" s="40"/>
      <c r="P4" s="40"/>
      <c r="Q4" s="40"/>
      <c r="R4" s="40"/>
      <c r="S4" s="40"/>
      <c r="T4" s="40"/>
    </row>
    <row r="5" spans="1:21" x14ac:dyDescent="0.3">
      <c r="A5" s="41" t="s">
        <v>15</v>
      </c>
      <c r="B5" s="40">
        <f>SUMIFS(Data!$F$2:$F$193,Data!$C$2:$C$193,Calc!$A5,Data!B5:B196,Calc!B$1)</f>
        <v>2357.6293215689657</v>
      </c>
      <c r="C5" s="40">
        <f>SUMIFS(Data!$F$2:$F$193,Data!$C$2:$C$193,Calc!$A5,Data!$B$2:$B$193,Calc!C$1)</f>
        <v>1600.9317553192911</v>
      </c>
      <c r="D5" s="40">
        <f>SUMIFS(Data!$F$2:$F$193,Data!$C$2:$C$193,Calc!$A5,Data!$B$2:$B$193,Calc!D$1)</f>
        <v>600.90390269898512</v>
      </c>
      <c r="E5" s="40">
        <f>SUMIFS(Data!$F$2:$F$193,Data!$C$2:$C$193,Calc!$A5,Data!$B$2:$B$193,Calc!E$1)</f>
        <v>1555.8686226101863</v>
      </c>
      <c r="F5" s="40">
        <f t="shared" si="0"/>
        <v>6115.3336021974283</v>
      </c>
      <c r="G5" s="17" t="s">
        <v>3</v>
      </c>
      <c r="H5" s="41" t="s">
        <v>15</v>
      </c>
      <c r="I5" s="40">
        <f>COUNTIFS(Data!$H$2:$H$193,1,Data!$C$2:$C$193,Calc!$H5)</f>
        <v>12</v>
      </c>
      <c r="J5" s="46">
        <f>I5/COUNTA(Data!H5:H196)</f>
        <v>6.3492063492063489E-2</v>
      </c>
      <c r="K5" s="46">
        <f t="shared" si="1"/>
        <v>0.93650793650793651</v>
      </c>
      <c r="L5" s="40"/>
      <c r="M5" s="40"/>
      <c r="N5" s="40"/>
      <c r="O5" s="40"/>
      <c r="P5" s="40"/>
      <c r="Q5" s="40"/>
      <c r="R5" s="40"/>
      <c r="S5" s="40"/>
      <c r="T5" s="40"/>
    </row>
    <row r="6" spans="1:21" x14ac:dyDescent="0.3">
      <c r="A6" s="41" t="s">
        <v>12</v>
      </c>
      <c r="B6" s="40">
        <f>SUMIFS(Data!$F$2:$F$193,Data!$C$2:$C$193,Calc!$A6,Data!B6:B197,Calc!B$1)</f>
        <v>1678.5215028375587</v>
      </c>
      <c r="C6" s="40">
        <f>SUMIFS(Data!$F$2:$F$193,Data!$C$2:$C$193,Calc!$A6,Data!$B$2:$B$193,Calc!C$1)</f>
        <v>551.04591211909371</v>
      </c>
      <c r="D6" s="40">
        <f>SUMIFS(Data!$F$2:$F$193,Data!$C$2:$C$193,Calc!$A6,Data!$B$2:$B$193,Calc!D$1)</f>
        <v>1762.5699493270365</v>
      </c>
      <c r="E6" s="40">
        <f>SUMIFS(Data!$F$2:$F$193,Data!$C$2:$C$193,Calc!$A6,Data!$B$2:$B$193,Calc!E$1)</f>
        <v>2338.7251686889495</v>
      </c>
      <c r="F6" s="40">
        <f t="shared" si="0"/>
        <v>6330.8625329726383</v>
      </c>
      <c r="G6" s="17" t="s">
        <v>52</v>
      </c>
      <c r="H6" s="41" t="s">
        <v>12</v>
      </c>
      <c r="I6" s="40">
        <f>COUNTIFS(Data!$H$2:$H$193,1,Data!$C$2:$C$193,Calc!$H6)</f>
        <v>12</v>
      </c>
      <c r="J6" s="46">
        <f>I6/COUNTA(Data!H6:H197)</f>
        <v>6.3829787234042548E-2</v>
      </c>
      <c r="K6" s="46">
        <f t="shared" si="1"/>
        <v>0.93617021276595747</v>
      </c>
      <c r="L6" s="40"/>
      <c r="M6" s="40"/>
      <c r="N6" s="40"/>
      <c r="O6" s="40"/>
      <c r="P6" s="40"/>
      <c r="Q6" s="40"/>
      <c r="R6" s="40"/>
      <c r="S6" s="40"/>
      <c r="T6" s="40"/>
    </row>
    <row r="7" spans="1:21" x14ac:dyDescent="0.3">
      <c r="A7" s="41" t="s">
        <v>16</v>
      </c>
      <c r="B7" s="40">
        <f>SUMIFS(Data!$F$2:$F$193,Data!$C$2:$C$193,Calc!$A7,Data!B7:B198,Calc!B$1)</f>
        <v>211.72869031370516</v>
      </c>
      <c r="C7" s="40">
        <f>SUMIFS(Data!$F$2:$F$193,Data!$C$2:$C$193,Calc!$A7,Data!$B$2:$B$193,Calc!C$1)</f>
        <v>1939.8837187761276</v>
      </c>
      <c r="D7" s="40">
        <f>SUMIFS(Data!$F$2:$F$193,Data!$C$2:$C$193,Calc!$A7,Data!$B$2:$B$193,Calc!D$1)</f>
        <v>1785.0985028744174</v>
      </c>
      <c r="E7" s="40">
        <f>SUMIFS(Data!$F$2:$F$193,Data!$C$2:$C$193,Calc!$A7,Data!$B$2:$B$193,Calc!E$1)</f>
        <v>672.82616609293189</v>
      </c>
      <c r="F7" s="40">
        <f t="shared" si="0"/>
        <v>4609.537078057182</v>
      </c>
      <c r="G7" s="14">
        <v>4</v>
      </c>
      <c r="H7" s="41" t="s">
        <v>16</v>
      </c>
      <c r="I7" s="40">
        <f>COUNTIFS(Data!$H$2:$H$193,1,Data!$C$2:$C$193,Calc!$H7)</f>
        <v>13</v>
      </c>
      <c r="J7" s="46">
        <f>I7/COUNTA(Data!H7:H198)</f>
        <v>6.9518716577540107E-2</v>
      </c>
      <c r="K7" s="46">
        <f t="shared" si="1"/>
        <v>0.93048128342245984</v>
      </c>
      <c r="L7" s="40"/>
      <c r="M7" s="40"/>
      <c r="N7" s="40"/>
      <c r="O7" s="40"/>
      <c r="P7" s="40"/>
      <c r="Q7" s="40"/>
      <c r="R7" s="40"/>
      <c r="S7" s="40"/>
      <c r="T7" s="40"/>
    </row>
    <row r="8" spans="1:21" x14ac:dyDescent="0.3">
      <c r="A8" s="41" t="s">
        <v>11</v>
      </c>
      <c r="B8" s="40">
        <f>SUMIFS(Data!$F$2:$F$193,Data!$C$2:$C$193,Calc!$A8,Data!B8:B199,Calc!B$1)</f>
        <v>2183.805213721907</v>
      </c>
      <c r="C8" s="40">
        <f>SUMIFS(Data!$F$2:$F$193,Data!$C$2:$C$193,Calc!$A8,Data!$B$2:$B$193,Calc!C$1)</f>
        <v>2892.3629879444898</v>
      </c>
      <c r="D8" s="40">
        <f>SUMIFS(Data!$F$2:$F$193,Data!$C$2:$C$193,Calc!$A8,Data!$B$2:$B$193,Calc!D$1)</f>
        <v>2557.9463496049734</v>
      </c>
      <c r="E8" s="40">
        <f>SUMIFS(Data!$F$2:$F$193,Data!$C$2:$C$193,Calc!$A8,Data!$B$2:$B$193,Calc!E$1)</f>
        <v>1891.2608357845904</v>
      </c>
      <c r="F8" s="40">
        <f t="shared" si="0"/>
        <v>9525.3753870559613</v>
      </c>
      <c r="H8" s="41" t="s">
        <v>11</v>
      </c>
      <c r="I8" s="40">
        <f>COUNTIFS(Data!$H$2:$H$193,1,Data!$C$2:$C$193,Calc!$H8)</f>
        <v>25</v>
      </c>
      <c r="J8" s="46">
        <f>I8/COUNTA(Data!H8:H199)</f>
        <v>0.13440860215053763</v>
      </c>
      <c r="K8" s="46">
        <f t="shared" si="1"/>
        <v>0.86559139784946237</v>
      </c>
      <c r="L8" s="40"/>
      <c r="M8" s="40"/>
      <c r="N8" s="40"/>
      <c r="O8" s="40"/>
      <c r="P8" s="40"/>
      <c r="Q8" s="40"/>
      <c r="R8" s="40"/>
      <c r="S8" s="40"/>
      <c r="T8" s="40"/>
    </row>
    <row r="9" spans="1:21" x14ac:dyDescent="0.3">
      <c r="A9" s="41" t="s">
        <v>13</v>
      </c>
      <c r="B9" s="40">
        <f>SUMIFS(Data!$F$2:$F$193,Data!$C$2:$C$193,Calc!$A9,Data!B9:B200,Calc!B$1)</f>
        <v>1095.1889421184778</v>
      </c>
      <c r="C9" s="40">
        <f>SUMIFS(Data!$F$2:$F$193,Data!$C$2:$C$193,Calc!$A9,Data!$B$2:$B$193,Calc!C$1)</f>
        <v>1161.8126637529492</v>
      </c>
      <c r="D9" s="40">
        <f>SUMIFS(Data!$F$2:$F$193,Data!$C$2:$C$193,Calc!$A9,Data!$B$2:$B$193,Calc!D$1)</f>
        <v>1052.0299422022226</v>
      </c>
      <c r="E9" s="40">
        <f>SUMIFS(Data!$F$2:$F$193,Data!$C$2:$C$193,Calc!$A9,Data!$B$2:$B$193,Calc!E$1)</f>
        <v>1247.8084264349998</v>
      </c>
      <c r="F9" s="40">
        <f t="shared" si="0"/>
        <v>4556.8399745086499</v>
      </c>
      <c r="H9" s="41" t="s">
        <v>13</v>
      </c>
      <c r="I9" s="40">
        <f>COUNTIFS(Data!$H$2:$H$193,1,Data!$C$2:$C$193,Calc!$H9)</f>
        <v>38</v>
      </c>
      <c r="J9" s="46">
        <f>I9/COUNTA(Data!H9:H200)</f>
        <v>0.20540540540540542</v>
      </c>
      <c r="K9" s="46">
        <f t="shared" si="1"/>
        <v>0.79459459459459458</v>
      </c>
      <c r="L9" s="40"/>
      <c r="M9" s="40"/>
      <c r="N9" s="40"/>
      <c r="O9" s="40"/>
      <c r="P9" s="40"/>
      <c r="Q9" s="40"/>
      <c r="R9" s="40"/>
      <c r="S9" s="40"/>
      <c r="T9" s="40"/>
    </row>
    <row r="10" spans="1:21" x14ac:dyDescent="0.3">
      <c r="A10" s="41" t="s">
        <v>14</v>
      </c>
      <c r="B10" s="40">
        <f>SUMIFS(Data!$F$2:$F$193,Data!$C$2:$C$193,Calc!$A10,Data!B10:B201,Calc!B$1)</f>
        <v>3017.0440092219073</v>
      </c>
      <c r="C10" s="40">
        <f>SUMIFS(Data!$F$2:$F$193,Data!$C$2:$C$193,Calc!$A10,Data!$B$2:$B$193,Calc!C$1)</f>
        <v>4447.7486703663999</v>
      </c>
      <c r="D10" s="40">
        <f>SUMIFS(Data!$F$2:$F$193,Data!$C$2:$C$193,Calc!$A10,Data!$B$2:$B$193,Calc!D$1)</f>
        <v>2347.1264381187889</v>
      </c>
      <c r="E10" s="40">
        <f>SUMIFS(Data!$F$2:$F$193,Data!$C$2:$C$193,Calc!$A10,Data!$B$2:$B$193,Calc!E$1)</f>
        <v>1977.662394726852</v>
      </c>
      <c r="F10" s="40">
        <f t="shared" si="0"/>
        <v>11789.581512433948</v>
      </c>
      <c r="H10" s="41" t="s">
        <v>14</v>
      </c>
      <c r="I10" s="40">
        <f>COUNTIFS(Data!$H$2:$H$193,1,Data!$C$2:$C$193,Calc!$H10)</f>
        <v>24</v>
      </c>
      <c r="J10" s="46">
        <f>I10/COUNTA(Data!H10:H201)</f>
        <v>0.13043478260869565</v>
      </c>
      <c r="K10" s="46">
        <f t="shared" si="1"/>
        <v>0.86956521739130432</v>
      </c>
      <c r="L10" s="40"/>
      <c r="M10" s="40"/>
      <c r="N10" s="40"/>
      <c r="O10" s="40"/>
      <c r="P10" s="40"/>
      <c r="Q10" s="40"/>
      <c r="R10" s="40"/>
      <c r="S10" s="40"/>
      <c r="T10" s="40"/>
    </row>
    <row r="11" spans="1:21" x14ac:dyDescent="0.3">
      <c r="A11" s="41"/>
      <c r="B11" s="42"/>
      <c r="C11" s="42"/>
      <c r="D11" s="42"/>
      <c r="E11" s="42"/>
      <c r="F11" s="42"/>
      <c r="H11" s="40"/>
      <c r="I11" s="40">
        <v>1</v>
      </c>
      <c r="J11" s="40">
        <v>2</v>
      </c>
      <c r="K11" s="40">
        <v>3</v>
      </c>
      <c r="L11" s="40">
        <v>4</v>
      </c>
      <c r="M11" s="40">
        <v>5</v>
      </c>
      <c r="N11" s="40">
        <v>6</v>
      </c>
      <c r="O11" s="40">
        <v>7</v>
      </c>
      <c r="P11" s="40">
        <v>8</v>
      </c>
      <c r="Q11" s="40">
        <v>9</v>
      </c>
      <c r="R11" s="40">
        <v>10</v>
      </c>
      <c r="S11" s="40">
        <v>11</v>
      </c>
      <c r="T11" s="40">
        <v>12</v>
      </c>
    </row>
    <row r="12" spans="1:21" x14ac:dyDescent="0.3">
      <c r="A12" s="45" t="str">
        <f>IF(Dashboard!L5=TRUE,Dashboard!M5,"")</f>
        <v>England</v>
      </c>
      <c r="B12" s="41" t="s">
        <v>8</v>
      </c>
      <c r="C12" s="42">
        <f>VLOOKUP($B12,$A$1:$F$10,$G$7+1)</f>
        <v>2317.816843023325</v>
      </c>
      <c r="D12" s="42"/>
      <c r="E12" s="42"/>
      <c r="F12" s="42"/>
      <c r="H12" s="40"/>
      <c r="I12" s="47">
        <v>41275</v>
      </c>
      <c r="J12" s="47">
        <v>41306</v>
      </c>
      <c r="K12" s="47">
        <v>41334</v>
      </c>
      <c r="L12" s="47">
        <v>41365</v>
      </c>
      <c r="M12" s="47">
        <v>41395</v>
      </c>
      <c r="N12" s="47">
        <v>41426</v>
      </c>
      <c r="O12" s="47">
        <v>41456</v>
      </c>
      <c r="P12" s="47">
        <v>41487</v>
      </c>
      <c r="Q12" s="47">
        <v>41518</v>
      </c>
      <c r="R12" s="47">
        <v>41548</v>
      </c>
      <c r="S12" s="47">
        <v>41579</v>
      </c>
      <c r="T12" s="47">
        <v>41609</v>
      </c>
    </row>
    <row r="13" spans="1:21" ht="14.25" customHeight="1" x14ac:dyDescent="0.3">
      <c r="A13" s="40" t="str">
        <f>IF(Dashboard!L6=TRUE,Dashboard!M6,"")</f>
        <v>France</v>
      </c>
      <c r="B13" s="41" t="s">
        <v>10</v>
      </c>
      <c r="C13" s="42">
        <f>VLOOKUP($B13,$A$1:$F$10,$G$7+1)</f>
        <v>1661.0362739423979</v>
      </c>
      <c r="D13" s="40"/>
      <c r="E13" s="40"/>
      <c r="F13" s="40"/>
      <c r="H13" s="41" t="s">
        <v>8</v>
      </c>
      <c r="I13" s="42">
        <f>SUMIFS(Data!$G$2:$G$193,Data!$I$2:$I$193,Calc!I$11,Data!$C$2:$C$193,Calc!$H13)</f>
        <v>23.663974908197041</v>
      </c>
      <c r="J13" s="42">
        <f>SUMIFS(Data!$G$2:$G$193,Data!$I$2:$I$193,Calc!J$11,Data!$C$2:$C$193,Calc!$H13)</f>
        <v>59.718260508052026</v>
      </c>
      <c r="K13" s="42">
        <f>SUMIFS(Data!$G$2:$G$193,Data!$I$2:$I$193,Calc!K$11,Data!$C$2:$C$193,Calc!$H13)</f>
        <v>-2.4075357273505524</v>
      </c>
      <c r="L13" s="42">
        <f>SUMIFS(Data!$G$2:$G$193,Data!$I$2:$I$193,Calc!L$11,Data!$C$2:$C$193,Calc!$H13)</f>
        <v>5.6698757571854514</v>
      </c>
      <c r="M13" s="42">
        <f>SUMIFS(Data!$G$2:$G$193,Data!$I$2:$I$193,Calc!M$11,Data!$C$2:$C$193,Calc!$H13)</f>
        <v>6.6778980303197581</v>
      </c>
      <c r="N13" s="42">
        <f>SUMIFS(Data!$G$2:$G$193,Data!$I$2:$I$193,Calc!N$11,Data!$C$2:$C$193,Calc!$H13)</f>
        <v>2.3020652896807547</v>
      </c>
      <c r="O13" s="42">
        <f>SUMIFS(Data!$G$2:$G$193,Data!$I$2:$I$193,Calc!O$11,Data!$C$2:$C$193,Calc!$H13)</f>
        <v>66.296570059402484</v>
      </c>
      <c r="P13" s="42">
        <f>SUMIFS(Data!$G$2:$G$193,Data!$I$2:$I$193,Calc!P$11,Data!$C$2:$C$193,Calc!$H13)</f>
        <v>10.506914563528682</v>
      </c>
      <c r="Q13" s="42">
        <f>SUMIFS(Data!$G$2:$G$193,Data!$I$2:$I$193,Calc!Q$11,Data!$C$2:$C$193,Calc!$H13)</f>
        <v>2.8425055725293342</v>
      </c>
      <c r="R13" s="42">
        <f>SUMIFS(Data!$G$2:$G$193,Data!$I$2:$I$193,Calc!R$11,Data!$C$2:$C$193,Calc!$H13)</f>
        <v>-2.1099935828499952</v>
      </c>
      <c r="S13" s="42">
        <f>SUMIFS(Data!$G$2:$G$193,Data!$I$2:$I$193,Calc!S$11,Data!$C$2:$C$193,Calc!$H13)</f>
        <v>40.666475470145542</v>
      </c>
      <c r="T13" s="42">
        <f>SUMIFS(Data!$G$2:$G$193,Data!$I$2:$I$193,Calc!T$11,Data!$C$2:$C$193,Calc!$H13)</f>
        <v>1.4698742246209946</v>
      </c>
      <c r="U13" s="19"/>
    </row>
    <row r="14" spans="1:21" x14ac:dyDescent="0.3">
      <c r="A14" s="40" t="str">
        <f>IF(Dashboard!L7=TRUE,Dashboard!M7,"")</f>
        <v>Germany</v>
      </c>
      <c r="B14" s="41" t="s">
        <v>9</v>
      </c>
      <c r="C14" s="42">
        <f t="shared" ref="C14:C20" si="2">VLOOKUP($B14,$A$1:$F$10,$G$7+1)</f>
        <v>1753.9095109989698</v>
      </c>
      <c r="D14" s="40"/>
      <c r="E14" s="40"/>
      <c r="F14" s="40"/>
      <c r="H14" s="41" t="s">
        <v>10</v>
      </c>
      <c r="I14" s="42">
        <f>SUMIFS(Data!$G$2:$G$193,Data!$I$2:$I$193,Calc!I$11,Data!$C$2:$C$193,Calc!$H14)</f>
        <v>17.282344798964122</v>
      </c>
      <c r="J14" s="42">
        <f>SUMIFS(Data!$G$2:$G$193,Data!$I$2:$I$193,Calc!J$11,Data!$C$2:$C$193,Calc!$H14)</f>
        <v>6.0167132901686244</v>
      </c>
      <c r="K14" s="42">
        <f>SUMIFS(Data!$G$2:$G$193,Data!$I$2:$I$193,Calc!K$11,Data!$C$2:$C$193,Calc!$H14)</f>
        <v>-184.79020201111825</v>
      </c>
      <c r="L14" s="42">
        <f>SUMIFS(Data!$G$2:$G$193,Data!$I$2:$I$193,Calc!L$11,Data!$C$2:$C$193,Calc!$H14)</f>
        <v>5.0173813105881493</v>
      </c>
      <c r="M14" s="42">
        <f>SUMIFS(Data!$G$2:$G$193,Data!$I$2:$I$193,Calc!M$11,Data!$C$2:$C$193,Calc!$H14)</f>
        <v>0.56708958769517359</v>
      </c>
      <c r="N14" s="42">
        <f>SUMIFS(Data!$G$2:$G$193,Data!$I$2:$I$193,Calc!N$11,Data!$C$2:$C$193,Calc!$H14)</f>
        <v>4.1172726780868629</v>
      </c>
      <c r="O14" s="42">
        <f>SUMIFS(Data!$G$2:$G$193,Data!$I$2:$I$193,Calc!O$11,Data!$C$2:$C$193,Calc!$H14)</f>
        <v>102.68285056211744</v>
      </c>
      <c r="P14" s="42">
        <f>SUMIFS(Data!$G$2:$G$193,Data!$I$2:$I$193,Calc!P$11,Data!$C$2:$C$193,Calc!$H14)</f>
        <v>4.1160546350038913</v>
      </c>
      <c r="Q14" s="42">
        <f>SUMIFS(Data!$G$2:$G$193,Data!$I$2:$I$193,Calc!Q$11,Data!$C$2:$C$193,Calc!$H14)</f>
        <v>4.3063943939365523E-2</v>
      </c>
      <c r="R14" s="42">
        <f>SUMIFS(Data!$G$2:$G$193,Data!$I$2:$I$193,Calc!R$11,Data!$C$2:$C$193,Calc!$H14)</f>
        <v>-4.7327949816393851</v>
      </c>
      <c r="S14" s="42">
        <f>SUMIFS(Data!$G$2:$G$193,Data!$I$2:$I$193,Calc!S$11,Data!$C$2:$C$193,Calc!$H14)</f>
        <v>23.418925689432172</v>
      </c>
      <c r="T14" s="42">
        <f>SUMIFS(Data!$G$2:$G$193,Data!$I$2:$I$193,Calc!T$11,Data!$C$2:$C$193,Calc!$H14)</f>
        <v>0.33620982613700079</v>
      </c>
    </row>
    <row r="15" spans="1:21" x14ac:dyDescent="0.3">
      <c r="A15" s="40" t="str">
        <f>IF(Dashboard!L8=TRUE,Dashboard!M8,"")</f>
        <v>Greece</v>
      </c>
      <c r="B15" s="41" t="s">
        <v>15</v>
      </c>
      <c r="C15" s="42">
        <f>VLOOKUP($B15,$A$1:$F$10,$G$7+1)</f>
        <v>1555.8686226101863</v>
      </c>
      <c r="D15" s="40"/>
      <c r="E15" s="40"/>
      <c r="F15" s="40"/>
      <c r="H15" s="41" t="s">
        <v>9</v>
      </c>
      <c r="I15" s="42">
        <f>SUMIFS(Data!$G$2:$G$193,Data!$I$2:$I$193,Calc!I$11,Data!$C$2:$C$193,Calc!$H15)</f>
        <v>2.7391244772843439</v>
      </c>
      <c r="J15" s="42">
        <f>SUMIFS(Data!$G$2:$G$193,Data!$I$2:$I$193,Calc!J$11,Data!$C$2:$C$193,Calc!$H15)</f>
        <v>10.760967272534998</v>
      </c>
      <c r="K15" s="42">
        <f>SUMIFS(Data!$G$2:$G$193,Data!$I$2:$I$193,Calc!K$11,Data!$C$2:$C$193,Calc!$H15)</f>
        <v>-300.52118707682848</v>
      </c>
      <c r="L15" s="42">
        <f>SUMIFS(Data!$G$2:$G$193,Data!$I$2:$I$193,Calc!L$11,Data!$C$2:$C$193,Calc!$H15)</f>
        <v>1.9655452106476972</v>
      </c>
      <c r="M15" s="42">
        <f>SUMIFS(Data!$G$2:$G$193,Data!$I$2:$I$193,Calc!M$11,Data!$C$2:$C$193,Calc!$H15)</f>
        <v>2.7264471892475939E-2</v>
      </c>
      <c r="N15" s="42">
        <f>SUMIFS(Data!$G$2:$G$193,Data!$I$2:$I$193,Calc!N$11,Data!$C$2:$C$193,Calc!$H15)</f>
        <v>9.242146781183056</v>
      </c>
      <c r="O15" s="42">
        <f>SUMIFS(Data!$G$2:$G$193,Data!$I$2:$I$193,Calc!O$11,Data!$C$2:$C$193,Calc!$H15)</f>
        <v>59.132787365816284</v>
      </c>
      <c r="P15" s="42">
        <f>SUMIFS(Data!$G$2:$G$193,Data!$I$2:$I$193,Calc!P$11,Data!$C$2:$C$193,Calc!$H15)</f>
        <v>0.94148056345560605</v>
      </c>
      <c r="Q15" s="42">
        <f>SUMIFS(Data!$G$2:$G$193,Data!$I$2:$I$193,Calc!Q$11,Data!$C$2:$C$193,Calc!$H15)</f>
        <v>21.513959711694923</v>
      </c>
      <c r="R15" s="42">
        <f>SUMIFS(Data!$G$2:$G$193,Data!$I$2:$I$193,Calc!R$11,Data!$C$2:$C$193,Calc!$H15)</f>
        <v>-3.4564689597928133</v>
      </c>
      <c r="S15" s="42">
        <f>SUMIFS(Data!$G$2:$G$193,Data!$I$2:$I$193,Calc!S$11,Data!$C$2:$C$193,Calc!$H15)</f>
        <v>2.3594954079092645</v>
      </c>
      <c r="T15" s="42">
        <f>SUMIFS(Data!$G$2:$G$193,Data!$I$2:$I$193,Calc!T$11,Data!$C$2:$C$193,Calc!$H15)</f>
        <v>25.805756892484624</v>
      </c>
    </row>
    <row r="16" spans="1:21" x14ac:dyDescent="0.3">
      <c r="A16" s="40" t="str">
        <f>IF(Dashboard!L9=TRUE,Dashboard!M9,"")</f>
        <v>Italy</v>
      </c>
      <c r="B16" s="41" t="s">
        <v>12</v>
      </c>
      <c r="C16" s="42">
        <f>VLOOKUP($B16,$A$1:$F$10,$G$7+1)</f>
        <v>2338.7251686889495</v>
      </c>
      <c r="D16" s="40"/>
      <c r="E16" s="40"/>
      <c r="F16" s="40"/>
      <c r="H16" s="41" t="s">
        <v>15</v>
      </c>
      <c r="I16" s="42">
        <f>SUMIFS(Data!$G$2:$G$193,Data!$I$2:$I$193,Calc!I$11,Data!$C$2:$C$193,Calc!$H16)</f>
        <v>10.549967914249976</v>
      </c>
      <c r="J16" s="42">
        <f>SUMIFS(Data!$G$2:$G$193,Data!$I$2:$I$193,Calc!J$11,Data!$C$2:$C$193,Calc!$H16)</f>
        <v>103.69951244887125</v>
      </c>
      <c r="K16" s="42">
        <f>SUMIFS(Data!$G$2:$G$193,Data!$I$2:$I$193,Calc!K$11,Data!$C$2:$C$193,Calc!$H16)</f>
        <v>-10.525494603018416</v>
      </c>
      <c r="L16" s="42">
        <f>SUMIFS(Data!$G$2:$G$193,Data!$I$2:$I$193,Calc!L$11,Data!$C$2:$C$193,Calc!$H16)</f>
        <v>3.8949245560680135E-2</v>
      </c>
      <c r="M16" s="42">
        <f>SUMIFS(Data!$G$2:$G$193,Data!$I$2:$I$193,Calc!M$11,Data!$C$2:$C$193,Calc!$H16)</f>
        <v>9.1437599045273643</v>
      </c>
      <c r="N16" s="42">
        <f>SUMIFS(Data!$G$2:$G$193,Data!$I$2:$I$193,Calc!N$11,Data!$C$2:$C$193,Calc!$H16)</f>
        <v>22.848909038151305</v>
      </c>
      <c r="O16" s="42">
        <f>SUMIFS(Data!$G$2:$G$193,Data!$I$2:$I$193,Calc!O$11,Data!$C$2:$C$193,Calc!$H16)</f>
        <v>0.86374363619780326</v>
      </c>
      <c r="P16" s="42">
        <f>SUMIFS(Data!$G$2:$G$193,Data!$I$2:$I$193,Calc!P$11,Data!$C$2:$C$193,Calc!$H16)</f>
        <v>11.873305311847361</v>
      </c>
      <c r="Q16" s="42">
        <f>SUMIFS(Data!$G$2:$G$193,Data!$I$2:$I$193,Calc!Q$11,Data!$C$2:$C$193,Calc!$H16)</f>
        <v>33.259057890137271</v>
      </c>
      <c r="R16" s="42">
        <f>SUMIFS(Data!$G$2:$G$193,Data!$I$2:$I$193,Calc!R$11,Data!$C$2:$C$193,Calc!$H16)</f>
        <v>-1.1797477039546322</v>
      </c>
      <c r="S16" s="42">
        <f>SUMIFS(Data!$G$2:$G$193,Data!$I$2:$I$193,Calc!S$11,Data!$C$2:$C$193,Calc!$H16)</f>
        <v>25.005778428817393</v>
      </c>
      <c r="T16" s="42">
        <f>SUMIFS(Data!$G$2:$G$193,Data!$I$2:$I$193,Calc!T$11,Data!$C$2:$C$193,Calc!$H16)</f>
        <v>3.7520986154769957</v>
      </c>
    </row>
    <row r="17" spans="1:20" x14ac:dyDescent="0.3">
      <c r="A17" s="40" t="str">
        <f>IF(Dashboard!L10=TRUE,Dashboard!M10,"")</f>
        <v>Norway</v>
      </c>
      <c r="B17" s="41" t="s">
        <v>16</v>
      </c>
      <c r="C17" s="42">
        <f t="shared" si="2"/>
        <v>672.82616609293189</v>
      </c>
      <c r="D17" s="40"/>
      <c r="E17" s="40"/>
      <c r="F17" s="40"/>
      <c r="H17" s="41" t="s">
        <v>12</v>
      </c>
      <c r="I17" s="42">
        <f>SUMIFS(Data!$G$2:$G$193,Data!$I$2:$I$193,Calc!I$11,Data!$C$2:$C$193,Calc!$H17)</f>
        <v>7.0560227465000125E-2</v>
      </c>
      <c r="J17" s="42">
        <f>SUMIFS(Data!$G$2:$G$193,Data!$I$2:$I$193,Calc!J$11,Data!$C$2:$C$193,Calc!$H17)</f>
        <v>24.137254406360981</v>
      </c>
      <c r="K17" s="42">
        <f>SUMIFS(Data!$G$2:$G$193,Data!$I$2:$I$193,Calc!K$11,Data!$C$2:$C$193,Calc!$H17)</f>
        <v>-173.06351895233479</v>
      </c>
      <c r="L17" s="42">
        <f>SUMIFS(Data!$G$2:$G$193,Data!$I$2:$I$193,Calc!L$11,Data!$C$2:$C$193,Calc!$H17)</f>
        <v>0.44958650370691977</v>
      </c>
      <c r="M17" s="42">
        <f>SUMIFS(Data!$G$2:$G$193,Data!$I$2:$I$193,Calc!M$11,Data!$C$2:$C$193,Calc!$H17)</f>
        <v>3.9689130300298245</v>
      </c>
      <c r="N17" s="42">
        <f>SUMIFS(Data!$G$2:$G$193,Data!$I$2:$I$193,Calc!N$11,Data!$C$2:$C$193,Calc!$H17)</f>
        <v>6.7522808765474363</v>
      </c>
      <c r="O17" s="42">
        <f>SUMIFS(Data!$G$2:$G$193,Data!$I$2:$I$193,Calc!O$11,Data!$C$2:$C$193,Calc!$H17)</f>
        <v>5.9577259049708999</v>
      </c>
      <c r="P17" s="42">
        <f>SUMIFS(Data!$G$2:$G$193,Data!$I$2:$I$193,Calc!P$11,Data!$C$2:$C$193,Calc!$H17)</f>
        <v>72.263261364748587</v>
      </c>
      <c r="Q17" s="42">
        <f>SUMIFS(Data!$G$2:$G$193,Data!$I$2:$I$193,Calc!Q$11,Data!$C$2:$C$193,Calc!$H17)</f>
        <v>19.038113707766371</v>
      </c>
      <c r="R17" s="42">
        <f>SUMIFS(Data!$G$2:$G$193,Data!$I$2:$I$193,Calc!R$11,Data!$C$2:$C$193,Calc!$H17)</f>
        <v>-0.29352463131220174</v>
      </c>
      <c r="S17" s="42">
        <f>SUMIFS(Data!$G$2:$G$193,Data!$I$2:$I$193,Calc!S$11,Data!$C$2:$C$193,Calc!$H17)</f>
        <v>4.2199871656999903</v>
      </c>
      <c r="T17" s="42">
        <f>SUMIFS(Data!$G$2:$G$193,Data!$I$2:$I$193,Calc!T$11,Data!$C$2:$C$193,Calc!$H17)</f>
        <v>41.967466945454817</v>
      </c>
    </row>
    <row r="18" spans="1:20" x14ac:dyDescent="0.3">
      <c r="A18" s="40" t="str">
        <f>IF(Dashboard!L11=TRUE,Dashboard!M11,"")</f>
        <v>Spain</v>
      </c>
      <c r="B18" s="41" t="s">
        <v>11</v>
      </c>
      <c r="C18" s="42">
        <f t="shared" si="2"/>
        <v>1891.2608357845904</v>
      </c>
      <c r="D18" s="40"/>
      <c r="E18" s="40"/>
      <c r="F18" s="40"/>
      <c r="H18" s="41" t="s">
        <v>16</v>
      </c>
      <c r="I18" s="42">
        <f>SUMIFS(Data!$G$2:$G$193,Data!$I$2:$I$193,Calc!I$11,Data!$C$2:$C$193,Calc!$H18)</f>
        <v>9.0894588959930331</v>
      </c>
      <c r="J18" s="42">
        <f>SUMIFS(Data!$G$2:$G$193,Data!$I$2:$I$193,Calc!J$11,Data!$C$2:$C$193,Calc!$H18)</f>
        <v>1.4969756196922281</v>
      </c>
      <c r="K18" s="42">
        <f>SUMIFS(Data!$G$2:$G$193,Data!$I$2:$I$193,Calc!K$11,Data!$C$2:$C$193,Calc!$H18)</f>
        <v>-31.185283155806388</v>
      </c>
      <c r="L18" s="42">
        <f>SUMIFS(Data!$G$2:$G$193,Data!$I$2:$I$193,Calc!L$11,Data!$C$2:$C$193,Calc!$H18)</f>
        <v>56.119736148800939</v>
      </c>
      <c r="M18" s="42">
        <f>SUMIFS(Data!$G$2:$G$193,Data!$I$2:$I$193,Calc!M$11,Data!$C$2:$C$193,Calc!$H18)</f>
        <v>1.375881647453383</v>
      </c>
      <c r="N18" s="42">
        <f>SUMIFS(Data!$G$2:$G$193,Data!$I$2:$I$193,Calc!N$11,Data!$C$2:$C$193,Calc!$H18)</f>
        <v>8.6352955353000138E-3</v>
      </c>
      <c r="O18" s="42">
        <f>SUMIFS(Data!$G$2:$G$193,Data!$I$2:$I$193,Calc!O$11,Data!$C$2:$C$193,Calc!$H18)</f>
        <v>23.912416463820858</v>
      </c>
      <c r="P18" s="42">
        <f>SUMIFS(Data!$G$2:$G$193,Data!$I$2:$I$193,Calc!P$11,Data!$C$2:$C$193,Calc!$H18)</f>
        <v>64.454738228739643</v>
      </c>
      <c r="Q18" s="42">
        <f>SUMIFS(Data!$G$2:$G$193,Data!$I$2:$I$193,Calc!Q$11,Data!$C$2:$C$193,Calc!$H18)</f>
        <v>1.7059255514399219</v>
      </c>
      <c r="R18" s="42">
        <f>SUMIFS(Data!$G$2:$G$193,Data!$I$2:$I$193,Calc!R$11,Data!$C$2:$C$193,Calc!$H18)</f>
        <v>-2.0543028105744554</v>
      </c>
      <c r="S18" s="42">
        <f>SUMIFS(Data!$G$2:$G$193,Data!$I$2:$I$193,Calc!S$11,Data!$C$2:$C$193,Calc!$H18)</f>
        <v>6.9129379195856258</v>
      </c>
      <c r="T18" s="42">
        <f>SUMIFS(Data!$G$2:$G$193,Data!$I$2:$I$193,Calc!T$11,Data!$C$2:$C$193,Calc!$H18)</f>
        <v>2.4349797811241132</v>
      </c>
    </row>
    <row r="19" spans="1:20" x14ac:dyDescent="0.3">
      <c r="A19" s="40" t="str">
        <f>IF(Dashboard!L12=TRUE,Dashboard!M12,"")</f>
        <v>Sweeden</v>
      </c>
      <c r="B19" s="41" t="s">
        <v>13</v>
      </c>
      <c r="C19" s="42">
        <f>VLOOKUP($B19,$A$1:$F$10,$G$7+1)</f>
        <v>1247.8084264349998</v>
      </c>
      <c r="D19" s="40"/>
      <c r="E19" s="40"/>
      <c r="F19" s="40"/>
      <c r="H19" s="41" t="s">
        <v>11</v>
      </c>
      <c r="I19" s="42">
        <f>SUMIFS(Data!$G$2:$G$193,Data!$I$2:$I$193,Calc!I$11,Data!$C$2:$C$193,Calc!$H19)</f>
        <v>105.22695898450823</v>
      </c>
      <c r="J19" s="42">
        <f>SUMIFS(Data!$G$2:$G$193,Data!$I$2:$I$193,Calc!J$11,Data!$C$2:$C$193,Calc!$H19)</f>
        <v>3.7039571473415611</v>
      </c>
      <c r="K19" s="42">
        <f>SUMIFS(Data!$G$2:$G$193,Data!$I$2:$I$193,Calc!K$11,Data!$C$2:$C$193,Calc!$H19)</f>
        <v>-70.010538479611654</v>
      </c>
      <c r="L19" s="42">
        <f>SUMIFS(Data!$G$2:$G$193,Data!$I$2:$I$193,Calc!L$11,Data!$C$2:$C$193,Calc!$H19)</f>
        <v>45.380631600741125</v>
      </c>
      <c r="M19" s="42">
        <f>SUMIFS(Data!$G$2:$G$193,Data!$I$2:$I$193,Calc!M$11,Data!$C$2:$C$193,Calc!$H19)</f>
        <v>22.937392768586363</v>
      </c>
      <c r="N19" s="42">
        <f>SUMIFS(Data!$G$2:$G$193,Data!$I$2:$I$193,Calc!N$11,Data!$C$2:$C$193,Calc!$H19)</f>
        <v>4.6561125898094318</v>
      </c>
      <c r="O19" s="42">
        <f>SUMIFS(Data!$G$2:$G$193,Data!$I$2:$I$193,Calc!O$11,Data!$C$2:$C$193,Calc!$H19)</f>
        <v>28.36102237961812</v>
      </c>
      <c r="P19" s="42">
        <f>SUMIFS(Data!$G$2:$G$193,Data!$I$2:$I$193,Calc!P$11,Data!$C$2:$C$193,Calc!$H19)</f>
        <v>25.496810362329882</v>
      </c>
      <c r="Q19" s="42">
        <f>SUMIFS(Data!$G$2:$G$193,Data!$I$2:$I$193,Calc!Q$11,Data!$C$2:$C$193,Calc!$H19)</f>
        <v>142.27309397988992</v>
      </c>
      <c r="R19" s="42">
        <f>SUMIFS(Data!$G$2:$G$193,Data!$I$2:$I$193,Calc!R$11,Data!$C$2:$C$193,Calc!$H19)</f>
        <v>-14.320780993607315</v>
      </c>
      <c r="S19" s="42">
        <f>SUMIFS(Data!$G$2:$G$193,Data!$I$2:$I$193,Calc!S$11,Data!$C$2:$C$193,Calc!$H19)</f>
        <v>4.2228328210216111</v>
      </c>
      <c r="T19" s="42">
        <f>SUMIFS(Data!$G$2:$G$193,Data!$I$2:$I$193,Calc!T$11,Data!$C$2:$C$193,Calc!$H19)</f>
        <v>4.9608219074555189</v>
      </c>
    </row>
    <row r="20" spans="1:20" x14ac:dyDescent="0.3">
      <c r="A20" s="40" t="str">
        <f>IF(Dashboard!L13=TRUE,Dashboard!M13,"")</f>
        <v>Switzerland</v>
      </c>
      <c r="B20" s="41" t="s">
        <v>14</v>
      </c>
      <c r="C20" s="42">
        <f t="shared" si="2"/>
        <v>1977.662394726852</v>
      </c>
      <c r="D20" s="40"/>
      <c r="E20" s="40"/>
      <c r="F20" s="40"/>
      <c r="H20" s="41" t="s">
        <v>13</v>
      </c>
      <c r="I20" s="42">
        <f>SUMIFS(Data!$G$2:$G$193,Data!$I$2:$I$193,Calc!I$11,Data!$C$2:$C$193,Calc!$H20)</f>
        <v>12.085982356689103</v>
      </c>
      <c r="J20" s="42">
        <f>SUMIFS(Data!$G$2:$G$193,Data!$I$2:$I$193,Calc!J$11,Data!$C$2:$C$193,Calc!$H20)</f>
        <v>28.935693698766276</v>
      </c>
      <c r="K20" s="42">
        <f>SUMIFS(Data!$G$2:$G$193,Data!$I$2:$I$193,Calc!K$11,Data!$C$2:$C$193,Calc!$H20)</f>
        <v>-98.88453972658283</v>
      </c>
      <c r="L20" s="42">
        <f>SUMIFS(Data!$G$2:$G$193,Data!$I$2:$I$193,Calc!L$11,Data!$C$2:$C$193,Calc!$H20)</f>
        <v>42.795957991942991</v>
      </c>
      <c r="M20" s="42">
        <f>SUMIFS(Data!$G$2:$G$193,Data!$I$2:$I$193,Calc!M$11,Data!$C$2:$C$193,Calc!$H20)</f>
        <v>17.791439481452073</v>
      </c>
      <c r="N20" s="42">
        <f>SUMIFS(Data!$G$2:$G$193,Data!$I$2:$I$193,Calc!N$11,Data!$C$2:$C$193,Calc!$H20)</f>
        <v>19.394175132311631</v>
      </c>
      <c r="O20" s="42">
        <f>SUMIFS(Data!$G$2:$G$193,Data!$I$2:$I$193,Calc!O$11,Data!$C$2:$C$193,Calc!$H20)</f>
        <v>21.783662776761261</v>
      </c>
      <c r="P20" s="42">
        <f>SUMIFS(Data!$G$2:$G$193,Data!$I$2:$I$193,Calc!P$11,Data!$C$2:$C$193,Calc!$H20)</f>
        <v>13.386626782132545</v>
      </c>
      <c r="Q20" s="42">
        <f>SUMIFS(Data!$G$2:$G$193,Data!$I$2:$I$193,Calc!Q$11,Data!$C$2:$C$193,Calc!$H20)</f>
        <v>43.730778454695738</v>
      </c>
      <c r="R20" s="42">
        <f>SUMIFS(Data!$G$2:$G$193,Data!$I$2:$I$193,Calc!R$11,Data!$C$2:$C$193,Calc!$H20)</f>
        <v>0.70804201633588337</v>
      </c>
      <c r="S20" s="42">
        <f>SUMIFS(Data!$G$2:$G$193,Data!$I$2:$I$193,Calc!S$11,Data!$C$2:$C$193,Calc!$H20)</f>
        <v>10.898122177922581</v>
      </c>
      <c r="T20" s="42">
        <f>SUMIFS(Data!$G$2:$G$193,Data!$I$2:$I$193,Calc!T$11,Data!$C$2:$C$193,Calc!$H20)</f>
        <v>11.20120601247592</v>
      </c>
    </row>
    <row r="21" spans="1:20" x14ac:dyDescent="0.3">
      <c r="H21" s="41" t="s">
        <v>14</v>
      </c>
      <c r="I21" s="42">
        <f>SUMIFS(Data!$G$2:$G$193,Data!$I$2:$I$193,Calc!I$11,Data!$C$2:$C$193,Calc!$H21)</f>
        <v>68.413184591816872</v>
      </c>
      <c r="J21" s="42">
        <f>SUMIFS(Data!$G$2:$G$193,Data!$I$2:$I$193,Calc!J$11,Data!$C$2:$C$193,Calc!$H21)</f>
        <v>73.035983067397467</v>
      </c>
      <c r="K21" s="42">
        <f>SUMIFS(Data!$G$2:$G$193,Data!$I$2:$I$193,Calc!K$11,Data!$C$2:$C$193,Calc!$H21)</f>
        <v>-31.206312264067666</v>
      </c>
      <c r="L21" s="42">
        <f>SUMIFS(Data!$G$2:$G$193,Data!$I$2:$I$193,Calc!L$11,Data!$C$2:$C$193,Calc!$H21)</f>
        <v>6.6337102710876659</v>
      </c>
      <c r="M21" s="42">
        <f>SUMIFS(Data!$G$2:$G$193,Data!$I$2:$I$193,Calc!M$11,Data!$C$2:$C$193,Calc!$H21)</f>
        <v>43.360322906226685</v>
      </c>
      <c r="N21" s="42">
        <f>SUMIFS(Data!$G$2:$G$193,Data!$I$2:$I$193,Calc!N$11,Data!$C$2:$C$193,Calc!$H21)</f>
        <v>41.172176987042931</v>
      </c>
      <c r="O21" s="42">
        <f>SUMIFS(Data!$G$2:$G$193,Data!$I$2:$I$193,Calc!O$11,Data!$C$2:$C$193,Calc!$H21)</f>
        <v>3.7980010340742423</v>
      </c>
      <c r="P21" s="42">
        <f>SUMIFS(Data!$G$2:$G$193,Data!$I$2:$I$193,Calc!P$11,Data!$C$2:$C$193,Calc!$H21)</f>
        <v>26.054193216795856</v>
      </c>
      <c r="Q21" s="42">
        <f>SUMIFS(Data!$G$2:$G$193,Data!$I$2:$I$193,Calc!Q$11,Data!$C$2:$C$193,Calc!$H21)</f>
        <v>168.14653723620336</v>
      </c>
      <c r="R21" s="42">
        <f>SUMIFS(Data!$G$2:$G$193,Data!$I$2:$I$193,Calc!R$11,Data!$C$2:$C$193,Calc!$H21)</f>
        <v>-11.872356505479349</v>
      </c>
      <c r="S21" s="42">
        <f>SUMIFS(Data!$G$2:$G$193,Data!$I$2:$I$193,Calc!S$11,Data!$C$2:$C$193,Calc!$H21)</f>
        <v>4.4343929426756361</v>
      </c>
      <c r="T21" s="42">
        <f>SUMIFS(Data!$G$2:$G$193,Data!$I$2:$I$193,Calc!T$11,Data!$C$2:$C$193,Calc!$H21)</f>
        <v>11.374141940902529</v>
      </c>
    </row>
    <row r="22" spans="1:20" x14ac:dyDescent="0.3">
      <c r="A22" s="43" t="s">
        <v>55</v>
      </c>
      <c r="B22" s="43" t="s">
        <v>0</v>
      </c>
      <c r="C22" s="43" t="s">
        <v>1</v>
      </c>
      <c r="D22" s="43" t="s">
        <v>2</v>
      </c>
      <c r="E22" s="43" t="s">
        <v>3</v>
      </c>
      <c r="F22" s="43" t="s">
        <v>52</v>
      </c>
      <c r="H22" s="40"/>
      <c r="I22" s="40"/>
      <c r="J22" s="40"/>
      <c r="K22" s="40"/>
      <c r="L22" s="40"/>
      <c r="M22" s="40"/>
      <c r="N22" s="40"/>
      <c r="O22" s="40"/>
      <c r="P22" s="40"/>
      <c r="Q22" s="40"/>
      <c r="R22" s="40"/>
      <c r="S22" s="40"/>
      <c r="T22" s="40"/>
    </row>
    <row r="23" spans="1:20" x14ac:dyDescent="0.3">
      <c r="A23" s="44" t="s">
        <v>8</v>
      </c>
      <c r="B23" s="43">
        <f>SUMIFS(Data!$G$2:$G$193,Data!$C$2:$C$193,Calc!$A23,Data!$B$2:$B$193,Calc!B$22)</f>
        <v>80.974699688898525</v>
      </c>
      <c r="C23" s="43">
        <f>SUMIFS(Data!$G$2:$G$193,Data!$C$2:$C$193,Calc!$A23,Data!$B$2:$B$193,Calc!C$22)</f>
        <v>14.649839077185964</v>
      </c>
      <c r="D23" s="43">
        <f>SUMIFS(Data!$G$2:$G$193,Data!$C$2:$C$193,Calc!$A23,Data!$B$2:$B$193,Calc!D$22)</f>
        <v>79.645990195460499</v>
      </c>
      <c r="E23" s="43">
        <f>SUMIFS(Data!$G$2:$G$193,Data!$C$2:$C$193,Calc!$A23,Data!$B$2:$B$193,Calc!E$22)</f>
        <v>40.026356111916542</v>
      </c>
      <c r="F23" s="43">
        <f>SUM(B23:E23)</f>
        <v>215.29688507346151</v>
      </c>
      <c r="H23" s="15"/>
      <c r="I23" s="15" t="s">
        <v>8</v>
      </c>
      <c r="J23" s="15" t="s">
        <v>10</v>
      </c>
      <c r="K23" s="15" t="s">
        <v>9</v>
      </c>
      <c r="L23" s="15" t="s">
        <v>15</v>
      </c>
      <c r="M23" s="15" t="s">
        <v>12</v>
      </c>
      <c r="N23" s="15" t="s">
        <v>16</v>
      </c>
      <c r="O23" s="15" t="s">
        <v>11</v>
      </c>
      <c r="P23" s="15" t="s">
        <v>13</v>
      </c>
      <c r="Q23" s="15" t="s">
        <v>14</v>
      </c>
    </row>
    <row r="24" spans="1:20" x14ac:dyDescent="0.3">
      <c r="A24" s="44" t="s">
        <v>10</v>
      </c>
      <c r="B24" s="43">
        <f>SUMIFS(Data!$G$2:$G$193,Data!$C$2:$C$193,Calc!$A24,Data!$B$2:$B$193,Calc!B$22)</f>
        <v>-161.4911439219855</v>
      </c>
      <c r="C24" s="43">
        <f>SUMIFS(Data!$G$2:$G$193,Data!$C$2:$C$193,Calc!$A24,Data!$B$2:$B$193,Calc!C$22)</f>
        <v>9.7017435763701858</v>
      </c>
      <c r="D24" s="43">
        <f>SUMIFS(Data!$G$2:$G$193,Data!$C$2:$C$193,Calc!$A24,Data!$B$2:$B$193,Calc!D$22)</f>
        <v>106.84196914106069</v>
      </c>
      <c r="E24" s="43">
        <f>SUMIFS(Data!$G$2:$G$193,Data!$C$2:$C$193,Calc!$A24,Data!$B$2:$B$193,Calc!E$22)</f>
        <v>19.022340533929786</v>
      </c>
      <c r="F24" s="43">
        <f t="shared" ref="F24:F31" si="3">SUM(B24:E24)</f>
        <v>-25.925090670624847</v>
      </c>
      <c r="G24" s="14">
        <f>MATCH(G27,I23:Q23,0)</f>
        <v>1</v>
      </c>
      <c r="H24" s="18">
        <v>41275</v>
      </c>
      <c r="I24" s="14">
        <f>IFERROR(VLOOKUP($H24,$H$37:$Q$49,MATCH($A$12,$I$23:$Q$23,0)+1),"0")</f>
        <v>23.663974908197041</v>
      </c>
      <c r="J24" s="14">
        <f>IFERROR(VLOOKUP($H24,$H$37:$Q$49,MATCH($A$13,$I$23:$Q$23,0)+1),"0")</f>
        <v>17.282344798964122</v>
      </c>
      <c r="K24" s="14">
        <f>IFERROR(VLOOKUP($H24,$H$37:$Q$49,MATCH($A$14,$I$23:$Q$23,0)+1),"0")</f>
        <v>2.7391244772843439</v>
      </c>
      <c r="L24" s="14">
        <f>IFERROR(VLOOKUP($H24,$H$37:$Q$49,MATCH($A$15,$I$23:$Q$23,0)+1),0)</f>
        <v>10.549967914249976</v>
      </c>
      <c r="M24" s="14">
        <f>IFERROR(VLOOKUP($H24,$H$37:$Q$49,MATCH($A$16,$I$23:$Q$23,0)+1),0)</f>
        <v>7.0560227465000125E-2</v>
      </c>
      <c r="N24" s="14">
        <f>IFERROR(VLOOKUP($H24,$H$37:$Q$49,MATCH($A$17,$I$23:$Q$23,0)+1),0)</f>
        <v>9.0894588959930331</v>
      </c>
      <c r="O24" s="14">
        <f>IFERROR(VLOOKUP($H24,$H$37:$Q$49,MATCH($A$18,$I$23:$Q$23,0)+1),0)</f>
        <v>105.22695898450823</v>
      </c>
      <c r="P24" s="14">
        <f>IFERROR(VLOOKUP($H24,$H$37:$Q$49,MATCH($A$19,$I$23:$Q$23,0)+1),0)</f>
        <v>12.085982356689103</v>
      </c>
      <c r="Q24" s="14">
        <f>IFERROR(VLOOKUP($H24,$H$37:$Q$49,MATCH($A$20,$I$23:$Q$23,0)+1),0)</f>
        <v>68.413184591816872</v>
      </c>
    </row>
    <row r="25" spans="1:20" x14ac:dyDescent="0.3">
      <c r="A25" s="44" t="s">
        <v>9</v>
      </c>
      <c r="B25" s="43">
        <f>SUMIFS(Data!$G$2:$G$193,Data!$C$2:$C$193,Calc!$A25,Data!$B$2:$B$193,Calc!B$22)</f>
        <v>-287.02109532700916</v>
      </c>
      <c r="C25" s="43">
        <f>SUMIFS(Data!$G$2:$G$193,Data!$C$2:$C$193,Calc!$A25,Data!$B$2:$B$193,Calc!C$22)</f>
        <v>11.234956463723229</v>
      </c>
      <c r="D25" s="43">
        <f>SUMIFS(Data!$G$2:$G$193,Data!$C$2:$C$193,Calc!$A25,Data!$B$2:$B$193,Calc!D$22)</f>
        <v>81.588227640966807</v>
      </c>
      <c r="E25" s="43">
        <f>SUMIFS(Data!$G$2:$G$193,Data!$C$2:$C$193,Calc!$A25,Data!$B$2:$B$193,Calc!E$22)</f>
        <v>24.708783340601073</v>
      </c>
      <c r="F25" s="43">
        <f t="shared" si="3"/>
        <v>-169.48912788171805</v>
      </c>
      <c r="H25" s="18">
        <v>41306</v>
      </c>
      <c r="I25" s="14">
        <f t="shared" ref="I25:I35" si="4">IFERROR(VLOOKUP($H25,$H$37:$Q$49,MATCH($A$12,$I$23:$Q$23,0)+1),"0")</f>
        <v>59.718260508052026</v>
      </c>
      <c r="J25" s="14">
        <f t="shared" ref="J25:J35" si="5">IFERROR(VLOOKUP($H25,$H$37:$Q$49,MATCH($A$13,$I$23:$Q$23,0)+1),"0")</f>
        <v>6.0167132901686244</v>
      </c>
      <c r="K25" s="14">
        <f t="shared" ref="K25:K35" si="6">IFERROR(VLOOKUP($H25,$H$37:$Q$49,MATCH($A$14,$I$23:$Q$23,0)+1),"0")</f>
        <v>10.760967272534998</v>
      </c>
      <c r="L25" s="14">
        <f t="shared" ref="L25:L35" si="7">IFERROR(VLOOKUP($H25,$H$37:$Q$49,MATCH($A$15,$I$23:$Q$23,0)+1),0)</f>
        <v>103.69951244887125</v>
      </c>
      <c r="M25" s="14">
        <f t="shared" ref="M25:M35" si="8">IFERROR(VLOOKUP($H25,$H$37:$Q$49,MATCH($A$16,$I$23:$Q$23,0)+1),0)</f>
        <v>24.137254406360981</v>
      </c>
      <c r="N25" s="14">
        <f t="shared" ref="N25:N35" si="9">IFERROR(VLOOKUP($H25,$H$37:$Q$49,MATCH($A$17,$I$23:$Q$23,0)+1),0)</f>
        <v>1.4969756196922281</v>
      </c>
      <c r="O25" s="14">
        <f t="shared" ref="O25:O35" si="10">IFERROR(VLOOKUP($H25,$H$37:$Q$49,MATCH($A$18,$I$23:$Q$23,0)+1),0)</f>
        <v>3.7039571473415611</v>
      </c>
      <c r="P25" s="14">
        <f t="shared" ref="P25:P35" si="11">IFERROR(VLOOKUP($H25,$H$37:$Q$49,MATCH($A$19,$I$23:$Q$23,0)+1),0)</f>
        <v>28.935693698766276</v>
      </c>
      <c r="Q25" s="14">
        <f t="shared" ref="Q25:Q35" si="12">IFERROR(VLOOKUP($H25,$H$37:$Q$49,MATCH($A$20,$I$23:$Q$23,0)+1),0)</f>
        <v>73.035983067397467</v>
      </c>
    </row>
    <row r="26" spans="1:20" x14ac:dyDescent="0.3">
      <c r="A26" s="44" t="s">
        <v>15</v>
      </c>
      <c r="B26" s="43">
        <f>SUMIFS(Data!$G$2:$G$193,Data!$C$2:$C$193,Calc!$A26,Data!$B$2:$B$193,Calc!B$22)</f>
        <v>103.72398576010281</v>
      </c>
      <c r="C26" s="43">
        <f>SUMIFS(Data!$G$2:$G$193,Data!$C$2:$C$193,Calc!$A26,Data!$B$2:$B$193,Calc!C$22)</f>
        <v>32.031618188239349</v>
      </c>
      <c r="D26" s="43">
        <f>SUMIFS(Data!$G$2:$G$193,Data!$C$2:$C$193,Calc!$A26,Data!$B$2:$B$193,Calc!D$22)</f>
        <v>45.996106838182435</v>
      </c>
      <c r="E26" s="43">
        <f>SUMIFS(Data!$G$2:$G$193,Data!$C$2:$C$193,Calc!$A26,Data!$B$2:$B$193,Calc!E$22)</f>
        <v>27.578129340339757</v>
      </c>
      <c r="F26" s="43">
        <f t="shared" si="3"/>
        <v>209.32984012686435</v>
      </c>
      <c r="H26" s="18">
        <v>41334</v>
      </c>
      <c r="I26" s="14">
        <f t="shared" si="4"/>
        <v>-2.4075357273505524</v>
      </c>
      <c r="J26" s="14">
        <f t="shared" si="5"/>
        <v>-184.79020201111825</v>
      </c>
      <c r="K26" s="14">
        <f t="shared" si="6"/>
        <v>-300.52118707682848</v>
      </c>
      <c r="L26" s="14">
        <f t="shared" si="7"/>
        <v>-10.525494603018416</v>
      </c>
      <c r="M26" s="14">
        <f t="shared" si="8"/>
        <v>-173.06351895233479</v>
      </c>
      <c r="N26" s="14">
        <f t="shared" si="9"/>
        <v>-31.185283155806388</v>
      </c>
      <c r="O26" s="14">
        <f t="shared" si="10"/>
        <v>-70.010538479611654</v>
      </c>
      <c r="P26" s="14">
        <f t="shared" si="11"/>
        <v>-98.88453972658283</v>
      </c>
      <c r="Q26" s="14">
        <f t="shared" si="12"/>
        <v>-31.206312264067666</v>
      </c>
    </row>
    <row r="27" spans="1:20" x14ac:dyDescent="0.3">
      <c r="A27" s="44" t="s">
        <v>12</v>
      </c>
      <c r="B27" s="43">
        <f>SUMIFS(Data!$G$2:$G$193,Data!$C$2:$C$193,Calc!$A27,Data!$B$2:$B$193,Calc!B$22)</f>
        <v>-148.8557043185088</v>
      </c>
      <c r="C27" s="43">
        <f>SUMIFS(Data!$G$2:$G$193,Data!$C$2:$C$193,Calc!$A27,Data!$B$2:$B$193,Calc!C$22)</f>
        <v>11.170780410284181</v>
      </c>
      <c r="D27" s="43">
        <f>SUMIFS(Data!$G$2:$G$193,Data!$C$2:$C$193,Calc!$A27,Data!$B$2:$B$193,Calc!D$22)</f>
        <v>97.259100977485858</v>
      </c>
      <c r="E27" s="43">
        <f>SUMIFS(Data!$G$2:$G$193,Data!$C$2:$C$193,Calc!$A27,Data!$B$2:$B$193,Calc!E$22)</f>
        <v>45.893929479842605</v>
      </c>
      <c r="F27" s="43">
        <f t="shared" si="3"/>
        <v>5.4681065491038439</v>
      </c>
      <c r="G27" s="14" t="s">
        <v>8</v>
      </c>
      <c r="H27" s="18">
        <v>41365</v>
      </c>
      <c r="I27" s="14">
        <f t="shared" si="4"/>
        <v>5.6698757571854514</v>
      </c>
      <c r="J27" s="14">
        <f t="shared" si="5"/>
        <v>5.0173813105881493</v>
      </c>
      <c r="K27" s="14">
        <f t="shared" si="6"/>
        <v>1.9655452106476972</v>
      </c>
      <c r="L27" s="14">
        <f t="shared" si="7"/>
        <v>3.8949245560680135E-2</v>
      </c>
      <c r="M27" s="14">
        <f t="shared" si="8"/>
        <v>0.44958650370691977</v>
      </c>
      <c r="N27" s="14">
        <f t="shared" si="9"/>
        <v>56.119736148800939</v>
      </c>
      <c r="O27" s="14">
        <f t="shared" si="10"/>
        <v>45.380631600741125</v>
      </c>
      <c r="P27" s="14">
        <f t="shared" si="11"/>
        <v>42.795957991942991</v>
      </c>
      <c r="Q27" s="14">
        <f t="shared" si="12"/>
        <v>6.6337102710876659</v>
      </c>
    </row>
    <row r="28" spans="1:20" x14ac:dyDescent="0.3">
      <c r="A28" s="44" t="s">
        <v>16</v>
      </c>
      <c r="B28" s="43">
        <f>SUMIFS(Data!$G$2:$G$193,Data!$C$2:$C$193,Calc!$A28,Data!$B$2:$B$193,Calc!B$22)</f>
        <v>-20.598848640121126</v>
      </c>
      <c r="C28" s="43">
        <f>SUMIFS(Data!$G$2:$G$193,Data!$C$2:$C$193,Calc!$A28,Data!$B$2:$B$193,Calc!C$22)</f>
        <v>57.504253091789622</v>
      </c>
      <c r="D28" s="43">
        <f>SUMIFS(Data!$G$2:$G$193,Data!$C$2:$C$193,Calc!$A28,Data!$B$2:$B$193,Calc!D$22)</f>
        <v>90.073080244000423</v>
      </c>
      <c r="E28" s="43">
        <f>SUMIFS(Data!$G$2:$G$193,Data!$C$2:$C$193,Calc!$A28,Data!$B$2:$B$193,Calc!E$22)</f>
        <v>7.2936148901352835</v>
      </c>
      <c r="F28" s="43">
        <f t="shared" si="3"/>
        <v>134.2720995858042</v>
      </c>
      <c r="H28" s="18">
        <v>41395</v>
      </c>
      <c r="I28" s="14">
        <f t="shared" si="4"/>
        <v>6.6778980303197581</v>
      </c>
      <c r="J28" s="14">
        <f t="shared" si="5"/>
        <v>0.56708958769517359</v>
      </c>
      <c r="K28" s="14">
        <f t="shared" si="6"/>
        <v>2.7264471892475939E-2</v>
      </c>
      <c r="L28" s="14">
        <f t="shared" si="7"/>
        <v>9.1437599045273643</v>
      </c>
      <c r="M28" s="14">
        <f t="shared" si="8"/>
        <v>3.9689130300298245</v>
      </c>
      <c r="N28" s="14">
        <f t="shared" si="9"/>
        <v>1.375881647453383</v>
      </c>
      <c r="O28" s="14">
        <f t="shared" si="10"/>
        <v>22.937392768586363</v>
      </c>
      <c r="P28" s="14">
        <f t="shared" si="11"/>
        <v>17.791439481452073</v>
      </c>
      <c r="Q28" s="14">
        <f t="shared" si="12"/>
        <v>43.360322906226685</v>
      </c>
    </row>
    <row r="29" spans="1:20" x14ac:dyDescent="0.3">
      <c r="A29" s="44" t="s">
        <v>11</v>
      </c>
      <c r="B29" s="43">
        <f>SUMIFS(Data!$G$2:$G$193,Data!$C$2:$C$193,Calc!$A29,Data!$B$2:$B$193,Calc!B$22)</f>
        <v>38.92037765223813</v>
      </c>
      <c r="C29" s="43">
        <f>SUMIFS(Data!$G$2:$G$193,Data!$C$2:$C$193,Calc!$A29,Data!$B$2:$B$193,Calc!C$22)</f>
        <v>72.974136959136928</v>
      </c>
      <c r="D29" s="43">
        <f>SUMIFS(Data!$G$2:$G$193,Data!$C$2:$C$193,Calc!$A29,Data!$B$2:$B$193,Calc!D$22)</f>
        <v>196.13092672183794</v>
      </c>
      <c r="E29" s="43">
        <f>SUMIFS(Data!$G$2:$G$193,Data!$C$2:$C$193,Calc!$A29,Data!$B$2:$B$193,Calc!E$22)</f>
        <v>-5.1371262651301848</v>
      </c>
      <c r="F29" s="43">
        <f t="shared" si="3"/>
        <v>302.88831506808282</v>
      </c>
      <c r="H29" s="18">
        <v>41426</v>
      </c>
      <c r="I29" s="14">
        <f t="shared" si="4"/>
        <v>2.3020652896807547</v>
      </c>
      <c r="J29" s="14">
        <f t="shared" si="5"/>
        <v>4.1172726780868629</v>
      </c>
      <c r="K29" s="14">
        <f t="shared" si="6"/>
        <v>9.242146781183056</v>
      </c>
      <c r="L29" s="14">
        <f t="shared" si="7"/>
        <v>22.848909038151305</v>
      </c>
      <c r="M29" s="14">
        <f t="shared" si="8"/>
        <v>6.7522808765474363</v>
      </c>
      <c r="N29" s="14">
        <f t="shared" si="9"/>
        <v>8.6352955353000138E-3</v>
      </c>
      <c r="O29" s="14">
        <f t="shared" si="10"/>
        <v>4.6561125898094318</v>
      </c>
      <c r="P29" s="14">
        <f t="shared" si="11"/>
        <v>19.394175132311631</v>
      </c>
      <c r="Q29" s="14">
        <f t="shared" si="12"/>
        <v>41.172176987042931</v>
      </c>
    </row>
    <row r="30" spans="1:20" x14ac:dyDescent="0.3">
      <c r="A30" s="44" t="s">
        <v>13</v>
      </c>
      <c r="B30" s="43">
        <f>SUMIFS(Data!$G$2:$G$193,Data!$C$2:$C$193,Calc!$A30,Data!$B$2:$B$193,Calc!B$22)</f>
        <v>-57.862863671127464</v>
      </c>
      <c r="C30" s="43">
        <f>SUMIFS(Data!$G$2:$G$193,Data!$C$2:$C$193,Calc!$A30,Data!$B$2:$B$193,Calc!C$22)</f>
        <v>79.981572605706702</v>
      </c>
      <c r="D30" s="43">
        <f>SUMIFS(Data!$G$2:$G$193,Data!$C$2:$C$193,Calc!$A30,Data!$B$2:$B$193,Calc!D$22)</f>
        <v>78.901068013589537</v>
      </c>
      <c r="E30" s="43">
        <f>SUMIFS(Data!$G$2:$G$193,Data!$C$2:$C$193,Calc!$A30,Data!$B$2:$B$193,Calc!E$22)</f>
        <v>22.807370206734383</v>
      </c>
      <c r="F30" s="43">
        <f t="shared" si="3"/>
        <v>123.82714715490317</v>
      </c>
      <c r="H30" s="18">
        <v>41456</v>
      </c>
      <c r="I30" s="14">
        <f t="shared" si="4"/>
        <v>66.296570059402484</v>
      </c>
      <c r="J30" s="14">
        <f t="shared" si="5"/>
        <v>102.68285056211744</v>
      </c>
      <c r="K30" s="14">
        <f t="shared" si="6"/>
        <v>59.132787365816284</v>
      </c>
      <c r="L30" s="14">
        <f t="shared" si="7"/>
        <v>0.86374363619780326</v>
      </c>
      <c r="M30" s="14">
        <f t="shared" si="8"/>
        <v>5.9577259049708999</v>
      </c>
      <c r="N30" s="14">
        <f t="shared" si="9"/>
        <v>23.912416463820858</v>
      </c>
      <c r="O30" s="14">
        <f t="shared" si="10"/>
        <v>28.36102237961812</v>
      </c>
      <c r="P30" s="14">
        <f t="shared" si="11"/>
        <v>21.783662776761261</v>
      </c>
      <c r="Q30" s="14">
        <f t="shared" si="12"/>
        <v>3.7980010340742423</v>
      </c>
    </row>
    <row r="31" spans="1:20" x14ac:dyDescent="0.3">
      <c r="A31" s="44" t="s">
        <v>14</v>
      </c>
      <c r="B31" s="43">
        <f>SUMIFS(Data!$G$2:$G$193,Data!$C$2:$C$193,Calc!$A31,Data!$B$2:$B$193,Calc!B$22)</f>
        <v>110.24285539514668</v>
      </c>
      <c r="C31" s="43">
        <f>SUMIFS(Data!$G$2:$G$193,Data!$C$2:$C$193,Calc!$A31,Data!$B$2:$B$193,Calc!C$22)</f>
        <v>91.166210164357281</v>
      </c>
      <c r="D31" s="43">
        <f>SUMIFS(Data!$G$2:$G$193,Data!$C$2:$C$193,Calc!$A31,Data!$B$2:$B$193,Calc!D$22)</f>
        <v>197.99873148707348</v>
      </c>
      <c r="E31" s="43">
        <f>SUMIFS(Data!$G$2:$G$193,Data!$C$2:$C$193,Calc!$A31,Data!$B$2:$B$193,Calc!E$22)</f>
        <v>3.9361783780988153</v>
      </c>
      <c r="F31" s="43">
        <f t="shared" si="3"/>
        <v>403.34397542467627</v>
      </c>
      <c r="H31" s="18">
        <v>41487</v>
      </c>
      <c r="I31" s="14">
        <f t="shared" si="4"/>
        <v>10.506914563528682</v>
      </c>
      <c r="J31" s="14">
        <f t="shared" si="5"/>
        <v>4.1160546350038913</v>
      </c>
      <c r="K31" s="14">
        <f t="shared" si="6"/>
        <v>0.94148056345560605</v>
      </c>
      <c r="L31" s="14">
        <f t="shared" si="7"/>
        <v>11.873305311847361</v>
      </c>
      <c r="M31" s="14">
        <f t="shared" si="8"/>
        <v>72.263261364748587</v>
      </c>
      <c r="N31" s="14">
        <f t="shared" si="9"/>
        <v>64.454738228739643</v>
      </c>
      <c r="O31" s="14">
        <f t="shared" si="10"/>
        <v>25.496810362329882</v>
      </c>
      <c r="P31" s="14">
        <f t="shared" si="11"/>
        <v>13.386626782132545</v>
      </c>
      <c r="Q31" s="14">
        <f t="shared" si="12"/>
        <v>26.054193216795856</v>
      </c>
    </row>
    <row r="32" spans="1:20" x14ac:dyDescent="0.3">
      <c r="A32" s="43"/>
      <c r="B32" s="43"/>
      <c r="C32" s="43"/>
      <c r="D32" s="43"/>
      <c r="E32" s="43"/>
      <c r="F32" s="43"/>
      <c r="H32" s="18">
        <v>41518</v>
      </c>
      <c r="I32" s="14">
        <f t="shared" si="4"/>
        <v>2.8425055725293342</v>
      </c>
      <c r="J32" s="14">
        <f t="shared" si="5"/>
        <v>4.3063943939365523E-2</v>
      </c>
      <c r="K32" s="14">
        <f t="shared" si="6"/>
        <v>21.513959711694923</v>
      </c>
      <c r="L32" s="14">
        <f t="shared" si="7"/>
        <v>33.259057890137271</v>
      </c>
      <c r="M32" s="14">
        <f t="shared" si="8"/>
        <v>19.038113707766371</v>
      </c>
      <c r="N32" s="14">
        <f t="shared" si="9"/>
        <v>1.7059255514399219</v>
      </c>
      <c r="O32" s="14">
        <f t="shared" si="10"/>
        <v>142.27309397988992</v>
      </c>
      <c r="P32" s="14">
        <f t="shared" si="11"/>
        <v>43.730778454695738</v>
      </c>
      <c r="Q32" s="14">
        <f t="shared" si="12"/>
        <v>168.14653723620336</v>
      </c>
    </row>
    <row r="33" spans="1:17" x14ac:dyDescent="0.3">
      <c r="A33" s="44" t="s">
        <v>8</v>
      </c>
      <c r="B33" s="43">
        <f>VLOOKUP($A33,$A$22:$F$31,$G$7+1)</f>
        <v>40.026356111916542</v>
      </c>
      <c r="C33" s="43"/>
      <c r="D33" s="43"/>
      <c r="E33" s="43"/>
      <c r="F33" s="43"/>
      <c r="H33" s="18">
        <v>41548</v>
      </c>
      <c r="I33" s="14">
        <f t="shared" si="4"/>
        <v>-2.1099935828499952</v>
      </c>
      <c r="J33" s="14">
        <f t="shared" si="5"/>
        <v>-4.7327949816393851</v>
      </c>
      <c r="K33" s="14">
        <f>IFERROR(VLOOKUP($H33,$H$37:$Q$49,MATCH($A$14,$I$23:$Q$23,0)+1),"0")</f>
        <v>-3.4564689597928133</v>
      </c>
      <c r="L33" s="14">
        <f t="shared" si="7"/>
        <v>-1.1797477039546322</v>
      </c>
      <c r="M33" s="14">
        <f t="shared" si="8"/>
        <v>-0.29352463131220174</v>
      </c>
      <c r="N33" s="14">
        <f t="shared" si="9"/>
        <v>-2.0543028105744554</v>
      </c>
      <c r="O33" s="14">
        <f t="shared" si="10"/>
        <v>-14.320780993607315</v>
      </c>
      <c r="P33" s="14">
        <f t="shared" si="11"/>
        <v>0.70804201633588337</v>
      </c>
      <c r="Q33" s="14">
        <f t="shared" si="12"/>
        <v>-11.872356505479349</v>
      </c>
    </row>
    <row r="34" spans="1:17" x14ac:dyDescent="0.3">
      <c r="A34" s="44" t="s">
        <v>10</v>
      </c>
      <c r="B34" s="43">
        <f t="shared" ref="B34:B41" si="13">VLOOKUP($A34,$A$22:$F$31,$G$7+1)</f>
        <v>19.022340533929786</v>
      </c>
      <c r="C34" s="43"/>
      <c r="D34" s="43"/>
      <c r="E34" s="43"/>
      <c r="F34" s="43"/>
      <c r="H34" s="18">
        <v>41579</v>
      </c>
      <c r="I34" s="14">
        <f t="shared" si="4"/>
        <v>40.666475470145542</v>
      </c>
      <c r="J34" s="14">
        <f t="shared" si="5"/>
        <v>23.418925689432172</v>
      </c>
      <c r="K34" s="14">
        <f t="shared" si="6"/>
        <v>2.3594954079092645</v>
      </c>
      <c r="L34" s="14">
        <f t="shared" si="7"/>
        <v>25.005778428817393</v>
      </c>
      <c r="M34" s="14">
        <f t="shared" si="8"/>
        <v>4.2199871656999903</v>
      </c>
      <c r="N34" s="14">
        <f t="shared" si="9"/>
        <v>6.9129379195856258</v>
      </c>
      <c r="O34" s="14">
        <f t="shared" si="10"/>
        <v>4.2228328210216111</v>
      </c>
      <c r="P34" s="14">
        <f t="shared" si="11"/>
        <v>10.898122177922581</v>
      </c>
      <c r="Q34" s="14">
        <f t="shared" si="12"/>
        <v>4.4343929426756361</v>
      </c>
    </row>
    <row r="35" spans="1:17" x14ac:dyDescent="0.3">
      <c r="A35" s="44" t="s">
        <v>9</v>
      </c>
      <c r="B35" s="43">
        <f t="shared" si="13"/>
        <v>24.708783340601073</v>
      </c>
      <c r="C35" s="43"/>
      <c r="D35" s="43"/>
      <c r="E35" s="43"/>
      <c r="F35" s="43"/>
      <c r="H35" s="18">
        <v>41609</v>
      </c>
      <c r="I35" s="14">
        <f t="shared" si="4"/>
        <v>1.4698742246209946</v>
      </c>
      <c r="J35" s="14">
        <f t="shared" si="5"/>
        <v>0.33620982613700079</v>
      </c>
      <c r="K35" s="14">
        <f t="shared" si="6"/>
        <v>25.805756892484624</v>
      </c>
      <c r="L35" s="14">
        <f t="shared" si="7"/>
        <v>3.7520986154769957</v>
      </c>
      <c r="M35" s="14">
        <f t="shared" si="8"/>
        <v>41.967466945454817</v>
      </c>
      <c r="N35" s="14">
        <f t="shared" si="9"/>
        <v>2.4349797811241132</v>
      </c>
      <c r="O35" s="14">
        <f t="shared" si="10"/>
        <v>4.9608219074555189</v>
      </c>
      <c r="P35" s="14">
        <f t="shared" si="11"/>
        <v>11.20120601247592</v>
      </c>
      <c r="Q35" s="14">
        <f t="shared" si="12"/>
        <v>11.374141940902529</v>
      </c>
    </row>
    <row r="36" spans="1:17" x14ac:dyDescent="0.3">
      <c r="A36" s="44" t="s">
        <v>15</v>
      </c>
      <c r="B36" s="43">
        <f t="shared" si="13"/>
        <v>27.578129340339757</v>
      </c>
      <c r="C36" s="43"/>
      <c r="D36" s="43"/>
      <c r="E36" s="43"/>
      <c r="F36" s="43"/>
    </row>
    <row r="37" spans="1:17" x14ac:dyDescent="0.3">
      <c r="A37" s="44" t="s">
        <v>12</v>
      </c>
      <c r="B37" s="43">
        <f t="shared" si="13"/>
        <v>45.893929479842605</v>
      </c>
      <c r="C37" s="43"/>
      <c r="D37" s="43"/>
      <c r="E37" s="43"/>
      <c r="F37" s="43"/>
      <c r="I37" s="15" t="s">
        <v>8</v>
      </c>
      <c r="J37" s="15" t="s">
        <v>10</v>
      </c>
      <c r="K37" s="15" t="s">
        <v>9</v>
      </c>
      <c r="L37" s="15" t="s">
        <v>15</v>
      </c>
      <c r="M37" s="15" t="s">
        <v>12</v>
      </c>
      <c r="N37" s="15" t="s">
        <v>16</v>
      </c>
      <c r="O37" s="15" t="s">
        <v>11</v>
      </c>
      <c r="P37" s="15" t="s">
        <v>13</v>
      </c>
      <c r="Q37" s="15" t="s">
        <v>14</v>
      </c>
    </row>
    <row r="38" spans="1:17" x14ac:dyDescent="0.3">
      <c r="A38" s="44" t="s">
        <v>16</v>
      </c>
      <c r="B38" s="43">
        <f t="shared" si="13"/>
        <v>7.2936148901352835</v>
      </c>
      <c r="C38" s="43"/>
      <c r="D38" s="43"/>
      <c r="E38" s="43"/>
      <c r="F38" s="43"/>
      <c r="H38" s="18">
        <v>41275</v>
      </c>
      <c r="I38" s="17">
        <f>SUMIFS(Data!$G$2:$G$193,Data!$I$2:$I$193,Calc!I$11,Data!$C$2:$C$193,Calc!I$37)</f>
        <v>23.663974908197041</v>
      </c>
      <c r="J38" s="17">
        <f>SUMIFS(Data!$G$2:$G$193,Data!$I$2:$I$193,Calc!I$11,Data!$C$2:$C$193,Calc!J$37)</f>
        <v>17.282344798964122</v>
      </c>
      <c r="K38" s="17">
        <f>SUMIFS(Data!$G$2:$G$193,Data!$I$2:$I$193,Calc!I$11,Data!$C$2:$C$193,Calc!K$37)</f>
        <v>2.7391244772843439</v>
      </c>
      <c r="L38" s="17">
        <f>SUMIFS(Data!$G$2:$G$193,Data!$I$2:$I$193,Calc!I$11,Data!$C$2:$C$193,Calc!L$37)</f>
        <v>10.549967914249976</v>
      </c>
      <c r="M38" s="17">
        <f>SUMIFS(Data!$G$2:$G$193,Data!$I$2:$I$193,Calc!I$11,Data!$C$2:$C$193,Calc!M$37)</f>
        <v>7.0560227465000125E-2</v>
      </c>
      <c r="N38" s="17">
        <f>SUMIFS(Data!$G$2:$G$193,Data!$I$2:$I$193,Calc!I$11,Data!$C$2:$C$193,Calc!N$37)</f>
        <v>9.0894588959930331</v>
      </c>
      <c r="O38" s="17">
        <f>SUMIFS(Data!$G$2:$G$193,Data!$I$2:$I$193,Calc!I$11,Data!$C$2:$C$193,Calc!O$37)</f>
        <v>105.22695898450823</v>
      </c>
      <c r="P38" s="17">
        <f>SUMIFS(Data!$G$2:$G$193,Data!$I$2:$I$193,Calc!I$11,Data!$C$2:$C$193,Calc!P$37)</f>
        <v>12.085982356689103</v>
      </c>
      <c r="Q38" s="17">
        <f>SUMIFS(Data!$G$2:$G$193,Data!$I$2:$I$193,Calc!I$11,Data!$C$2:$C$193,Calc!Q$37)</f>
        <v>68.413184591816872</v>
      </c>
    </row>
    <row r="39" spans="1:17" x14ac:dyDescent="0.3">
      <c r="A39" s="44" t="s">
        <v>11</v>
      </c>
      <c r="B39" s="43">
        <f t="shared" si="13"/>
        <v>-5.1371262651301848</v>
      </c>
      <c r="C39" s="43"/>
      <c r="D39" s="43"/>
      <c r="E39" s="43"/>
      <c r="F39" s="43"/>
      <c r="H39" s="18">
        <v>41306</v>
      </c>
      <c r="I39" s="17">
        <f>SUMIFS(Data!$G$2:$G$193,Data!$I$2:$I$193,Calc!J$11,Data!$C$2:$C$193,Calc!I$37)</f>
        <v>59.718260508052026</v>
      </c>
      <c r="J39" s="17">
        <f>SUMIFS(Data!$G$2:$G$193,Data!$I$2:$I$193,Calc!J$11,Data!$C$2:$C$193,Calc!J$37)</f>
        <v>6.0167132901686244</v>
      </c>
      <c r="K39" s="17">
        <f>SUMIFS(Data!$G$2:$G$193,Data!$I$2:$I$193,Calc!J$11,Data!$C$2:$C$193,Calc!K$37)</f>
        <v>10.760967272534998</v>
      </c>
      <c r="L39" s="17">
        <f>SUMIFS(Data!$G$2:$G$193,Data!$I$2:$I$193,Calc!J$11,Data!$C$2:$C$193,Calc!L$37)</f>
        <v>103.69951244887125</v>
      </c>
      <c r="M39" s="17">
        <f>SUMIFS(Data!$G$2:$G$193,Data!$I$2:$I$193,Calc!J$11,Data!$C$2:$C$193,Calc!M$37)</f>
        <v>24.137254406360981</v>
      </c>
      <c r="N39" s="17">
        <f>SUMIFS(Data!$G$2:$G$193,Data!$I$2:$I$193,Calc!J$11,Data!$C$2:$C$193,Calc!N$37)</f>
        <v>1.4969756196922281</v>
      </c>
      <c r="O39" s="17">
        <f>SUMIFS(Data!$G$2:$G$193,Data!$I$2:$I$193,Calc!J$11,Data!$C$2:$C$193,Calc!O$37)</f>
        <v>3.7039571473415611</v>
      </c>
      <c r="P39" s="17">
        <f>SUMIFS(Data!$G$2:$G$193,Data!$I$2:$I$193,Calc!J$11,Data!$C$2:$C$193,Calc!P$37)</f>
        <v>28.935693698766276</v>
      </c>
      <c r="Q39" s="17">
        <f>SUMIFS(Data!$G$2:$G$193,Data!$I$2:$I$193,Calc!J$11,Data!$C$2:$C$193,Calc!Q$37)</f>
        <v>73.035983067397467</v>
      </c>
    </row>
    <row r="40" spans="1:17" x14ac:dyDescent="0.3">
      <c r="A40" s="44" t="s">
        <v>13</v>
      </c>
      <c r="B40" s="43">
        <f t="shared" si="13"/>
        <v>22.807370206734383</v>
      </c>
      <c r="C40" s="43"/>
      <c r="D40" s="43"/>
      <c r="E40" s="43"/>
      <c r="F40" s="43"/>
      <c r="H40" s="18">
        <v>41334</v>
      </c>
      <c r="I40" s="17">
        <f>SUMIFS(Data!$G$2:$G$193,Data!$I$2:$I$193,Calc!K$11,Data!$C$2:$C$193,Calc!I$37)</f>
        <v>-2.4075357273505524</v>
      </c>
      <c r="J40" s="17">
        <f>SUMIFS(Data!$G$2:$G$193,Data!$I$2:$I$193,Calc!K$11,Data!$C$2:$C$193,Calc!J$37)</f>
        <v>-184.79020201111825</v>
      </c>
      <c r="K40" s="17">
        <f>SUMIFS(Data!$G$2:$G$193,Data!$I$2:$I$193,Calc!K$11,Data!$C$2:$C$193,Calc!K$37)</f>
        <v>-300.52118707682848</v>
      </c>
      <c r="L40" s="17">
        <f>SUMIFS(Data!$G$2:$G$193,Data!$I$2:$I$193,Calc!K$11,Data!$C$2:$C$193,Calc!L$37)</f>
        <v>-10.525494603018416</v>
      </c>
      <c r="M40" s="17">
        <f>SUMIFS(Data!$G$2:$G$193,Data!$I$2:$I$193,Calc!K$11,Data!$C$2:$C$193,Calc!M$37)</f>
        <v>-173.06351895233479</v>
      </c>
      <c r="N40" s="17">
        <f>SUMIFS(Data!$G$2:$G$193,Data!$I$2:$I$193,Calc!K$11,Data!$C$2:$C$193,Calc!N$37)</f>
        <v>-31.185283155806388</v>
      </c>
      <c r="O40" s="17">
        <f>SUMIFS(Data!$G$2:$G$193,Data!$I$2:$I$193,Calc!K$11,Data!$C$2:$C$193,Calc!O$37)</f>
        <v>-70.010538479611654</v>
      </c>
      <c r="P40" s="17">
        <f>SUMIFS(Data!$G$2:$G$193,Data!$I$2:$I$193,Calc!K$11,Data!$C$2:$C$193,Calc!P$37)</f>
        <v>-98.88453972658283</v>
      </c>
      <c r="Q40" s="17">
        <f>SUMIFS(Data!$G$2:$G$193,Data!$I$2:$I$193,Calc!K$11,Data!$C$2:$C$193,Calc!Q$37)</f>
        <v>-31.206312264067666</v>
      </c>
    </row>
    <row r="41" spans="1:17" x14ac:dyDescent="0.3">
      <c r="A41" s="44" t="s">
        <v>14</v>
      </c>
      <c r="B41" s="43">
        <f t="shared" si="13"/>
        <v>3.9361783780988153</v>
      </c>
      <c r="C41" s="43"/>
      <c r="D41" s="43"/>
      <c r="E41" s="43"/>
      <c r="F41" s="43"/>
      <c r="H41" s="18">
        <v>41365</v>
      </c>
      <c r="I41" s="17">
        <f>SUMIFS(Data!$G$2:$G$193,Data!$I$2:$I$193,Calc!L$11,Data!$C$2:$C$193,Calc!I$37)</f>
        <v>5.6698757571854514</v>
      </c>
      <c r="J41" s="17">
        <f>SUMIFS(Data!$G$2:$G$193,Data!$I$2:$I$193,Calc!L$11,Data!$C$2:$C$193,Calc!J$37)</f>
        <v>5.0173813105881493</v>
      </c>
      <c r="K41" s="17">
        <f>SUMIFS(Data!$G$2:$G$193,Data!$I$2:$I$193,Calc!L$11,Data!$C$2:$C$193,Calc!K$37)</f>
        <v>1.9655452106476972</v>
      </c>
      <c r="L41" s="17">
        <f>SUMIFS(Data!$G$2:$G$193,Data!$I$2:$I$193,Calc!L$11,Data!$C$2:$C$193,Calc!L$37)</f>
        <v>3.8949245560680135E-2</v>
      </c>
      <c r="M41" s="17">
        <f>SUMIFS(Data!$G$2:$G$193,Data!$I$2:$I$193,Calc!L$11,Data!$C$2:$C$193,Calc!M$37)</f>
        <v>0.44958650370691977</v>
      </c>
      <c r="N41" s="17">
        <f>SUMIFS(Data!$G$2:$G$193,Data!$I$2:$I$193,Calc!L$11,Data!$C$2:$C$193,Calc!N$37)</f>
        <v>56.119736148800939</v>
      </c>
      <c r="O41" s="17">
        <f>SUMIFS(Data!$G$2:$G$193,Data!$I$2:$I$193,Calc!L$11,Data!$C$2:$C$193,Calc!O$37)</f>
        <v>45.380631600741125</v>
      </c>
      <c r="P41" s="17">
        <f>SUMIFS(Data!$G$2:$G$193,Data!$I$2:$I$193,Calc!L$11,Data!$C$2:$C$193,Calc!P$37)</f>
        <v>42.795957991942991</v>
      </c>
      <c r="Q41" s="17">
        <f>SUMIFS(Data!$G$2:$G$193,Data!$I$2:$I$193,Calc!L$11,Data!$C$2:$C$193,Calc!Q$37)</f>
        <v>6.6337102710876659</v>
      </c>
    </row>
    <row r="42" spans="1:17" x14ac:dyDescent="0.3">
      <c r="H42" s="18">
        <v>41395</v>
      </c>
      <c r="I42" s="17">
        <f>SUMIFS(Data!$G$2:$G$193,Data!$I$2:$I$193,Calc!M$11,Data!$C$2:$C$193,Calc!I$37)</f>
        <v>6.6778980303197581</v>
      </c>
      <c r="J42" s="17">
        <f>SUMIFS(Data!$G$2:$G$193,Data!$I$2:$I$193,Calc!M$11,Data!$C$2:$C$193,Calc!J$37)</f>
        <v>0.56708958769517359</v>
      </c>
      <c r="K42" s="17">
        <f>SUMIFS(Data!$G$2:$G$193,Data!$I$2:$I$193,Calc!M$11,Data!$C$2:$C$193,Calc!K$37)</f>
        <v>2.7264471892475939E-2</v>
      </c>
      <c r="L42" s="17">
        <f>SUMIFS(Data!$G$2:$G$193,Data!$I$2:$I$193,Calc!M$11,Data!$C$2:$C$193,Calc!L$37)</f>
        <v>9.1437599045273643</v>
      </c>
      <c r="M42" s="17">
        <f>SUMIFS(Data!$G$2:$G$193,Data!$I$2:$I$193,Calc!M$11,Data!$C$2:$C$193,Calc!M$37)</f>
        <v>3.9689130300298245</v>
      </c>
      <c r="N42" s="17">
        <f>SUMIFS(Data!$G$2:$G$193,Data!$I$2:$I$193,Calc!M$11,Data!$C$2:$C$193,Calc!N$37)</f>
        <v>1.375881647453383</v>
      </c>
      <c r="O42" s="17">
        <f>SUMIFS(Data!$G$2:$G$193,Data!$I$2:$I$193,Calc!M$11,Data!$C$2:$C$193,Calc!O$37)</f>
        <v>22.937392768586363</v>
      </c>
      <c r="P42" s="17">
        <f>SUMIFS(Data!$G$2:$G$193,Data!$I$2:$I$193,Calc!M$11,Data!$C$2:$C$193,Calc!P$37)</f>
        <v>17.791439481452073</v>
      </c>
      <c r="Q42" s="17">
        <f>SUMIFS(Data!$G$2:$G$193,Data!$I$2:$I$193,Calc!M$11,Data!$C$2:$C$193,Calc!Q$37)</f>
        <v>43.360322906226685</v>
      </c>
    </row>
    <row r="43" spans="1:17" x14ac:dyDescent="0.3">
      <c r="H43" s="18">
        <v>41426</v>
      </c>
      <c r="I43" s="17">
        <f>SUMIFS(Data!$G$2:$G$193,Data!$I$2:$I$193,Calc!N$11,Data!$C$2:$C$193,Calc!I$37)</f>
        <v>2.3020652896807547</v>
      </c>
      <c r="J43" s="17">
        <f>SUMIFS(Data!$G$2:$G$193,Data!$I$2:$I$193,Calc!N$11,Data!$C$2:$C$193,Calc!J$37)</f>
        <v>4.1172726780868629</v>
      </c>
      <c r="K43" s="17">
        <f>SUMIFS(Data!$G$2:$G$193,Data!$I$2:$I$193,Calc!N$11,Data!$C$2:$C$193,Calc!K$37)</f>
        <v>9.242146781183056</v>
      </c>
      <c r="L43" s="17">
        <f>SUMIFS(Data!$G$2:$G$193,Data!$I$2:$I$193,Calc!N$11,Data!$C$2:$C$193,Calc!L$37)</f>
        <v>22.848909038151305</v>
      </c>
      <c r="M43" s="17">
        <f>SUMIFS(Data!$G$2:$G$193,Data!$I$2:$I$193,Calc!N$11,Data!$C$2:$C$193,Calc!M$37)</f>
        <v>6.7522808765474363</v>
      </c>
      <c r="N43" s="17">
        <f>SUMIFS(Data!$G$2:$G$193,Data!$I$2:$I$193,Calc!N$11,Data!$C$2:$C$193,Calc!N$37)</f>
        <v>8.6352955353000138E-3</v>
      </c>
      <c r="O43" s="17">
        <f>SUMIFS(Data!$G$2:$G$193,Data!$I$2:$I$193,Calc!N$11,Data!$C$2:$C$193,Calc!O$37)</f>
        <v>4.6561125898094318</v>
      </c>
      <c r="P43" s="17">
        <f>SUMIFS(Data!$G$2:$G$193,Data!$I$2:$I$193,Calc!N$11,Data!$C$2:$C$193,Calc!P$37)</f>
        <v>19.394175132311631</v>
      </c>
      <c r="Q43" s="17">
        <f>SUMIFS(Data!$G$2:$G$193,Data!$I$2:$I$193,Calc!N$11,Data!$C$2:$C$193,Calc!Q$37)</f>
        <v>41.172176987042931</v>
      </c>
    </row>
    <row r="44" spans="1:17" x14ac:dyDescent="0.3">
      <c r="A44" s="15" t="s">
        <v>8</v>
      </c>
      <c r="B44" s="14">
        <f>COUNTIFS(Data!$H$2:$H$193,"1",Data!$C$2:$C$193,Calc!$A44)</f>
        <v>13</v>
      </c>
      <c r="C44" s="14">
        <f>COUNTIFS(Data!$C$2:$C$193,Calc!$A44)</f>
        <v>15</v>
      </c>
      <c r="D44" s="16">
        <f>B44/C44</f>
        <v>0.8666666666666667</v>
      </c>
      <c r="E44" s="16">
        <f>1-D44</f>
        <v>0.1333333333333333</v>
      </c>
      <c r="H44" s="18">
        <v>41456</v>
      </c>
      <c r="I44" s="17">
        <f>SUMIFS(Data!$G$2:$G$193,Data!$I$2:$I$193,Calc!O$11,Data!$C$2:$C$193,Calc!I$37)</f>
        <v>66.296570059402484</v>
      </c>
      <c r="J44" s="17">
        <f>SUMIFS(Data!$G$2:$G$193,Data!$I$2:$I$193,Calc!O$11,Data!$C$2:$C$193,Calc!J$37)</f>
        <v>102.68285056211744</v>
      </c>
      <c r="K44" s="17">
        <f>SUMIFS(Data!$G$2:$G$193,Data!$I$2:$I$193,Calc!O$11,Data!$C$2:$C$193,Calc!K$37)</f>
        <v>59.132787365816284</v>
      </c>
      <c r="L44" s="17">
        <f>SUMIFS(Data!$G$2:$G$193,Data!$I$2:$I$193,Calc!O$11,Data!$C$2:$C$193,Calc!L$37)</f>
        <v>0.86374363619780326</v>
      </c>
      <c r="M44" s="17">
        <f>SUMIFS(Data!$G$2:$G$193,Data!$I$2:$I$193,Calc!O$11,Data!$C$2:$C$193,Calc!M$37)</f>
        <v>5.9577259049708999</v>
      </c>
      <c r="N44" s="17">
        <f>SUMIFS(Data!$G$2:$G$193,Data!$I$2:$I$193,Calc!O$11,Data!$C$2:$C$193,Calc!N$37)</f>
        <v>23.912416463820858</v>
      </c>
      <c r="O44" s="17">
        <f>SUMIFS(Data!$G$2:$G$193,Data!$I$2:$I$193,Calc!O$11,Data!$C$2:$C$193,Calc!O$37)</f>
        <v>28.36102237961812</v>
      </c>
      <c r="P44" s="17">
        <f>SUMIFS(Data!$G$2:$G$193,Data!$I$2:$I$193,Calc!O$11,Data!$C$2:$C$193,Calc!P$37)</f>
        <v>21.783662776761261</v>
      </c>
      <c r="Q44" s="17">
        <f>SUMIFS(Data!$G$2:$G$193,Data!$I$2:$I$193,Calc!O$11,Data!$C$2:$C$193,Calc!Q$37)</f>
        <v>3.7980010340742423</v>
      </c>
    </row>
    <row r="45" spans="1:17" x14ac:dyDescent="0.3">
      <c r="A45" s="15" t="s">
        <v>10</v>
      </c>
      <c r="B45" s="14">
        <f>COUNTIFS(Data!$H$2:$H$193,"1",Data!$C$2:$C$193,Calc!$A45)</f>
        <v>12</v>
      </c>
      <c r="C45" s="14">
        <f>COUNTIFS(Data!$C$2:$C$193,Calc!$A45)</f>
        <v>15</v>
      </c>
      <c r="D45" s="16">
        <f t="shared" ref="D45:D52" si="14">B45/C45</f>
        <v>0.8</v>
      </c>
      <c r="E45" s="16">
        <f t="shared" ref="E45:E52" si="15">1-D45</f>
        <v>0.19999999999999996</v>
      </c>
      <c r="H45" s="18">
        <v>41487</v>
      </c>
      <c r="I45" s="17">
        <f>SUMIFS(Data!$G$2:$G$193,Data!$I$2:$I$193,Calc!P$11,Data!$C$2:$C$193,Calc!I$37)</f>
        <v>10.506914563528682</v>
      </c>
      <c r="J45" s="17">
        <f>SUMIFS(Data!$G$2:$G$193,Data!$I$2:$I$193,Calc!P$11,Data!$C$2:$C$193,Calc!J$37)</f>
        <v>4.1160546350038913</v>
      </c>
      <c r="K45" s="17">
        <f>SUMIFS(Data!$G$2:$G$193,Data!$I$2:$I$193,Calc!P$11,Data!$C$2:$C$193,Calc!K$37)</f>
        <v>0.94148056345560605</v>
      </c>
      <c r="L45" s="17">
        <f>SUMIFS(Data!$G$2:$G$193,Data!$I$2:$I$193,Calc!P$11,Data!$C$2:$C$193,Calc!L$37)</f>
        <v>11.873305311847361</v>
      </c>
      <c r="M45" s="17">
        <f>SUMIFS(Data!$G$2:$G$193,Data!$I$2:$I$193,Calc!P$11,Data!$C$2:$C$193,Calc!M$37)</f>
        <v>72.263261364748587</v>
      </c>
      <c r="N45" s="17">
        <f>SUMIFS(Data!$G$2:$G$193,Data!$I$2:$I$193,Calc!P$11,Data!$C$2:$C$193,Calc!N$37)</f>
        <v>64.454738228739643</v>
      </c>
      <c r="O45" s="17">
        <f>SUMIFS(Data!$G$2:$G$193,Data!$I$2:$I$193,Calc!P$11,Data!$C$2:$C$193,Calc!O$37)</f>
        <v>25.496810362329882</v>
      </c>
      <c r="P45" s="17">
        <f>SUMIFS(Data!$G$2:$G$193,Data!$I$2:$I$193,Calc!P$11,Data!$C$2:$C$193,Calc!P$37)</f>
        <v>13.386626782132545</v>
      </c>
      <c r="Q45" s="17">
        <f>SUMIFS(Data!$G$2:$G$193,Data!$I$2:$I$193,Calc!P$11,Data!$C$2:$C$193,Calc!Q$37)</f>
        <v>26.054193216795856</v>
      </c>
    </row>
    <row r="46" spans="1:17" x14ac:dyDescent="0.3">
      <c r="A46" s="15" t="s">
        <v>9</v>
      </c>
      <c r="B46" s="14">
        <f>COUNTIFS(Data!$H$2:$H$193,"1",Data!$C$2:$C$193,Calc!$A46)</f>
        <v>12</v>
      </c>
      <c r="C46" s="14">
        <f>COUNTIFS(Data!$C$2:$C$193,Calc!$A46)</f>
        <v>15</v>
      </c>
      <c r="D46" s="16">
        <f t="shared" si="14"/>
        <v>0.8</v>
      </c>
      <c r="E46" s="16">
        <f t="shared" si="15"/>
        <v>0.19999999999999996</v>
      </c>
      <c r="H46" s="18">
        <v>41518</v>
      </c>
      <c r="I46" s="17">
        <f>SUMIFS(Data!$G$2:$G$193,Data!$I$2:$I$193,Calc!Q$11,Data!$C$2:$C$193,Calc!I$37)</f>
        <v>2.8425055725293342</v>
      </c>
      <c r="J46" s="17">
        <f>SUMIFS(Data!$G$2:$G$193,Data!$I$2:$I$193,Calc!Q$11,Data!$C$2:$C$193,Calc!J$37)</f>
        <v>4.3063943939365523E-2</v>
      </c>
      <c r="K46" s="17">
        <f>SUMIFS(Data!$G$2:$G$193,Data!$I$2:$I$193,Calc!Q$11,Data!$C$2:$C$193,Calc!K$37)</f>
        <v>21.513959711694923</v>
      </c>
      <c r="L46" s="17">
        <f>SUMIFS(Data!$G$2:$G$193,Data!$I$2:$I$193,Calc!Q$11,Data!$C$2:$C$193,Calc!L$37)</f>
        <v>33.259057890137271</v>
      </c>
      <c r="M46" s="17">
        <f>SUMIFS(Data!$G$2:$G$193,Data!$I$2:$I$193,Calc!Q$11,Data!$C$2:$C$193,Calc!M$37)</f>
        <v>19.038113707766371</v>
      </c>
      <c r="N46" s="17">
        <f>SUMIFS(Data!$G$2:$G$193,Data!$I$2:$I$193,Calc!Q$11,Data!$C$2:$C$193,Calc!N$37)</f>
        <v>1.7059255514399219</v>
      </c>
      <c r="O46" s="17">
        <f>SUMIFS(Data!$G$2:$G$193,Data!$I$2:$I$193,Calc!Q$11,Data!$C$2:$C$193,Calc!O$37)</f>
        <v>142.27309397988992</v>
      </c>
      <c r="P46" s="17">
        <f>SUMIFS(Data!$G$2:$G$193,Data!$I$2:$I$193,Calc!Q$11,Data!$C$2:$C$193,Calc!P$37)</f>
        <v>43.730778454695738</v>
      </c>
      <c r="Q46" s="17">
        <f>SUMIFS(Data!$G$2:$G$193,Data!$I$2:$I$193,Calc!Q$11,Data!$C$2:$C$193,Calc!Q$37)</f>
        <v>168.14653723620336</v>
      </c>
    </row>
    <row r="47" spans="1:17" x14ac:dyDescent="0.3">
      <c r="A47" s="15" t="s">
        <v>15</v>
      </c>
      <c r="B47" s="14">
        <f>COUNTIFS(Data!$H$2:$H$193,"1",Data!$C$2:$C$193,Calc!$A47)</f>
        <v>12</v>
      </c>
      <c r="C47" s="14">
        <f>COUNTIFS(Data!$C$2:$C$193,Calc!$A47)</f>
        <v>14</v>
      </c>
      <c r="D47" s="16">
        <f t="shared" si="14"/>
        <v>0.8571428571428571</v>
      </c>
      <c r="E47" s="16">
        <f t="shared" si="15"/>
        <v>0.1428571428571429</v>
      </c>
      <c r="H47" s="18">
        <v>41548</v>
      </c>
      <c r="I47" s="17">
        <f>SUMIFS(Data!$G$2:$G$193,Data!$I$2:$I$193,Calc!R$11,Data!$C$2:$C$193,Calc!I$37)</f>
        <v>-2.1099935828499952</v>
      </c>
      <c r="J47" s="17">
        <f>SUMIFS(Data!$G$2:$G$193,Data!$I$2:$I$193,Calc!R$11,Data!$C$2:$C$193,Calc!J$37)</f>
        <v>-4.7327949816393851</v>
      </c>
      <c r="K47" s="17">
        <f>SUMIFS(Data!$G$2:$G$193,Data!$I$2:$I$193,Calc!R$11,Data!$C$2:$C$193,Calc!K$37)</f>
        <v>-3.4564689597928133</v>
      </c>
      <c r="L47" s="17">
        <f>SUMIFS(Data!$G$2:$G$193,Data!$I$2:$I$193,Calc!R$11,Data!$C$2:$C$193,Calc!L$37)</f>
        <v>-1.1797477039546322</v>
      </c>
      <c r="M47" s="17">
        <f>SUMIFS(Data!$G$2:$G$193,Data!$I$2:$I$193,Calc!R$11,Data!$C$2:$C$193,Calc!M$37)</f>
        <v>-0.29352463131220174</v>
      </c>
      <c r="N47" s="17">
        <f>SUMIFS(Data!$G$2:$G$193,Data!$I$2:$I$193,Calc!R$11,Data!$C$2:$C$193,Calc!N$37)</f>
        <v>-2.0543028105744554</v>
      </c>
      <c r="O47" s="17">
        <f>SUMIFS(Data!$G$2:$G$193,Data!$I$2:$I$193,Calc!R$11,Data!$C$2:$C$193,Calc!O$37)</f>
        <v>-14.320780993607315</v>
      </c>
      <c r="P47" s="17">
        <f>SUMIFS(Data!$G$2:$G$193,Data!$I$2:$I$193,Calc!R$11,Data!$C$2:$C$193,Calc!P$37)</f>
        <v>0.70804201633588337</v>
      </c>
      <c r="Q47" s="17">
        <f>SUMIFS(Data!$G$2:$G$193,Data!$I$2:$I$193,Calc!R$11,Data!$C$2:$C$193,Calc!Q$37)</f>
        <v>-11.872356505479349</v>
      </c>
    </row>
    <row r="48" spans="1:17" x14ac:dyDescent="0.3">
      <c r="A48" s="15" t="s">
        <v>12</v>
      </c>
      <c r="B48" s="14">
        <f>COUNTIFS(Data!$H$2:$H$193,"1",Data!$C$2:$C$193,Calc!$A48)</f>
        <v>12</v>
      </c>
      <c r="C48" s="14">
        <f>COUNTIFS(Data!$C$2:$C$193,Calc!$A48)</f>
        <v>15</v>
      </c>
      <c r="D48" s="16">
        <f t="shared" si="14"/>
        <v>0.8</v>
      </c>
      <c r="E48" s="16">
        <f t="shared" si="15"/>
        <v>0.19999999999999996</v>
      </c>
      <c r="H48" s="18">
        <v>41579</v>
      </c>
      <c r="I48" s="17">
        <f>SUMIFS(Data!$G$2:$G$193,Data!$I$2:$I$193,Calc!S$11,Data!$C$2:$C$193,Calc!I$37)</f>
        <v>40.666475470145542</v>
      </c>
      <c r="J48" s="17">
        <f>SUMIFS(Data!$G$2:$G$193,Data!$I$2:$I$193,Calc!S$11,Data!$C$2:$C$193,Calc!J$37)</f>
        <v>23.418925689432172</v>
      </c>
      <c r="K48" s="17">
        <f>SUMIFS(Data!$G$2:$G$193,Data!$I$2:$I$193,Calc!S$11,Data!$C$2:$C$193,Calc!K$37)</f>
        <v>2.3594954079092645</v>
      </c>
      <c r="L48" s="17">
        <f>SUMIFS(Data!$G$2:$G$193,Data!$I$2:$I$193,Calc!S$11,Data!$C$2:$C$193,Calc!L$37)</f>
        <v>25.005778428817393</v>
      </c>
      <c r="M48" s="17">
        <f>SUMIFS(Data!$G$2:$G$193,Data!$I$2:$I$193,Calc!S$11,Data!$C$2:$C$193,Calc!M$37)</f>
        <v>4.2199871656999903</v>
      </c>
      <c r="N48" s="17">
        <f>SUMIFS(Data!$G$2:$G$193,Data!$I$2:$I$193,Calc!S$11,Data!$C$2:$C$193,Calc!N$37)</f>
        <v>6.9129379195856258</v>
      </c>
      <c r="O48" s="17">
        <f>SUMIFS(Data!$G$2:$G$193,Data!$I$2:$I$193,Calc!S$11,Data!$C$2:$C$193,Calc!O$37)</f>
        <v>4.2228328210216111</v>
      </c>
      <c r="P48" s="17">
        <f>SUMIFS(Data!$G$2:$G$193,Data!$I$2:$I$193,Calc!S$11,Data!$C$2:$C$193,Calc!P$37)</f>
        <v>10.898122177922581</v>
      </c>
      <c r="Q48" s="17">
        <f>SUMIFS(Data!$G$2:$G$193,Data!$I$2:$I$193,Calc!S$11,Data!$C$2:$C$193,Calc!Q$37)</f>
        <v>4.4343929426756361</v>
      </c>
    </row>
    <row r="49" spans="1:21" x14ac:dyDescent="0.3">
      <c r="A49" s="15" t="s">
        <v>16</v>
      </c>
      <c r="B49" s="14">
        <f>COUNTIFS(Data!$H$2:$H$193,"1",Data!$C$2:$C$193,Calc!$A49)</f>
        <v>13</v>
      </c>
      <c r="C49" s="14">
        <f>COUNTIFS(Data!$C$2:$C$193,Calc!$A49)</f>
        <v>15</v>
      </c>
      <c r="D49" s="16">
        <f t="shared" si="14"/>
        <v>0.8666666666666667</v>
      </c>
      <c r="E49" s="16">
        <f t="shared" si="15"/>
        <v>0.1333333333333333</v>
      </c>
      <c r="H49" s="18">
        <v>41609</v>
      </c>
      <c r="I49" s="17">
        <f>SUMIFS(Data!$G$2:$G$193,Data!$I$2:$I$193,Calc!T$11,Data!$C$2:$C$193,Calc!I$37)</f>
        <v>1.4698742246209946</v>
      </c>
      <c r="J49" s="17">
        <f>SUMIFS(Data!$G$2:$G$193,Data!$I$2:$I$193,Calc!T$11,Data!$C$2:$C$193,Calc!J$37)</f>
        <v>0.33620982613700079</v>
      </c>
      <c r="K49" s="17">
        <f>SUMIFS(Data!$G$2:$G$193,Data!$I$2:$I$193,Calc!T$11,Data!$C$2:$C$193,Calc!K$37)</f>
        <v>25.805756892484624</v>
      </c>
      <c r="L49" s="17">
        <f>SUMIFS(Data!$G$2:$G$193,Data!$I$2:$I$193,Calc!T$11,Data!$C$2:$C$193,Calc!L$37)</f>
        <v>3.7520986154769957</v>
      </c>
      <c r="M49" s="17">
        <f>SUMIFS(Data!$G$2:$G$193,Data!$I$2:$I$193,Calc!T$11,Data!$C$2:$C$193,Calc!M$37)</f>
        <v>41.967466945454817</v>
      </c>
      <c r="N49" s="17">
        <f>SUMIFS(Data!$G$2:$G$193,Data!$I$2:$I$193,Calc!T$11,Data!$C$2:$C$193,Calc!N$37)</f>
        <v>2.4349797811241132</v>
      </c>
      <c r="O49" s="17">
        <f>SUMIFS(Data!$G$2:$G$193,Data!$I$2:$I$193,Calc!T$11,Data!$C$2:$C$193,Calc!O$37)</f>
        <v>4.9608219074555189</v>
      </c>
      <c r="P49" s="17">
        <f>SUMIFS(Data!$G$2:$G$193,Data!$I$2:$I$193,Calc!T$11,Data!$C$2:$C$193,Calc!P$37)</f>
        <v>11.20120601247592</v>
      </c>
      <c r="Q49" s="17">
        <f>SUMIFS(Data!$G$2:$G$193,Data!$I$2:$I$193,Calc!T$11,Data!$C$2:$C$193,Calc!Q$37)</f>
        <v>11.374141940902529</v>
      </c>
    </row>
    <row r="50" spans="1:21" x14ac:dyDescent="0.3">
      <c r="A50" s="15" t="s">
        <v>11</v>
      </c>
      <c r="B50" s="14">
        <f>COUNTIFS(Data!$H$2:$H$193,"1",Data!$C$2:$C$193,Calc!$A50)</f>
        <v>25</v>
      </c>
      <c r="C50" s="14">
        <f>COUNTIFS(Data!$C$2:$C$193,Calc!$A50)</f>
        <v>30</v>
      </c>
      <c r="D50" s="16">
        <f t="shared" si="14"/>
        <v>0.83333333333333337</v>
      </c>
      <c r="E50" s="16">
        <f t="shared" si="15"/>
        <v>0.16666666666666663</v>
      </c>
    </row>
    <row r="51" spans="1:21" x14ac:dyDescent="0.3">
      <c r="A51" s="15" t="s">
        <v>13</v>
      </c>
      <c r="B51" s="14">
        <f>COUNTIFS(Data!$H$2:$H$193,"1",Data!$C$2:$C$193,Calc!$A51)</f>
        <v>38</v>
      </c>
      <c r="C51" s="14">
        <f>COUNTIFS(Data!$C$2:$C$193,Calc!$A51)</f>
        <v>44</v>
      </c>
      <c r="D51" s="16">
        <f t="shared" si="14"/>
        <v>0.86363636363636365</v>
      </c>
      <c r="E51" s="16">
        <f t="shared" si="15"/>
        <v>0.13636363636363635</v>
      </c>
    </row>
    <row r="52" spans="1:21" x14ac:dyDescent="0.3">
      <c r="A52" s="15" t="s">
        <v>14</v>
      </c>
      <c r="B52" s="14">
        <f>COUNTIFS(Data!$H$2:$H$193,"1",Data!$C$2:$C$193,Calc!$A52)</f>
        <v>24</v>
      </c>
      <c r="C52" s="14">
        <f>COUNTIFS(Data!$C$2:$C$193,Calc!$A52)</f>
        <v>29</v>
      </c>
      <c r="D52" s="16">
        <f t="shared" si="14"/>
        <v>0.82758620689655171</v>
      </c>
      <c r="E52" s="16">
        <f t="shared" si="15"/>
        <v>0.17241379310344829</v>
      </c>
      <c r="L52" s="14" t="s">
        <v>49</v>
      </c>
      <c r="M52" s="20" t="s">
        <v>8</v>
      </c>
      <c r="N52" s="20" t="s">
        <v>10</v>
      </c>
      <c r="O52" s="20" t="s">
        <v>9</v>
      </c>
      <c r="P52" s="20" t="s">
        <v>15</v>
      </c>
      <c r="Q52" s="20" t="s">
        <v>12</v>
      </c>
      <c r="R52" s="20" t="s">
        <v>16</v>
      </c>
      <c r="S52" s="20" t="s">
        <v>11</v>
      </c>
      <c r="T52" s="20" t="s">
        <v>13</v>
      </c>
      <c r="U52" s="20" t="s">
        <v>14</v>
      </c>
    </row>
    <row r="53" spans="1:21" x14ac:dyDescent="0.3">
      <c r="A53" s="14">
        <v>7</v>
      </c>
      <c r="L53" s="21" t="s">
        <v>44</v>
      </c>
      <c r="M53" s="14">
        <f>SUMIFS(Data!$G$2:$G$193,Data!$C$2:$C$193,Calc!M$52,Data!$D$2:$D$193,Calc!$L53)</f>
        <v>2.3020652896807547</v>
      </c>
      <c r="N53" s="14">
        <f>SUMIFS(Data!$G$2:$G$193,Data!$C$2:$C$193,Calc!N$52,Data!$D$2:$D$193,Calc!$L53)</f>
        <v>6.0167132901686244</v>
      </c>
      <c r="O53" s="14">
        <f>SUMIFS(Data!$G$2:$G$193,Data!$C$2:$C$193,Calc!O$52,Data!$D$2:$D$193,Calc!$L53)</f>
        <v>0</v>
      </c>
      <c r="P53" s="14">
        <f>SUMIFS(Data!$G$2:$G$193,Data!$C$2:$C$193,Calc!P$52,Data!$D$2:$D$193,Calc!$L53)</f>
        <v>-1.1797477039546322</v>
      </c>
      <c r="Q53" s="14">
        <f>SUMIFS(Data!$G$2:$G$193,Data!$C$2:$C$193,Calc!Q$52,Data!$D$2:$D$193,Calc!$L53)</f>
        <v>0</v>
      </c>
      <c r="R53" s="14">
        <f>SUMIFS(Data!$G$2:$G$193,Data!$C$2:$C$193,Calc!R$52,Data!$D$2:$D$193,Calc!$L53)</f>
        <v>2.4349797811241132</v>
      </c>
      <c r="S53" s="14">
        <f>SUMIFS(Data!$G$2:$G$193,Data!$C$2:$C$193,Calc!S$52,Data!$D$2:$D$193,Calc!$L53)</f>
        <v>6.4939212364182737</v>
      </c>
      <c r="T53" s="14">
        <f>SUMIFS(Data!$G$2:$G$193,Data!$C$2:$C$193,Calc!T$52,Data!$D$2:$D$193,Calc!$L53)</f>
        <v>3.2561036629147821</v>
      </c>
      <c r="U53" s="14">
        <f>SUMIFS(Data!$G$2:$G$193,Data!$C$2:$C$193,Calc!U$52,Data!$D$2:$D$193,Calc!$L53)</f>
        <v>0</v>
      </c>
    </row>
    <row r="54" spans="1:21" x14ac:dyDescent="0.3">
      <c r="A54" s="16">
        <f>INDEX($D$44:$E$52,$A$53,1)</f>
        <v>0.83333333333333337</v>
      </c>
      <c r="B54" s="16">
        <f>1-A54</f>
        <v>0.16666666666666663</v>
      </c>
      <c r="L54" s="21" t="s">
        <v>35</v>
      </c>
      <c r="M54" s="14">
        <f>SUMIFS(Data!$G$2:$G$193,Data!$C$2:$C$193,Calc!M$52,Data!$D$2:$D$193,Calc!$L54)</f>
        <v>0</v>
      </c>
      <c r="N54" s="14">
        <f>SUMIFS(Data!$G$2:$G$193,Data!$C$2:$C$193,Calc!N$52,Data!$D$2:$D$193,Calc!$L54)</f>
        <v>0</v>
      </c>
      <c r="O54" s="14">
        <f>SUMIFS(Data!$G$2:$G$193,Data!$C$2:$C$193,Calc!O$52,Data!$D$2:$D$193,Calc!$L54)</f>
        <v>0</v>
      </c>
      <c r="P54" s="14">
        <f>SUMIFS(Data!$G$2:$G$193,Data!$C$2:$C$193,Calc!P$52,Data!$D$2:$D$193,Calc!$L54)</f>
        <v>0</v>
      </c>
      <c r="Q54" s="14">
        <f>SUMIFS(Data!$G$2:$G$193,Data!$C$2:$C$193,Calc!Q$52,Data!$D$2:$D$193,Calc!$L54)</f>
        <v>-2.5840142738867922E-2</v>
      </c>
      <c r="R54" s="14">
        <f>SUMIFS(Data!$G$2:$G$193,Data!$C$2:$C$193,Calc!R$52,Data!$D$2:$D$193,Calc!$L54)</f>
        <v>0.13178472796822671</v>
      </c>
      <c r="S54" s="14">
        <f>SUMIFS(Data!$G$2:$G$193,Data!$C$2:$C$193,Calc!S$52,Data!$D$2:$D$193,Calc!$L54)</f>
        <v>5.3333627944000206E-2</v>
      </c>
      <c r="T54" s="14">
        <f>SUMIFS(Data!$G$2:$G$193,Data!$C$2:$C$193,Calc!T$52,Data!$D$2:$D$193,Calc!$L54)</f>
        <v>0.20361321874302707</v>
      </c>
      <c r="U54" s="14">
        <f>SUMIFS(Data!$G$2:$G$193,Data!$C$2:$C$193,Calc!U$52,Data!$D$2:$D$193,Calc!$L54)</f>
        <v>7.1318793959275872E-2</v>
      </c>
    </row>
    <row r="55" spans="1:21" x14ac:dyDescent="0.3">
      <c r="L55" s="21" t="s">
        <v>43</v>
      </c>
      <c r="M55" s="14">
        <f>SUMIFS(Data!$G$2:$G$193,Data!$C$2:$C$193,Calc!M$52,Data!$D$2:$D$193,Calc!$L55)</f>
        <v>59.718260508052026</v>
      </c>
      <c r="N55" s="14">
        <f>SUMIFS(Data!$G$2:$G$193,Data!$C$2:$C$193,Calc!N$52,Data!$D$2:$D$193,Calc!$L55)</f>
        <v>0</v>
      </c>
      <c r="O55" s="14">
        <f>SUMIFS(Data!$G$2:$G$193,Data!$C$2:$C$193,Calc!O$52,Data!$D$2:$D$193,Calc!$L55)</f>
        <v>0</v>
      </c>
      <c r="P55" s="14">
        <f>SUMIFS(Data!$G$2:$G$193,Data!$C$2:$C$193,Calc!P$52,Data!$D$2:$D$193,Calc!$L55)</f>
        <v>22.848909038151305</v>
      </c>
      <c r="Q55" s="14">
        <f>SUMIFS(Data!$G$2:$G$193,Data!$C$2:$C$193,Calc!Q$52,Data!$D$2:$D$193,Calc!$L55)</f>
        <v>0</v>
      </c>
      <c r="R55" s="14">
        <f>SUMIFS(Data!$G$2:$G$193,Data!$C$2:$C$193,Calc!R$52,Data!$D$2:$D$193,Calc!$L55)</f>
        <v>64.454738228739643</v>
      </c>
      <c r="S55" s="14">
        <f>SUMIFS(Data!$G$2:$G$193,Data!$C$2:$C$193,Calc!S$52,Data!$D$2:$D$193,Calc!$L55)</f>
        <v>32.318117451416356</v>
      </c>
      <c r="T55" s="14">
        <f>SUMIFS(Data!$G$2:$G$193,Data!$C$2:$C$193,Calc!T$52,Data!$D$2:$D$193,Calc!$L55)</f>
        <v>1.4243081236577524</v>
      </c>
      <c r="U55" s="14">
        <f>SUMIFS(Data!$G$2:$G$193,Data!$C$2:$C$193,Calc!U$52,Data!$D$2:$D$193,Calc!$L55)</f>
        <v>-11.709462844715972</v>
      </c>
    </row>
    <row r="56" spans="1:21" x14ac:dyDescent="0.3">
      <c r="B56" s="14" t="s">
        <v>60</v>
      </c>
      <c r="D56" s="14" t="s">
        <v>61</v>
      </c>
      <c r="L56" s="21" t="s">
        <v>28</v>
      </c>
      <c r="M56" s="14">
        <f>SUMIFS(Data!$G$2:$G$193,Data!$C$2:$C$193,Calc!M$52,Data!$D$2:$D$193,Calc!$L56)</f>
        <v>0</v>
      </c>
      <c r="N56" s="14">
        <f>SUMIFS(Data!$G$2:$G$193,Data!$C$2:$C$193,Calc!N$52,Data!$D$2:$D$193,Calc!$L56)</f>
        <v>0</v>
      </c>
      <c r="O56" s="14">
        <f>SUMIFS(Data!$G$2:$G$193,Data!$C$2:$C$193,Calc!O$52,Data!$D$2:$D$193,Calc!$L56)</f>
        <v>2.3594954079092645</v>
      </c>
      <c r="P56" s="14">
        <f>SUMIFS(Data!$G$2:$G$193,Data!$C$2:$C$193,Calc!P$52,Data!$D$2:$D$193,Calc!$L56)</f>
        <v>0</v>
      </c>
      <c r="Q56" s="14">
        <f>SUMIFS(Data!$G$2:$G$193,Data!$C$2:$C$193,Calc!Q$52,Data!$D$2:$D$193,Calc!$L56)</f>
        <v>5.9577259049708999</v>
      </c>
      <c r="R56" s="14">
        <f>SUMIFS(Data!$G$2:$G$193,Data!$C$2:$C$193,Calc!R$52,Data!$D$2:$D$193,Calc!$L56)</f>
        <v>0</v>
      </c>
      <c r="S56" s="14">
        <f>SUMIFS(Data!$G$2:$G$193,Data!$C$2:$C$193,Calc!S$52,Data!$D$2:$D$193,Calc!$L56)</f>
        <v>11.334921937299072</v>
      </c>
      <c r="T56" s="14">
        <f>SUMIFS(Data!$G$2:$G$193,Data!$C$2:$C$193,Calc!T$52,Data!$D$2:$D$193,Calc!$L56)</f>
        <v>-15.157162550868335</v>
      </c>
      <c r="U56" s="14">
        <f>SUMIFS(Data!$G$2:$G$193,Data!$C$2:$C$193,Calc!U$52,Data!$D$2:$D$193,Calc!$L56)</f>
        <v>5.8987385197731612</v>
      </c>
    </row>
    <row r="57" spans="1:21" x14ac:dyDescent="0.3">
      <c r="A57" s="15" t="s">
        <v>8</v>
      </c>
      <c r="B57" s="14">
        <f>SUMIF(Data!C2:$C$193,$A57,Data!$G$2:$G$193)</f>
        <v>215.29688507346151</v>
      </c>
      <c r="C57" s="14">
        <f>SUMIF(Data!$C$2:$C$193,Calc!$A57,Data!$E$2:$E$193)</f>
        <v>5990.4285611200703</v>
      </c>
      <c r="D57" s="16">
        <f>B57/C57</f>
        <v>3.5940147332832233E-2</v>
      </c>
      <c r="L57" s="21" t="s">
        <v>27</v>
      </c>
      <c r="M57" s="14">
        <f>SUMIFS(Data!$G$2:$G$193,Data!$C$2:$C$193,Calc!M$52,Data!$D$2:$D$193,Calc!$L57)</f>
        <v>0</v>
      </c>
      <c r="N57" s="14">
        <f>SUMIFS(Data!$G$2:$G$193,Data!$C$2:$C$193,Calc!N$52,Data!$D$2:$D$193,Calc!$L57)</f>
        <v>23.418925689432172</v>
      </c>
      <c r="O57" s="14">
        <f>SUMIFS(Data!$G$2:$G$193,Data!$C$2:$C$193,Calc!O$52,Data!$D$2:$D$193,Calc!$L57)</f>
        <v>59.132787365816284</v>
      </c>
      <c r="P57" s="14">
        <f>SUMIFS(Data!$G$2:$G$193,Data!$C$2:$C$193,Calc!P$52,Data!$D$2:$D$193,Calc!$L57)</f>
        <v>0</v>
      </c>
      <c r="Q57" s="14">
        <f>SUMIFS(Data!$G$2:$G$193,Data!$C$2:$C$193,Calc!Q$52,Data!$D$2:$D$193,Calc!$L57)</f>
        <v>-173.06351895233479</v>
      </c>
      <c r="R57" s="14">
        <f>SUMIFS(Data!$G$2:$G$193,Data!$C$2:$C$193,Calc!R$52,Data!$D$2:$D$193,Calc!$L57)</f>
        <v>0</v>
      </c>
      <c r="S57" s="14">
        <f>SUMIFS(Data!$G$2:$G$193,Data!$C$2:$C$193,Calc!S$52,Data!$D$2:$D$193,Calc!$L57)</f>
        <v>22.622682215991517</v>
      </c>
      <c r="T57" s="14">
        <f>SUMIFS(Data!$G$2:$G$193,Data!$C$2:$C$193,Calc!T$52,Data!$D$2:$D$193,Calc!$L57)</f>
        <v>1</v>
      </c>
      <c r="U57" s="14">
        <f>SUMIFS(Data!$G$2:$G$193,Data!$C$2:$C$193,Calc!U$52,Data!$D$2:$D$193,Calc!$L57)</f>
        <v>122.6289087422158</v>
      </c>
    </row>
    <row r="58" spans="1:21" x14ac:dyDescent="0.3">
      <c r="A58" s="15" t="s">
        <v>10</v>
      </c>
      <c r="B58" s="14">
        <f>SUMIF(Data!C3:$C$193,$A58,Data!$G$2:$G$193)</f>
        <v>215.29688507346151</v>
      </c>
      <c r="C58" s="14">
        <f>SUMIF(Data!$C$2:$C$193,Calc!$A58,Data!$E$2:$E$193)</f>
        <v>5966.1277001419039</v>
      </c>
      <c r="D58" s="16">
        <f t="shared" ref="D58:D65" si="16">B58/C58</f>
        <v>3.6086536509827086E-2</v>
      </c>
      <c r="L58" s="21" t="s">
        <v>23</v>
      </c>
      <c r="M58" s="14">
        <f>SUMIFS(Data!$G$2:$G$193,Data!$C$2:$C$193,Calc!M$52,Data!$D$2:$D$193,Calc!$L58)</f>
        <v>0</v>
      </c>
      <c r="N58" s="14">
        <f>SUMIFS(Data!$G$2:$G$193,Data!$C$2:$C$193,Calc!N$52,Data!$D$2:$D$193,Calc!$L58)</f>
        <v>0</v>
      </c>
      <c r="O58" s="14">
        <f>SUMIFS(Data!$G$2:$G$193,Data!$C$2:$C$193,Calc!O$52,Data!$D$2:$D$193,Calc!$L58)</f>
        <v>0</v>
      </c>
      <c r="P58" s="14">
        <f>SUMIFS(Data!$G$2:$G$193,Data!$C$2:$C$193,Calc!P$52,Data!$D$2:$D$193,Calc!$L58)</f>
        <v>-10.525494603018416</v>
      </c>
      <c r="Q58" s="14">
        <f>SUMIFS(Data!$G$2:$G$193,Data!$C$2:$C$193,Calc!Q$52,Data!$D$2:$D$193,Calc!$L58)</f>
        <v>0</v>
      </c>
      <c r="R58" s="14">
        <f>SUMIFS(Data!$G$2:$G$193,Data!$C$2:$C$193,Calc!R$52,Data!$D$2:$D$193,Calc!$L58)</f>
        <v>1.375881647453383</v>
      </c>
      <c r="S58" s="14">
        <f>SUMIFS(Data!$G$2:$G$193,Data!$C$2:$C$193,Calc!S$52,Data!$D$2:$D$193,Calc!$L58)</f>
        <v>3.5607703091443739</v>
      </c>
      <c r="T58" s="14">
        <f>SUMIFS(Data!$G$2:$G$193,Data!$C$2:$C$193,Calc!T$52,Data!$D$2:$D$193,Calc!$L58)</f>
        <v>8.8824363586194011</v>
      </c>
      <c r="U58" s="14">
        <f>SUMIFS(Data!$G$2:$G$193,Data!$C$2:$C$193,Calc!U$52,Data!$D$2:$D$193,Calc!$L58)</f>
        <v>3.7761969128476096</v>
      </c>
    </row>
    <row r="59" spans="1:21" x14ac:dyDescent="0.3">
      <c r="A59" s="15" t="s">
        <v>9</v>
      </c>
      <c r="B59" s="14">
        <f>SUMIF(Data!C4:$C$193,$A59,Data!$G$2:$G$193)</f>
        <v>215.29688507346151</v>
      </c>
      <c r="C59" s="14">
        <f>SUMIF(Data!$C$2:$C$193,Calc!$A59,Data!$E$2:$E$193)</f>
        <v>6196.3537977201104</v>
      </c>
      <c r="D59" s="16">
        <f t="shared" si="16"/>
        <v>3.4745737913267308E-2</v>
      </c>
      <c r="L59" s="21" t="s">
        <v>37</v>
      </c>
      <c r="M59" s="14">
        <f>SUMIFS(Data!$G$2:$G$193,Data!$C$2:$C$193,Calc!M$52,Data!$D$2:$D$193,Calc!$L59)</f>
        <v>5.6698757571854514</v>
      </c>
      <c r="N59" s="14">
        <f>SUMIFS(Data!$G$2:$G$193,Data!$C$2:$C$193,Calc!N$52,Data!$D$2:$D$193,Calc!$L59)</f>
        <v>0</v>
      </c>
      <c r="O59" s="14">
        <f>SUMIFS(Data!$G$2:$G$193,Data!$C$2:$C$193,Calc!O$52,Data!$D$2:$D$193,Calc!$L59)</f>
        <v>0</v>
      </c>
      <c r="P59" s="14">
        <f>SUMIFS(Data!$G$2:$G$193,Data!$C$2:$C$193,Calc!P$52,Data!$D$2:$D$193,Calc!$L59)</f>
        <v>11.873305311847361</v>
      </c>
      <c r="Q59" s="14">
        <f>SUMIFS(Data!$G$2:$G$193,Data!$C$2:$C$193,Calc!Q$52,Data!$D$2:$D$193,Calc!$L59)</f>
        <v>0</v>
      </c>
      <c r="R59" s="14">
        <f>SUMIFS(Data!$G$2:$G$193,Data!$C$2:$C$193,Calc!R$52,Data!$D$2:$D$193,Calc!$L59)</f>
        <v>-2.0543028105744554</v>
      </c>
      <c r="S59" s="14">
        <f>SUMIFS(Data!$G$2:$G$193,Data!$C$2:$C$193,Calc!S$52,Data!$D$2:$D$193,Calc!$L59)</f>
        <v>4.3140359022063421</v>
      </c>
      <c r="T59" s="14">
        <f>SUMIFS(Data!$G$2:$G$193,Data!$C$2:$C$193,Calc!T$52,Data!$D$2:$D$193,Calc!$L59)</f>
        <v>10.476944333929652</v>
      </c>
      <c r="U59" s="14">
        <f>SUMIFS(Data!$G$2:$G$193,Data!$C$2:$C$193,Calc!U$52,Data!$D$2:$D$193,Calc!$L59)</f>
        <v>4.2400470806489921</v>
      </c>
    </row>
    <row r="60" spans="1:21" x14ac:dyDescent="0.3">
      <c r="A60" s="15" t="s">
        <v>15</v>
      </c>
      <c r="B60" s="14">
        <f>SUMIF(Data!C5:$C$193,$A60,Data!$G$2:$G$193)</f>
        <v>173.68165192184725</v>
      </c>
      <c r="C60" s="14">
        <f>SUMIF(Data!$C$2:$C$193,Calc!$A60,Data!$E$2:$E$193)</f>
        <v>5906.0037620705634</v>
      </c>
      <c r="D60" s="16">
        <f t="shared" si="16"/>
        <v>2.9407643292959376E-2</v>
      </c>
      <c r="L60" s="21" t="s">
        <v>38</v>
      </c>
      <c r="M60" s="14">
        <f>SUMIFS(Data!$G$2:$G$193,Data!$C$2:$C$193,Calc!M$52,Data!$D$2:$D$193,Calc!$L60)</f>
        <v>10.506914563528682</v>
      </c>
      <c r="N60" s="14">
        <f>SUMIFS(Data!$G$2:$G$193,Data!$C$2:$C$193,Calc!N$52,Data!$D$2:$D$193,Calc!$L60)</f>
        <v>5.0173813105881493</v>
      </c>
      <c r="O60" s="14">
        <f>SUMIFS(Data!$G$2:$G$193,Data!$C$2:$C$193,Calc!O$52,Data!$D$2:$D$193,Calc!$L60)</f>
        <v>0</v>
      </c>
      <c r="P60" s="14">
        <f>SUMIFS(Data!$G$2:$G$193,Data!$C$2:$C$193,Calc!P$52,Data!$D$2:$D$193,Calc!$L60)</f>
        <v>3.7520986154769957</v>
      </c>
      <c r="Q60" s="14">
        <f>SUMIFS(Data!$G$2:$G$193,Data!$C$2:$C$193,Calc!Q$52,Data!$D$2:$D$193,Calc!$L60)</f>
        <v>0</v>
      </c>
      <c r="R60" s="14">
        <f>SUMIFS(Data!$G$2:$G$193,Data!$C$2:$C$193,Calc!R$52,Data!$D$2:$D$193,Calc!$L60)</f>
        <v>0</v>
      </c>
      <c r="S60" s="14">
        <f>SUMIFS(Data!$G$2:$G$193,Data!$C$2:$C$193,Calc!S$52,Data!$D$2:$D$193,Calc!$L60)</f>
        <v>-1.817891779198618</v>
      </c>
      <c r="T60" s="14">
        <f>SUMIFS(Data!$G$2:$G$193,Data!$C$2:$C$193,Calc!T$52,Data!$D$2:$D$193,Calc!$L60)</f>
        <v>3.8175727363170893</v>
      </c>
      <c r="U60" s="14">
        <f>SUMIFS(Data!$G$2:$G$193,Data!$C$2:$C$193,Calc!U$52,Data!$D$2:$D$193,Calc!$L60)</f>
        <v>9.2712480739128864</v>
      </c>
    </row>
    <row r="61" spans="1:21" x14ac:dyDescent="0.3">
      <c r="A61" s="15" t="s">
        <v>12</v>
      </c>
      <c r="B61" s="14">
        <f>SUMIF(Data!C6:$C$193,$A61,Data!$G$2:$G$193)</f>
        <v>209.32984012686433</v>
      </c>
      <c r="C61" s="14">
        <f>SUMIF(Data!$C$2:$C$193,Calc!$A61,Data!$E$2:$E$193)</f>
        <v>6325.3944264235361</v>
      </c>
      <c r="D61" s="16">
        <f t="shared" si="16"/>
        <v>3.3093563185943843E-2</v>
      </c>
      <c r="L61" s="21" t="s">
        <v>24</v>
      </c>
      <c r="M61" s="14">
        <f>SUMIFS(Data!$G$2:$G$193,Data!$C$2:$C$193,Calc!M$52,Data!$D$2:$D$193,Calc!$L61)</f>
        <v>-2.4075357273505524</v>
      </c>
      <c r="N61" s="14">
        <f>SUMIFS(Data!$G$2:$G$193,Data!$C$2:$C$193,Calc!N$52,Data!$D$2:$D$193,Calc!$L61)</f>
        <v>0</v>
      </c>
      <c r="O61" s="14">
        <f>SUMIFS(Data!$G$2:$G$193,Data!$C$2:$C$193,Calc!O$52,Data!$D$2:$D$193,Calc!$L61)</f>
        <v>0</v>
      </c>
      <c r="P61" s="14">
        <f>SUMIFS(Data!$G$2:$G$193,Data!$C$2:$C$193,Calc!P$52,Data!$D$2:$D$193,Calc!$L61)</f>
        <v>0.86374363619780326</v>
      </c>
      <c r="Q61" s="14">
        <f>SUMIFS(Data!$G$2:$G$193,Data!$C$2:$C$193,Calc!Q$52,Data!$D$2:$D$193,Calc!$L61)</f>
        <v>0</v>
      </c>
      <c r="R61" s="14">
        <f>SUMIFS(Data!$G$2:$G$193,Data!$C$2:$C$193,Calc!R$52,Data!$D$2:$D$193,Calc!$L61)</f>
        <v>1.7059255514399219</v>
      </c>
      <c r="S61" s="14">
        <f>SUMIFS(Data!$G$2:$G$193,Data!$C$2:$C$193,Calc!S$52,Data!$D$2:$D$193,Calc!$L61)</f>
        <v>0.31471055259484437</v>
      </c>
      <c r="T61" s="14">
        <f>SUMIFS(Data!$G$2:$G$193,Data!$C$2:$C$193,Calc!T$52,Data!$D$2:$D$193,Calc!$L61)</f>
        <v>0.81446830381688251</v>
      </c>
      <c r="U61" s="14">
        <f>SUMIFS(Data!$G$2:$G$193,Data!$C$2:$C$193,Calc!U$52,Data!$D$2:$D$193,Calc!$L61)</f>
        <v>0.32578732152675371</v>
      </c>
    </row>
    <row r="62" spans="1:21" x14ac:dyDescent="0.3">
      <c r="A62" s="15" t="s">
        <v>16</v>
      </c>
      <c r="B62" s="14">
        <f>SUMIF(Data!C7:$C$193,$A62,Data!$G$2:$G$193)</f>
        <v>215.29688507346151</v>
      </c>
      <c r="C62" s="14">
        <f>SUMIF(Data!$C$2:$C$193,Calc!$A62,Data!$E$2:$E$193)</f>
        <v>4690.4843239220781</v>
      </c>
      <c r="D62" s="16">
        <f t="shared" si="16"/>
        <v>4.5900779153107814E-2</v>
      </c>
      <c r="L62" s="21" t="s">
        <v>20</v>
      </c>
      <c r="M62" s="14">
        <f>SUMIFS(Data!$G$2:$G$193,Data!$C$2:$C$193,Calc!M$52,Data!$D$2:$D$193,Calc!$L62)</f>
        <v>0</v>
      </c>
      <c r="N62" s="14">
        <f>SUMIFS(Data!$G$2:$G$193,Data!$C$2:$C$193,Calc!N$52,Data!$D$2:$D$193,Calc!$L62)</f>
        <v>4.3063943939365523E-2</v>
      </c>
      <c r="O62" s="14">
        <f>SUMIFS(Data!$G$2:$G$193,Data!$C$2:$C$193,Calc!O$52,Data!$D$2:$D$193,Calc!$L62)</f>
        <v>2.7264471892475939E-2</v>
      </c>
      <c r="P62" s="14">
        <f>SUMIFS(Data!$G$2:$G$193,Data!$C$2:$C$193,Calc!P$52,Data!$D$2:$D$193,Calc!$L62)</f>
        <v>0</v>
      </c>
      <c r="Q62" s="14">
        <f>SUMIFS(Data!$G$2:$G$193,Data!$C$2:$C$193,Calc!Q$52,Data!$D$2:$D$193,Calc!$L62)</f>
        <v>7.0560227465000125E-2</v>
      </c>
      <c r="R62" s="14">
        <f>SUMIFS(Data!$G$2:$G$193,Data!$C$2:$C$193,Calc!R$52,Data!$D$2:$D$193,Calc!$L62)</f>
        <v>0</v>
      </c>
      <c r="S62" s="14">
        <f>SUMIFS(Data!$G$2:$G$193,Data!$C$2:$C$193,Calc!S$52,Data!$D$2:$D$193,Calc!$L62)</f>
        <v>-6.0775209977441458E-2</v>
      </c>
      <c r="T62" s="14">
        <f>SUMIFS(Data!$G$2:$G$193,Data!$C$2:$C$193,Calc!T$52,Data!$D$2:$D$193,Calc!$L62)</f>
        <v>8.2240909860000211E-3</v>
      </c>
      <c r="U62" s="14">
        <f>SUMIFS(Data!$G$2:$G$193,Data!$C$2:$C$193,Calc!U$52,Data!$D$2:$D$193,Calc!$L62)</f>
        <v>2.18041212266325E-2</v>
      </c>
    </row>
    <row r="63" spans="1:21" x14ac:dyDescent="0.3">
      <c r="A63" s="15" t="s">
        <v>11</v>
      </c>
      <c r="B63" s="14">
        <f>SUMIF(Data!C8:$C$193,$A63,Data!$G$2:$G$193)</f>
        <v>220.76499162256533</v>
      </c>
      <c r="C63" s="14">
        <f>SUMIF(Data!$C$2:$C$193,Calc!$A63,Data!$E$2:$E$193)</f>
        <v>9700.4646976704698</v>
      </c>
      <c r="D63" s="16">
        <f t="shared" si="16"/>
        <v>2.2758187210926217E-2</v>
      </c>
      <c r="L63" s="21" t="s">
        <v>48</v>
      </c>
      <c r="M63" s="14">
        <f>SUMIFS(Data!$G$2:$G$193,Data!$C$2:$C$193,Calc!M$52,Data!$D$2:$D$193,Calc!$L63)</f>
        <v>0</v>
      </c>
      <c r="N63" s="14">
        <f>SUMIFS(Data!$G$2:$G$193,Data!$C$2:$C$193,Calc!N$52,Data!$D$2:$D$193,Calc!$L63)</f>
        <v>0</v>
      </c>
      <c r="O63" s="14">
        <f>SUMIFS(Data!$G$2:$G$193,Data!$C$2:$C$193,Calc!O$52,Data!$D$2:$D$193,Calc!$L63)</f>
        <v>0</v>
      </c>
      <c r="P63" s="14">
        <f>SUMIFS(Data!$G$2:$G$193,Data!$C$2:$C$193,Calc!P$52,Data!$D$2:$D$193,Calc!$L63)</f>
        <v>0</v>
      </c>
      <c r="Q63" s="14">
        <f>SUMIFS(Data!$G$2:$G$193,Data!$C$2:$C$193,Calc!Q$52,Data!$D$2:$D$193,Calc!$L63)</f>
        <v>-0.26768448857333382</v>
      </c>
      <c r="R63" s="14">
        <f>SUMIFS(Data!$G$2:$G$193,Data!$C$2:$C$193,Calc!R$52,Data!$D$2:$D$193,Calc!$L63)</f>
        <v>1.3651908917240014</v>
      </c>
      <c r="S63" s="14">
        <f>SUMIFS(Data!$G$2:$G$193,Data!$C$2:$C$193,Calc!S$52,Data!$D$2:$D$193,Calc!$L63)</f>
        <v>0.55249636444444405</v>
      </c>
      <c r="T63" s="14">
        <f>SUMIFS(Data!$G$2:$G$193,Data!$C$2:$C$193,Calc!T$52,Data!$D$2:$D$193,Calc!$L63)</f>
        <v>1.9958073635948352</v>
      </c>
      <c r="U63" s="14">
        <f>SUMIFS(Data!$G$2:$G$193,Data!$C$2:$C$193,Calc!U$52,Data!$D$2:$D$193,Calc!$L63)</f>
        <v>0.73880918846240107</v>
      </c>
    </row>
    <row r="64" spans="1:21" x14ac:dyDescent="0.3">
      <c r="A64" s="15" t="s">
        <v>13</v>
      </c>
      <c r="B64" s="14">
        <f>SUMIF(Data!C9:$C$193,$A64,Data!$G$2:$G$193)</f>
        <v>211.47716756693768</v>
      </c>
      <c r="C64" s="14">
        <f>SUMIF(Data!$C$2:$C$193,Calc!$A64,Data!$E$2:$E$193)</f>
        <v>4900.6903927252069</v>
      </c>
      <c r="D64" s="16">
        <f t="shared" si="16"/>
        <v>4.3152525587183264E-2</v>
      </c>
      <c r="L64" s="21" t="s">
        <v>34</v>
      </c>
      <c r="M64" s="14">
        <f>SUMIFS(Data!$G$2:$G$193,Data!$C$2:$C$193,Calc!M$52,Data!$D$2:$D$193,Calc!$L64)</f>
        <v>0</v>
      </c>
      <c r="N64" s="14">
        <f>SUMIFS(Data!$G$2:$G$193,Data!$C$2:$C$193,Calc!N$52,Data!$D$2:$D$193,Calc!$L64)</f>
        <v>0</v>
      </c>
      <c r="O64" s="14">
        <f>SUMIFS(Data!$G$2:$G$193,Data!$C$2:$C$193,Calc!O$52,Data!$D$2:$D$193,Calc!$L64)</f>
        <v>-5.1142493439000347E-2</v>
      </c>
      <c r="P64" s="14">
        <f>SUMIFS(Data!$G$2:$G$193,Data!$C$2:$C$193,Calc!P$52,Data!$D$2:$D$193,Calc!$L64)</f>
        <v>0</v>
      </c>
      <c r="Q64" s="14">
        <f>SUMIFS(Data!$G$2:$G$193,Data!$C$2:$C$193,Calc!Q$52,Data!$D$2:$D$193,Calc!$L64)</f>
        <v>0.10739923622189984</v>
      </c>
      <c r="R64" s="14">
        <f>SUMIFS(Data!$G$2:$G$193,Data!$C$2:$C$193,Calc!R$52,Data!$D$2:$D$193,Calc!$L64)</f>
        <v>0</v>
      </c>
      <c r="S64" s="14">
        <f>SUMIFS(Data!$G$2:$G$193,Data!$C$2:$C$193,Calc!S$52,Data!$D$2:$D$193,Calc!$L64)</f>
        <v>0.25826959186695042</v>
      </c>
      <c r="T64" s="14">
        <f>SUMIFS(Data!$G$2:$G$193,Data!$C$2:$C$193,Calc!T$52,Data!$D$2:$D$193,Calc!$L64)</f>
        <v>0.40197999843053989</v>
      </c>
      <c r="U64" s="14">
        <f>SUMIFS(Data!$G$2:$G$193,Data!$C$2:$C$193,Calc!U$52,Data!$D$2:$D$193,Calc!$L64)</f>
        <v>0.10555726200000048</v>
      </c>
    </row>
    <row r="65" spans="1:33" x14ac:dyDescent="0.3">
      <c r="A65" s="15" t="s">
        <v>14</v>
      </c>
      <c r="B65" s="14">
        <f>SUMIF(Data!C10:$C$193,$A65,Data!$G$2:$G$193)</f>
        <v>178.79752467711052</v>
      </c>
      <c r="C65" s="14">
        <f>SUMIF(Data!$C$2:$C$193,Calc!$A65,Data!$E$2:$E$193)</f>
        <v>11413.541354843752</v>
      </c>
      <c r="D65" s="16">
        <f t="shared" si="16"/>
        <v>1.5665385450347648E-2</v>
      </c>
      <c r="L65" s="21" t="s">
        <v>45</v>
      </c>
      <c r="M65" s="14">
        <f>SUMIFS(Data!$G$2:$G$193,Data!$C$2:$C$193,Calc!M$52,Data!$D$2:$D$193,Calc!$L65)</f>
        <v>-2.1099935828499952</v>
      </c>
      <c r="N65" s="14">
        <f>SUMIFS(Data!$G$2:$G$193,Data!$C$2:$C$193,Calc!N$52,Data!$D$2:$D$193,Calc!$L65)</f>
        <v>4.1172726780868629</v>
      </c>
      <c r="O65" s="14">
        <f>SUMIFS(Data!$G$2:$G$193,Data!$C$2:$C$193,Calc!O$52,Data!$D$2:$D$193,Calc!$L65)</f>
        <v>10.760967272534998</v>
      </c>
      <c r="P65" s="14">
        <f>SUMIFS(Data!$G$2:$G$193,Data!$C$2:$C$193,Calc!P$52,Data!$D$2:$D$193,Calc!$L65)</f>
        <v>0</v>
      </c>
      <c r="Q65" s="14">
        <f>SUMIFS(Data!$G$2:$G$193,Data!$C$2:$C$193,Calc!Q$52,Data!$D$2:$D$193,Calc!$L65)</f>
        <v>0</v>
      </c>
      <c r="R65" s="14">
        <f>SUMIFS(Data!$G$2:$G$193,Data!$C$2:$C$193,Calc!R$52,Data!$D$2:$D$193,Calc!$L65)</f>
        <v>0</v>
      </c>
      <c r="S65" s="14">
        <f>SUMIFS(Data!$G$2:$G$193,Data!$C$2:$C$193,Calc!S$52,Data!$D$2:$D$193,Calc!$L65)</f>
        <v>4.3549919150670746</v>
      </c>
      <c r="T65" s="14">
        <f>SUMIFS(Data!$G$2:$G$193,Data!$C$2:$C$193,Calc!T$52,Data!$D$2:$D$193,Calc!$L65)</f>
        <v>11.614459676797821</v>
      </c>
      <c r="U65" s="14">
        <f>SUMIFS(Data!$G$2:$G$193,Data!$C$2:$C$193,Calc!U$52,Data!$D$2:$D$193,Calc!$L65)</f>
        <v>5.8235822886659889</v>
      </c>
    </row>
    <row r="66" spans="1:33" x14ac:dyDescent="0.3">
      <c r="D66" s="16"/>
      <c r="L66" s="21" t="s">
        <v>22</v>
      </c>
      <c r="M66" s="14">
        <f>SUMIFS(Data!$G$2:$G$193,Data!$C$2:$C$193,Calc!M$52,Data!$D$2:$D$193,Calc!$L66)</f>
        <v>0</v>
      </c>
      <c r="N66" s="14">
        <f>SUMIFS(Data!$G$2:$G$193,Data!$C$2:$C$193,Calc!N$52,Data!$D$2:$D$193,Calc!$L66)</f>
        <v>0</v>
      </c>
      <c r="O66" s="14">
        <f>SUMIFS(Data!$G$2:$G$193,Data!$C$2:$C$193,Calc!O$52,Data!$D$2:$D$193,Calc!$L66)</f>
        <v>0</v>
      </c>
      <c r="P66" s="14">
        <f>SUMIFS(Data!$G$2:$G$193,Data!$C$2:$C$193,Calc!P$52,Data!$D$2:$D$193,Calc!$L66)</f>
        <v>0</v>
      </c>
      <c r="Q66" s="14">
        <f>SUMIFS(Data!$G$2:$G$193,Data!$C$2:$C$193,Calc!Q$52,Data!$D$2:$D$193,Calc!$L66)</f>
        <v>19.038113707766371</v>
      </c>
      <c r="R66" s="14">
        <f>SUMIFS(Data!$G$2:$G$193,Data!$C$2:$C$193,Calc!R$52,Data!$D$2:$D$193,Calc!$L66)</f>
        <v>9.0894588959930331</v>
      </c>
      <c r="S66" s="14">
        <f>SUMIFS(Data!$G$2:$G$193,Data!$C$2:$C$193,Calc!S$52,Data!$D$2:$D$193,Calc!$L66)</f>
        <v>3.6357835583972076</v>
      </c>
      <c r="T66" s="14">
        <f>SUMIFS(Data!$G$2:$G$193,Data!$C$2:$C$193,Calc!T$52,Data!$D$2:$D$193,Calc!$L66)</f>
        <v>13.151538076612326</v>
      </c>
      <c r="U66" s="14">
        <f>SUMIFS(Data!$G$2:$G$193,Data!$C$2:$C$193,Calc!U$52,Data!$D$2:$D$193,Calc!$L66)</f>
        <v>-26.868076918199591</v>
      </c>
    </row>
    <row r="67" spans="1:33" x14ac:dyDescent="0.3">
      <c r="B67" s="16">
        <f>INDEX($D$57:$D$65,$A$53,1)</f>
        <v>2.2758187210926217E-2</v>
      </c>
      <c r="C67" s="16">
        <f>1-B67</f>
        <v>0.97724181278907374</v>
      </c>
      <c r="L67" s="21" t="s">
        <v>32</v>
      </c>
      <c r="M67" s="14">
        <f>SUMIFS(Data!$G$2:$G$193,Data!$C$2:$C$193,Calc!M$52,Data!$D$2:$D$193,Calc!$L67)</f>
        <v>2.571891237112542</v>
      </c>
      <c r="N67" s="14">
        <f>SUMIFS(Data!$G$2:$G$193,Data!$C$2:$C$193,Calc!N$52,Data!$D$2:$D$193,Calc!$L67)</f>
        <v>0.51716643192368039</v>
      </c>
      <c r="O67" s="14">
        <f>SUMIFS(Data!$G$2:$G$193,Data!$C$2:$C$193,Calc!O$52,Data!$D$2:$D$193,Calc!$L67)</f>
        <v>2.6099237635900039</v>
      </c>
      <c r="P67" s="14">
        <f>SUMIFS(Data!$G$2:$G$193,Data!$C$2:$C$193,Calc!P$52,Data!$D$2:$D$193,Calc!$L67)</f>
        <v>0</v>
      </c>
      <c r="Q67" s="14">
        <f>SUMIFS(Data!$G$2:$G$193,Data!$C$2:$C$193,Calc!Q$52,Data!$D$2:$D$193,Calc!$L67)</f>
        <v>0</v>
      </c>
      <c r="R67" s="14">
        <f>SUMIFS(Data!$G$2:$G$193,Data!$C$2:$C$193,Calc!R$52,Data!$D$2:$D$193,Calc!$L67)</f>
        <v>0</v>
      </c>
      <c r="S67" s="14">
        <f>SUMIFS(Data!$G$2:$G$193,Data!$C$2:$C$193,Calc!S$52,Data!$D$2:$D$193,Calc!$L67)</f>
        <v>0.53536897714666765</v>
      </c>
      <c r="T67" s="14">
        <f>SUMIFS(Data!$G$2:$G$193,Data!$C$2:$C$193,Calc!T$52,Data!$D$2:$D$193,Calc!$L67)</f>
        <v>1.3518066672953353</v>
      </c>
      <c r="U67" s="14">
        <f>SUMIFS(Data!$G$2:$G$193,Data!$C$2:$C$193,Calc!U$52,Data!$D$2:$D$193,Calc!$L67)</f>
        <v>-3.9563232042161545</v>
      </c>
    </row>
    <row r="68" spans="1:33" x14ac:dyDescent="0.3">
      <c r="L68" s="21" t="s">
        <v>41</v>
      </c>
      <c r="M68" s="14">
        <f>SUMIFS(Data!$G$2:$G$193,Data!$C$2:$C$193,Calc!M$52,Data!$D$2:$D$193,Calc!$L68)</f>
        <v>0</v>
      </c>
      <c r="N68" s="14">
        <f>SUMIFS(Data!$G$2:$G$193,Data!$C$2:$C$193,Calc!N$52,Data!$D$2:$D$193,Calc!$L68)</f>
        <v>0</v>
      </c>
      <c r="O68" s="14">
        <f>SUMIFS(Data!$G$2:$G$193,Data!$C$2:$C$193,Calc!O$52,Data!$D$2:$D$193,Calc!$L68)</f>
        <v>25.805756892484624</v>
      </c>
      <c r="P68" s="14">
        <f>SUMIFS(Data!$G$2:$G$193,Data!$C$2:$C$193,Calc!P$52,Data!$D$2:$D$193,Calc!$L68)</f>
        <v>0</v>
      </c>
      <c r="Q68" s="14">
        <f>SUMIFS(Data!$G$2:$G$193,Data!$C$2:$C$193,Calc!Q$52,Data!$D$2:$D$193,Calc!$L68)</f>
        <v>72.263261364748587</v>
      </c>
      <c r="R68" s="14">
        <f>SUMIFS(Data!$G$2:$G$193,Data!$C$2:$C$193,Calc!R$52,Data!$D$2:$D$193,Calc!$L68)</f>
        <v>0</v>
      </c>
      <c r="S68" s="14">
        <f>SUMIFS(Data!$G$2:$G$193,Data!$C$2:$C$193,Calc!S$52,Data!$D$2:$D$193,Calc!$L68)</f>
        <v>-12.502889214408697</v>
      </c>
      <c r="T68" s="14">
        <f>SUMIFS(Data!$G$2:$G$193,Data!$C$2:$C$193,Calc!T$52,Data!$D$2:$D$193,Calc!$L68)</f>
        <v>45</v>
      </c>
      <c r="U68" s="14">
        <f>SUMIFS(Data!$G$2:$G$193,Data!$C$2:$C$193,Calc!U$52,Data!$D$2:$D$193,Calc!$L68)</f>
        <v>63.764734993484581</v>
      </c>
    </row>
    <row r="69" spans="1:33" x14ac:dyDescent="0.3">
      <c r="A69" s="14" t="s">
        <v>61</v>
      </c>
      <c r="B69" s="14" t="s">
        <v>0</v>
      </c>
      <c r="C69" s="14" t="s">
        <v>1</v>
      </c>
      <c r="D69" s="14" t="s">
        <v>2</v>
      </c>
      <c r="E69" s="14" t="s">
        <v>3</v>
      </c>
      <c r="F69" s="14" t="s">
        <v>52</v>
      </c>
      <c r="L69" s="21" t="s">
        <v>42</v>
      </c>
      <c r="M69" s="14">
        <f>SUMIFS(Data!$G$2:$G$193,Data!$C$2:$C$193,Calc!M$52,Data!$D$2:$D$193,Calc!$L69)</f>
        <v>0</v>
      </c>
      <c r="N69" s="14">
        <f>SUMIFS(Data!$G$2:$G$193,Data!$C$2:$C$193,Calc!N$52,Data!$D$2:$D$193,Calc!$L69)</f>
        <v>0</v>
      </c>
      <c r="O69" s="14">
        <f>SUMIFS(Data!$G$2:$G$193,Data!$C$2:$C$193,Calc!O$52,Data!$D$2:$D$193,Calc!$L69)</f>
        <v>0</v>
      </c>
      <c r="P69" s="14">
        <f>SUMIFS(Data!$G$2:$G$193,Data!$C$2:$C$193,Calc!P$52,Data!$D$2:$D$193,Calc!$L69)</f>
        <v>103.69951244887125</v>
      </c>
      <c r="Q69" s="14">
        <f>SUMIFS(Data!$G$2:$G$193,Data!$C$2:$C$193,Calc!Q$52,Data!$D$2:$D$193,Calc!$L69)</f>
        <v>41.967466945454817</v>
      </c>
      <c r="R69" s="14">
        <f>SUMIFS(Data!$G$2:$G$193,Data!$C$2:$C$193,Calc!R$52,Data!$D$2:$D$193,Calc!$L69)</f>
        <v>56.119736148800939</v>
      </c>
      <c r="S69" s="14">
        <f>SUMIFS(Data!$G$2:$G$193,Data!$C$2:$C$193,Calc!S$52,Data!$D$2:$D$193,Calc!$L69)</f>
        <v>0</v>
      </c>
      <c r="T69" s="14">
        <f>SUMIFS(Data!$G$2:$G$193,Data!$C$2:$C$193,Calc!T$52,Data!$D$2:$D$193,Calc!$L69)</f>
        <v>1.5736570426491565</v>
      </c>
      <c r="U69" s="14">
        <f>SUMIFS(Data!$G$2:$G$193,Data!$C$2:$C$193,Calc!U$52,Data!$D$2:$D$193,Calc!$L69)</f>
        <v>39.676653457202292</v>
      </c>
    </row>
    <row r="70" spans="1:33" x14ac:dyDescent="0.3">
      <c r="A70" s="15" t="s">
        <v>8</v>
      </c>
      <c r="B70" s="22">
        <f t="shared" ref="B70:F78" si="17">B23/B2</f>
        <v>4.8077319616266809E-2</v>
      </c>
      <c r="C70" s="22">
        <f t="shared" si="17"/>
        <v>2.2962345277440187E-2</v>
      </c>
      <c r="D70" s="22">
        <f t="shared" si="17"/>
        <v>5.0870724775420137E-2</v>
      </c>
      <c r="E70" s="22">
        <f t="shared" si="17"/>
        <v>1.726899009833183E-2</v>
      </c>
      <c r="F70" s="22">
        <f t="shared" si="17"/>
        <v>3.4693266232962386E-2</v>
      </c>
      <c r="G70"/>
      <c r="H70"/>
      <c r="I70"/>
      <c r="J70"/>
      <c r="K70"/>
      <c r="L70" s="21" t="s">
        <v>18</v>
      </c>
      <c r="M70" s="14">
        <f>SUMIFS(Data!$G$2:$G$193,Data!$C$2:$C$193,Calc!M$52,Data!$D$2:$D$193,Calc!$L70)</f>
        <v>9.880729732414828E-2</v>
      </c>
      <c r="N70" s="14">
        <f>SUMIFS(Data!$G$2:$G$193,Data!$C$2:$C$193,Calc!N$52,Data!$D$2:$D$193,Calc!$L70)</f>
        <v>0.25571246719499996</v>
      </c>
      <c r="O70" s="14">
        <f>SUMIFS(Data!$G$2:$G$193,Data!$C$2:$C$193,Calc!O$52,Data!$D$2:$D$193,Calc!$L70)</f>
        <v>0</v>
      </c>
      <c r="P70" s="14">
        <f>SUMIFS(Data!$G$2:$G$193,Data!$C$2:$C$193,Calc!P$52,Data!$D$2:$D$193,Calc!$L70)</f>
        <v>0.5409525378225748</v>
      </c>
      <c r="Q70" s="14">
        <f>SUMIFS(Data!$G$2:$G$193,Data!$C$2:$C$193,Calc!Q$52,Data!$D$2:$D$193,Calc!$L70)</f>
        <v>0</v>
      </c>
      <c r="R70" s="14">
        <f>SUMIFS(Data!$G$2:$G$193,Data!$C$2:$C$193,Calc!R$52,Data!$D$2:$D$193,Calc!$L70)</f>
        <v>0.10228498687799981</v>
      </c>
      <c r="S70" s="14">
        <f>SUMIFS(Data!$G$2:$G$193,Data!$C$2:$C$193,Calc!S$52,Data!$D$2:$D$193,Calc!$L70)</f>
        <v>0.27118307146029785</v>
      </c>
      <c r="T70" s="14">
        <f>SUMIFS(Data!$G$2:$G$193,Data!$C$2:$C$193,Calc!T$52,Data!$D$2:$D$193,Calc!$L70)</f>
        <v>-0.75587582452973212</v>
      </c>
      <c r="U70" s="14">
        <f>SUMIFS(Data!$G$2:$G$193,Data!$C$2:$C$193,Calc!U$52,Data!$D$2:$D$193,Calc!$L70)</f>
        <v>0</v>
      </c>
      <c r="V70"/>
      <c r="W70"/>
      <c r="X70"/>
      <c r="Y70"/>
      <c r="Z70"/>
      <c r="AA70"/>
      <c r="AB70"/>
      <c r="AC70"/>
      <c r="AD70"/>
      <c r="AE70"/>
      <c r="AF70"/>
      <c r="AG70"/>
    </row>
    <row r="71" spans="1:33" x14ac:dyDescent="0.3">
      <c r="A71" s="15" t="s">
        <v>10</v>
      </c>
      <c r="B71" s="22">
        <f t="shared" si="17"/>
        <v>-9.2742998096086868E-2</v>
      </c>
      <c r="C71" s="22">
        <f t="shared" si="17"/>
        <v>2.4165902255043198E-2</v>
      </c>
      <c r="D71" s="22">
        <f t="shared" si="17"/>
        <v>5.0009667216622068E-2</v>
      </c>
      <c r="E71" s="22">
        <f t="shared" si="17"/>
        <v>1.1452092186271816E-2</v>
      </c>
      <c r="F71" s="22">
        <f t="shared" si="17"/>
        <v>-4.3643445139882808E-3</v>
      </c>
      <c r="G71"/>
      <c r="H71"/>
      <c r="I71"/>
      <c r="J71"/>
      <c r="K71"/>
      <c r="L71" s="21" t="s">
        <v>31</v>
      </c>
      <c r="M71" s="14">
        <f>SUMIFS(Data!$G$2:$G$193,Data!$C$2:$C$193,Calc!M$52,Data!$D$2:$D$193,Calc!$L71)</f>
        <v>6.5790907329956099</v>
      </c>
      <c r="N71" s="14">
        <f>SUMIFS(Data!$G$2:$G$193,Data!$C$2:$C$193,Calc!N$52,Data!$D$2:$D$193,Calc!$L71)</f>
        <v>17.026632331769122</v>
      </c>
      <c r="O71" s="14">
        <f>SUMIFS(Data!$G$2:$G$193,Data!$C$2:$C$193,Calc!O$52,Data!$D$2:$D$193,Calc!$L71)</f>
        <v>0</v>
      </c>
      <c r="P71" s="14">
        <f>SUMIFS(Data!$G$2:$G$193,Data!$C$2:$C$193,Calc!P$52,Data!$D$2:$D$193,Calc!$L71)</f>
        <v>32.718105352314694</v>
      </c>
      <c r="Q71" s="14">
        <f>SUMIFS(Data!$G$2:$G$193,Data!$C$2:$C$193,Calc!Q$52,Data!$D$2:$D$193,Calc!$L71)</f>
        <v>0</v>
      </c>
      <c r="R71" s="14">
        <f>SUMIFS(Data!$G$2:$G$193,Data!$C$2:$C$193,Calc!R$52,Data!$D$2:$D$193,Calc!$L71)</f>
        <v>6.810652932707626</v>
      </c>
      <c r="S71" s="14">
        <f>SUMIFS(Data!$G$2:$G$193,Data!$C$2:$C$193,Calc!S$52,Data!$D$2:$D$193,Calc!$L71)</f>
        <v>17.196898655086841</v>
      </c>
      <c r="T71" s="14">
        <f>SUMIFS(Data!$G$2:$G$193,Data!$C$2:$C$193,Calc!T$52,Data!$D$2:$D$193,Calc!$L71)</f>
        <v>-50.330044107416256</v>
      </c>
      <c r="U71" s="14">
        <f>SUMIFS(Data!$G$2:$G$193,Data!$C$2:$C$193,Calc!U$52,Data!$D$2:$D$193,Calc!$L71)</f>
        <v>0</v>
      </c>
      <c r="V71"/>
      <c r="W71"/>
      <c r="X71"/>
      <c r="Y71"/>
      <c r="Z71"/>
      <c r="AA71"/>
      <c r="AB71"/>
      <c r="AC71"/>
      <c r="AD71"/>
      <c r="AE71"/>
      <c r="AF71"/>
      <c r="AG71"/>
    </row>
    <row r="72" spans="1:33" x14ac:dyDescent="0.3">
      <c r="A72" s="15" t="s">
        <v>9</v>
      </c>
      <c r="B72" s="22">
        <f t="shared" si="17"/>
        <v>-0.12379271643440289</v>
      </c>
      <c r="C72" s="22">
        <f t="shared" si="17"/>
        <v>2.1238555174942182E-2</v>
      </c>
      <c r="D72" s="22">
        <f t="shared" si="17"/>
        <v>5.7238654270932304E-2</v>
      </c>
      <c r="E72" s="22">
        <f t="shared" si="17"/>
        <v>1.4087832459798768E-2</v>
      </c>
      <c r="F72" s="22">
        <f t="shared" si="17"/>
        <v>-2.8122272054644095E-2</v>
      </c>
      <c r="G72"/>
      <c r="H72"/>
      <c r="I72"/>
      <c r="J72"/>
      <c r="K72"/>
      <c r="L72" s="21" t="s">
        <v>39</v>
      </c>
      <c r="M72" s="14">
        <f>SUMIFS(Data!$G$2:$G$193,Data!$C$2:$C$193,Calc!M$52,Data!$D$2:$D$193,Calc!$L72)</f>
        <v>1.4698742246209946</v>
      </c>
      <c r="N72" s="14">
        <f>SUMIFS(Data!$G$2:$G$193,Data!$C$2:$C$193,Calc!N$52,Data!$D$2:$D$193,Calc!$L72)</f>
        <v>4.1160546350038913</v>
      </c>
      <c r="O72" s="14">
        <f>SUMIFS(Data!$G$2:$G$193,Data!$C$2:$C$193,Calc!O$52,Data!$D$2:$D$193,Calc!$L72)</f>
        <v>1.9655452106476972</v>
      </c>
      <c r="P72" s="14">
        <f>SUMIFS(Data!$G$2:$G$193,Data!$C$2:$C$193,Calc!P$52,Data!$D$2:$D$193,Calc!$L72)</f>
        <v>0</v>
      </c>
      <c r="Q72" s="14">
        <f>SUMIFS(Data!$G$2:$G$193,Data!$C$2:$C$193,Calc!Q$52,Data!$D$2:$D$193,Calc!$L72)</f>
        <v>0</v>
      </c>
      <c r="R72" s="14">
        <f>SUMIFS(Data!$G$2:$G$193,Data!$C$2:$C$193,Calc!R$52,Data!$D$2:$D$193,Calc!$L72)</f>
        <v>0</v>
      </c>
      <c r="S72" s="14">
        <f>SUMIFS(Data!$G$2:$G$193,Data!$C$2:$C$193,Calc!S$52,Data!$D$2:$D$193,Calc!$L72)</f>
        <v>3.6319857153272608</v>
      </c>
      <c r="T72" s="14">
        <f>SUMIFS(Data!$G$2:$G$193,Data!$C$2:$C$193,Calc!T$52,Data!$D$2:$D$193,Calc!$L72)</f>
        <v>-0.71215406182886909</v>
      </c>
      <c r="U72" s="14">
        <f>SUMIFS(Data!$G$2:$G$193,Data!$C$2:$C$193,Calc!U$52,Data!$D$2:$D$193,Calc!$L72)</f>
        <v>1.4955235298406393</v>
      </c>
    </row>
    <row r="73" spans="1:33" x14ac:dyDescent="0.3">
      <c r="A73" s="15" t="s">
        <v>15</v>
      </c>
      <c r="B73" s="22">
        <f t="shared" si="17"/>
        <v>4.3995035526227723E-2</v>
      </c>
      <c r="C73" s="22">
        <f t="shared" si="17"/>
        <v>2.0008109703496348E-2</v>
      </c>
      <c r="D73" s="22">
        <f t="shared" si="17"/>
        <v>7.6544862883381165E-2</v>
      </c>
      <c r="E73" s="22">
        <f t="shared" si="17"/>
        <v>1.7725230099488481E-2</v>
      </c>
      <c r="F73" s="22">
        <f t="shared" si="17"/>
        <v>3.4230322292089783E-2</v>
      </c>
      <c r="G73"/>
      <c r="H73"/>
      <c r="I73"/>
      <c r="J73"/>
      <c r="K73"/>
      <c r="L73" s="21" t="s">
        <v>46</v>
      </c>
      <c r="M73" s="14">
        <f>SUMIFS(Data!$G$2:$G$193,Data!$C$2:$C$193,Calc!M$52,Data!$D$2:$D$193,Calc!$L73)</f>
        <v>0</v>
      </c>
      <c r="N73" s="14">
        <f>SUMIFS(Data!$G$2:$G$193,Data!$C$2:$C$193,Calc!N$52,Data!$D$2:$D$193,Calc!$L73)</f>
        <v>-4.6860551537508854</v>
      </c>
      <c r="O73" s="14">
        <f>SUMIFS(Data!$G$2:$G$193,Data!$C$2:$C$193,Calc!O$52,Data!$D$2:$D$193,Calc!$L73)</f>
        <v>9.1439931426172052</v>
      </c>
      <c r="P73" s="14">
        <f>SUMIFS(Data!$G$2:$G$193,Data!$C$2:$C$193,Calc!P$52,Data!$D$2:$D$193,Calc!$L73)</f>
        <v>0</v>
      </c>
      <c r="Q73" s="14">
        <f>SUMIFS(Data!$G$2:$G$193,Data!$C$2:$C$193,Calc!Q$52,Data!$D$2:$D$193,Calc!$L73)</f>
        <v>23.898881284129629</v>
      </c>
      <c r="R73" s="14">
        <f>SUMIFS(Data!$G$2:$G$193,Data!$C$2:$C$193,Calc!R$52,Data!$D$2:$D$193,Calc!$L73)</f>
        <v>0</v>
      </c>
      <c r="S73" s="14">
        <f>SUMIFS(Data!$G$2:$G$193,Data!$C$2:$C$193,Calc!S$52,Data!$D$2:$D$193,Calc!$L73)</f>
        <v>12.933512224352512</v>
      </c>
      <c r="T73" s="14">
        <f>SUMIFS(Data!$G$2:$G$193,Data!$C$2:$C$193,Calc!T$52,Data!$D$2:$D$193,Calc!$L73)</f>
        <v>9.671940461818167</v>
      </c>
      <c r="U73" s="14">
        <f>SUMIFS(Data!$G$2:$G$193,Data!$C$2:$C$193,Calc!U$52,Data!$D$2:$D$193,Calc!$L73)</f>
        <v>25.794390593821902</v>
      </c>
    </row>
    <row r="74" spans="1:33" x14ac:dyDescent="0.3">
      <c r="A74" s="15" t="s">
        <v>12</v>
      </c>
      <c r="B74" s="22">
        <f t="shared" si="17"/>
        <v>-8.8682631748754265E-2</v>
      </c>
      <c r="C74" s="22">
        <f t="shared" si="17"/>
        <v>2.0271959494855881E-2</v>
      </c>
      <c r="D74" s="22">
        <f t="shared" si="17"/>
        <v>5.5180278669008383E-2</v>
      </c>
      <c r="E74" s="22">
        <f t="shared" si="17"/>
        <v>1.9623481242804591E-2</v>
      </c>
      <c r="F74" s="22">
        <f t="shared" si="17"/>
        <v>8.6372220540639505E-4</v>
      </c>
      <c r="G74"/>
      <c r="H74"/>
      <c r="I74"/>
      <c r="J74"/>
      <c r="K74"/>
      <c r="L74" s="21" t="s">
        <v>47</v>
      </c>
      <c r="M74" s="14">
        <f>SUMIFS(Data!$G$2:$G$193,Data!$C$2:$C$193,Calc!M$52,Data!$D$2:$D$193,Calc!$L74)</f>
        <v>0</v>
      </c>
      <c r="N74" s="14">
        <f>SUMIFS(Data!$G$2:$G$193,Data!$C$2:$C$193,Calc!N$52,Data!$D$2:$D$193,Calc!$L74)</f>
        <v>0</v>
      </c>
      <c r="O74" s="14">
        <f>SUMIFS(Data!$G$2:$G$193,Data!$C$2:$C$193,Calc!O$52,Data!$D$2:$D$193,Calc!$L74)</f>
        <v>-3.405326466353813</v>
      </c>
      <c r="P74" s="14">
        <f>SUMIFS(Data!$G$2:$G$193,Data!$C$2:$C$193,Calc!P$52,Data!$D$2:$D$193,Calc!$L74)</f>
        <v>0</v>
      </c>
      <c r="Q74" s="14">
        <f>SUMIFS(Data!$G$2:$G$193,Data!$C$2:$C$193,Calc!Q$52,Data!$D$2:$D$193,Calc!$L74)</f>
        <v>6.6448816403255364</v>
      </c>
      <c r="R74" s="14">
        <f>SUMIFS(Data!$G$2:$G$193,Data!$C$2:$C$193,Calc!R$52,Data!$D$2:$D$193,Calc!$L74)</f>
        <v>0</v>
      </c>
      <c r="S74" s="14">
        <f>SUMIFS(Data!$G$2:$G$193,Data!$C$2:$C$193,Calc!S$52,Data!$D$2:$D$193,Calc!$L74)</f>
        <v>18.744619534044659</v>
      </c>
      <c r="T74" s="14">
        <f>SUMIFS(Data!$G$2:$G$193,Data!$C$2:$C$193,Calc!T$52,Data!$D$2:$D$193,Calc!$L74)</f>
        <v>26.765866025541072</v>
      </c>
      <c r="U74" s="14">
        <f>SUMIFS(Data!$G$2:$G$193,Data!$C$2:$C$193,Calc!U$52,Data!$D$2:$D$193,Calc!$L74)</f>
        <v>7.0285375982535356</v>
      </c>
    </row>
    <row r="75" spans="1:33" x14ac:dyDescent="0.3">
      <c r="A75" s="15" t="s">
        <v>16</v>
      </c>
      <c r="B75" s="22">
        <f t="shared" si="17"/>
        <v>-9.7288887063917043E-2</v>
      </c>
      <c r="C75" s="22">
        <f t="shared" si="17"/>
        <v>2.9643144346852422E-2</v>
      </c>
      <c r="D75" s="22">
        <f t="shared" si="17"/>
        <v>5.0458324904178752E-2</v>
      </c>
      <c r="E75" s="22">
        <f t="shared" si="17"/>
        <v>1.0840266413075079E-2</v>
      </c>
      <c r="F75" s="22">
        <f t="shared" si="17"/>
        <v>2.9129193954200043E-2</v>
      </c>
      <c r="G75"/>
      <c r="H75"/>
      <c r="I75"/>
      <c r="J75"/>
      <c r="K75"/>
      <c r="L75" s="21" t="s">
        <v>29</v>
      </c>
      <c r="M75" s="14">
        <f>SUMIFS(Data!$G$2:$G$193,Data!$C$2:$C$193,Calc!M$52,Data!$D$2:$D$193,Calc!$L75)</f>
        <v>0</v>
      </c>
      <c r="N75" s="14">
        <f>SUMIFS(Data!$G$2:$G$193,Data!$C$2:$C$193,Calc!N$52,Data!$D$2:$D$193,Calc!$L75)</f>
        <v>0</v>
      </c>
      <c r="O75" s="14">
        <f>SUMIFS(Data!$G$2:$G$193,Data!$C$2:$C$193,Calc!O$52,Data!$D$2:$D$193,Calc!$L75)</f>
        <v>0</v>
      </c>
      <c r="P75" s="14">
        <f>SUMIFS(Data!$G$2:$G$193,Data!$C$2:$C$193,Calc!P$52,Data!$D$2:$D$193,Calc!$L75)</f>
        <v>10.549967914249976</v>
      </c>
      <c r="Q75" s="14">
        <f>SUMIFS(Data!$G$2:$G$193,Data!$C$2:$C$193,Calc!Q$52,Data!$D$2:$D$193,Calc!$L75)</f>
        <v>4.2199871656999903</v>
      </c>
      <c r="R75" s="14">
        <f>SUMIFS(Data!$G$2:$G$193,Data!$C$2:$C$193,Calc!R$52,Data!$D$2:$D$193,Calc!$L75)</f>
        <v>-31.185283155806388</v>
      </c>
      <c r="S75" s="14">
        <f>SUMIFS(Data!$G$2:$G$193,Data!$C$2:$C$193,Calc!S$52,Data!$D$2:$D$193,Calc!$L75)</f>
        <v>0</v>
      </c>
      <c r="T75" s="14">
        <f>SUMIFS(Data!$G$2:$G$193,Data!$C$2:$C$193,Calc!T$52,Data!$D$2:$D$193,Calc!$L75)</f>
        <v>30.928117813126562</v>
      </c>
      <c r="U75" s="14">
        <f>SUMIFS(Data!$G$2:$G$193,Data!$C$2:$C$193,Calc!U$52,Data!$D$2:$D$193,Calc!$L75)</f>
        <v>4.0765076020661866</v>
      </c>
    </row>
    <row r="76" spans="1:33" x14ac:dyDescent="0.3">
      <c r="A76" s="15" t="s">
        <v>11</v>
      </c>
      <c r="B76" s="22">
        <f t="shared" si="17"/>
        <v>1.7822275268729339E-2</v>
      </c>
      <c r="C76" s="22">
        <f t="shared" si="17"/>
        <v>2.5229937343029453E-2</v>
      </c>
      <c r="D76" s="22">
        <f t="shared" si="17"/>
        <v>7.667515260909466E-2</v>
      </c>
      <c r="E76" s="22">
        <f t="shared" si="17"/>
        <v>-2.7162441943123332E-3</v>
      </c>
      <c r="F76" s="22">
        <f t="shared" si="17"/>
        <v>3.1798044986203686E-2</v>
      </c>
      <c r="G76"/>
      <c r="H76"/>
      <c r="I76"/>
      <c r="J76"/>
      <c r="K76"/>
      <c r="L76" s="21" t="s">
        <v>17</v>
      </c>
      <c r="M76" s="14">
        <f>SUMIFS(Data!$G$2:$G$193,Data!$C$2:$C$193,Calc!M$52,Data!$D$2:$D$193,Calc!$L76)</f>
        <v>0.23369913944249987</v>
      </c>
      <c r="N76" s="14">
        <f>SUMIFS(Data!$G$2:$G$193,Data!$C$2:$C$193,Calc!N$52,Data!$D$2:$D$193,Calc!$L76)</f>
        <v>0</v>
      </c>
      <c r="O76" s="14">
        <f>SUMIFS(Data!$G$2:$G$193,Data!$C$2:$C$193,Calc!O$52,Data!$D$2:$D$193,Calc!$L76)</f>
        <v>0</v>
      </c>
      <c r="P76" s="14">
        <f>SUMIFS(Data!$G$2:$G$193,Data!$C$2:$C$193,Calc!P$52,Data!$D$2:$D$193,Calc!$L76)</f>
        <v>9.0301347480582272E-2</v>
      </c>
      <c r="Q76" s="14">
        <f>SUMIFS(Data!$G$2:$G$193,Data!$C$2:$C$193,Calc!Q$52,Data!$D$2:$D$193,Calc!$L76)</f>
        <v>0</v>
      </c>
      <c r="R76" s="14">
        <f>SUMIFS(Data!$G$2:$G$193,Data!$C$2:$C$193,Calc!R$52,Data!$D$2:$D$193,Calc!$L76)</f>
        <v>0.24783793737877158</v>
      </c>
      <c r="S76" s="14">
        <f>SUMIFS(Data!$G$2:$G$193,Data!$C$2:$C$193,Calc!S$52,Data!$D$2:$D$193,Calc!$L76)</f>
        <v>-0.69080530822645336</v>
      </c>
      <c r="T76" s="14">
        <f>SUMIFS(Data!$G$2:$G$193,Data!$C$2:$C$193,Calc!T$52,Data!$D$2:$D$193,Calc!$L76)</f>
        <v>9.3479655777000126E-2</v>
      </c>
      <c r="U76" s="14">
        <f>SUMIFS(Data!$G$2:$G$193,Data!$C$2:$C$193,Calc!U$52,Data!$D$2:$D$193,Calc!$L76)</f>
        <v>0.49438396162345466</v>
      </c>
    </row>
    <row r="77" spans="1:33" x14ac:dyDescent="0.3">
      <c r="A77" s="15" t="s">
        <v>13</v>
      </c>
      <c r="B77" s="22">
        <f t="shared" si="17"/>
        <v>-5.2833681427791337E-2</v>
      </c>
      <c r="C77" s="22">
        <f t="shared" si="17"/>
        <v>6.884205612576641E-2</v>
      </c>
      <c r="D77" s="22">
        <f t="shared" si="17"/>
        <v>7.4998880591198108E-2</v>
      </c>
      <c r="E77" s="22">
        <f t="shared" si="17"/>
        <v>1.8277942129221913E-2</v>
      </c>
      <c r="F77" s="22">
        <f t="shared" si="17"/>
        <v>2.7173907323408932E-2</v>
      </c>
      <c r="G77"/>
      <c r="H77"/>
      <c r="I77"/>
      <c r="J77"/>
      <c r="K77"/>
      <c r="L77" s="21" t="s">
        <v>36</v>
      </c>
      <c r="M77" s="14">
        <f>SUMIFS(Data!$G$2:$G$193,Data!$C$2:$C$193,Calc!M$52,Data!$D$2:$D$193,Calc!$L77)</f>
        <v>0</v>
      </c>
      <c r="N77" s="14">
        <f>SUMIFS(Data!$G$2:$G$193,Data!$C$2:$C$193,Calc!N$52,Data!$D$2:$D$193,Calc!$L77)</f>
        <v>0</v>
      </c>
      <c r="O77" s="14">
        <f>SUMIFS(Data!$G$2:$G$193,Data!$C$2:$C$193,Calc!O$52,Data!$D$2:$D$193,Calc!$L77)</f>
        <v>0</v>
      </c>
      <c r="P77" s="14">
        <f>SUMIFS(Data!$G$2:$G$193,Data!$C$2:$C$193,Calc!P$52,Data!$D$2:$D$193,Calc!$L77)</f>
        <v>3.8949245560680135E-2</v>
      </c>
      <c r="Q77" s="14">
        <f>SUMIFS(Data!$G$2:$G$193,Data!$C$2:$C$193,Calc!Q$52,Data!$D$2:$D$193,Calc!$L77)</f>
        <v>0</v>
      </c>
      <c r="R77" s="14">
        <f>SUMIFS(Data!$G$2:$G$193,Data!$C$2:$C$193,Calc!R$52,Data!$D$2:$D$193,Calc!$L77)</f>
        <v>8.6352955353000138E-3</v>
      </c>
      <c r="S77" s="14">
        <f>SUMIFS(Data!$G$2:$G$193,Data!$C$2:$C$193,Calc!S$52,Data!$D$2:$D$193,Calc!$L77)</f>
        <v>7.1971432014300118E-2</v>
      </c>
      <c r="T77" s="14">
        <f>SUMIFS(Data!$G$2:$G$193,Data!$C$2:$C$193,Calc!T$52,Data!$D$2:$D$193,Calc!$L77)</f>
        <v>4.3751485070000484E-3</v>
      </c>
      <c r="U77" s="14">
        <f>SUMIFS(Data!$G$2:$G$193,Data!$C$2:$C$193,Calc!U$52,Data!$D$2:$D$193,Calc!$L77)</f>
        <v>2.3766492137029471E-2</v>
      </c>
    </row>
    <row r="78" spans="1:33" x14ac:dyDescent="0.3">
      <c r="A78" s="15" t="s">
        <v>14</v>
      </c>
      <c r="B78" s="22">
        <f t="shared" si="17"/>
        <v>3.6540022305998184E-2</v>
      </c>
      <c r="C78" s="22">
        <f t="shared" si="17"/>
        <v>2.0497158657313955E-2</v>
      </c>
      <c r="D78" s="22">
        <f t="shared" si="17"/>
        <v>8.435793158453303E-2</v>
      </c>
      <c r="E78" s="22">
        <f t="shared" si="17"/>
        <v>1.9903186654072302E-3</v>
      </c>
      <c r="F78" s="22">
        <f t="shared" si="17"/>
        <v>3.4211899294244438E-2</v>
      </c>
      <c r="G78"/>
      <c r="H78"/>
      <c r="I78"/>
      <c r="J78"/>
      <c r="K78"/>
      <c r="L78" s="21" t="s">
        <v>21</v>
      </c>
      <c r="M78" s="14">
        <f>SUMIFS(Data!$G$2:$G$193,Data!$C$2:$C$193,Calc!M$52,Data!$D$2:$D$193,Calc!$L78)</f>
        <v>0</v>
      </c>
      <c r="N78" s="14">
        <f>SUMIFS(Data!$G$2:$G$193,Data!$C$2:$C$193,Calc!N$52,Data!$D$2:$D$193,Calc!$L78)</f>
        <v>0</v>
      </c>
      <c r="O78" s="14">
        <f>SUMIFS(Data!$G$2:$G$193,Data!$C$2:$C$193,Calc!O$52,Data!$D$2:$D$193,Calc!$L78)</f>
        <v>21.513959711694923</v>
      </c>
      <c r="P78" s="14">
        <f>SUMIFS(Data!$G$2:$G$193,Data!$C$2:$C$193,Calc!P$52,Data!$D$2:$D$193,Calc!$L78)</f>
        <v>0</v>
      </c>
      <c r="Q78" s="14">
        <f>SUMIFS(Data!$G$2:$G$193,Data!$C$2:$C$193,Calc!Q$52,Data!$D$2:$D$193,Calc!$L78)</f>
        <v>3.9689130300298245</v>
      </c>
      <c r="R78" s="14">
        <f>SUMIFS(Data!$G$2:$G$193,Data!$C$2:$C$193,Calc!R$52,Data!$D$2:$D$193,Calc!$L78)</f>
        <v>0</v>
      </c>
      <c r="S78" s="14">
        <f>SUMIFS(Data!$G$2:$G$193,Data!$C$2:$C$193,Calc!S$52,Data!$D$2:$D$193,Calc!$L78)</f>
        <v>10.89294065307098</v>
      </c>
      <c r="T78" s="14">
        <f>SUMIFS(Data!$G$2:$G$193,Data!$C$2:$C$193,Calc!T$52,Data!$D$2:$D$193,Calc!$L78)</f>
        <v>-20.090670626855939</v>
      </c>
      <c r="U78" s="14">
        <f>SUMIFS(Data!$G$2:$G$193,Data!$C$2:$C$193,Calc!U$52,Data!$D$2:$D$193,Calc!$L78)</f>
        <v>4.1086056211488824</v>
      </c>
    </row>
    <row r="79" spans="1:33" x14ac:dyDescent="0.3">
      <c r="A79"/>
      <c r="B79" s="22">
        <f>SUM(B70:B78)</f>
        <v>-0.30890626205373034</v>
      </c>
      <c r="C79" s="22">
        <f>SUM(C70:C78)</f>
        <v>0.25285916837874001</v>
      </c>
      <c r="D79" s="22">
        <f>SUM(D70:D78)</f>
        <v>0.57633447750436861</v>
      </c>
      <c r="E79" s="22">
        <f>SUM(E70:E78)</f>
        <v>0.10854990910008738</v>
      </c>
      <c r="F79" s="22">
        <f>SUM(F70:F78)</f>
        <v>0.1596137397198833</v>
      </c>
      <c r="G79"/>
      <c r="H79"/>
      <c r="I79"/>
      <c r="J79"/>
      <c r="K79"/>
      <c r="L79" s="21" t="s">
        <v>40</v>
      </c>
      <c r="M79" s="14">
        <f>SUMIFS(Data!$G$2:$G$193,Data!$C$2:$C$193,Calc!M$52,Data!$D$2:$D$193,Calc!$L79)</f>
        <v>0</v>
      </c>
      <c r="N79" s="14">
        <f>SUMIFS(Data!$G$2:$G$193,Data!$C$2:$C$193,Calc!N$52,Data!$D$2:$D$193,Calc!$L79)</f>
        <v>0.33620982613700079</v>
      </c>
      <c r="O79" s="14">
        <f>SUMIFS(Data!$G$2:$G$193,Data!$C$2:$C$193,Calc!O$52,Data!$D$2:$D$193,Calc!$L79)</f>
        <v>0.94148056345560605</v>
      </c>
      <c r="P79" s="14">
        <f>SUMIFS(Data!$G$2:$G$193,Data!$C$2:$C$193,Calc!P$52,Data!$D$2:$D$193,Calc!$L79)</f>
        <v>0</v>
      </c>
      <c r="Q79" s="14">
        <f>SUMIFS(Data!$G$2:$G$193,Data!$C$2:$C$193,Calc!Q$52,Data!$D$2:$D$193,Calc!$L79)</f>
        <v>0.44958650370691977</v>
      </c>
      <c r="R79" s="14">
        <f>SUMIFS(Data!$G$2:$G$193,Data!$C$2:$C$193,Calc!R$52,Data!$D$2:$D$193,Calc!$L79)</f>
        <v>0</v>
      </c>
      <c r="S79" s="14">
        <f>SUMIFS(Data!$G$2:$G$193,Data!$C$2:$C$193,Calc!S$52,Data!$D$2:$D$193,Calc!$L79)</f>
        <v>0.34207668760308962</v>
      </c>
      <c r="T79" s="14">
        <f>SUMIFS(Data!$G$2:$G$193,Data!$C$2:$C$193,Calc!T$52,Data!$D$2:$D$193,Calc!$L79)</f>
        <v>0.8307576698932202</v>
      </c>
      <c r="U79" s="14">
        <f>SUMIFS(Data!$G$2:$G$193,Data!$C$2:$C$193,Calc!U$52,Data!$D$2:$D$193,Calc!$L79)</f>
        <v>-0.16289366076337686</v>
      </c>
    </row>
    <row r="80" spans="1:33" x14ac:dyDescent="0.3">
      <c r="A80"/>
      <c r="B80"/>
      <c r="C80"/>
      <c r="D80"/>
      <c r="E80"/>
      <c r="F80"/>
      <c r="G80"/>
      <c r="H80"/>
      <c r="I80"/>
      <c r="J80"/>
      <c r="K80"/>
      <c r="L80" s="21" t="s">
        <v>19</v>
      </c>
      <c r="M80" s="14">
        <f>SUMIFS(Data!$G$2:$G$193,Data!$C$2:$C$193,Calc!M$52,Data!$D$2:$D$193,Calc!$L80)</f>
        <v>0.27061433541679225</v>
      </c>
      <c r="N80" s="14">
        <f>SUMIFS(Data!$G$2:$G$193,Data!$C$2:$C$193,Calc!N$52,Data!$D$2:$D$193,Calc!$L80)</f>
        <v>4.9923155771493199E-2</v>
      </c>
      <c r="O80" s="14">
        <f>SUMIFS(Data!$G$2:$G$193,Data!$C$2:$C$193,Calc!O$52,Data!$D$2:$D$193,Calc!$L80)</f>
        <v>0.12920071369434005</v>
      </c>
      <c r="P80" s="14">
        <f>SUMIFS(Data!$G$2:$G$193,Data!$C$2:$C$193,Calc!P$52,Data!$D$2:$D$193,Calc!$L80)</f>
        <v>0</v>
      </c>
      <c r="Q80" s="14">
        <f>SUMIFS(Data!$G$2:$G$193,Data!$C$2:$C$193,Calc!Q$52,Data!$D$2:$D$193,Calc!$L80)</f>
        <v>0</v>
      </c>
      <c r="R80" s="14">
        <f>SUMIFS(Data!$G$2:$G$193,Data!$C$2:$C$193,Calc!R$52,Data!$D$2:$D$193,Calc!$L80)</f>
        <v>0</v>
      </c>
      <c r="S80" s="14">
        <f>SUMIFS(Data!$G$2:$G$193,Data!$C$2:$C$193,Calc!S$52,Data!$D$2:$D$193,Calc!$L80)</f>
        <v>5.1680285477735843E-2</v>
      </c>
      <c r="T80" s="14">
        <f>SUMIFS(Data!$G$2:$G$193,Data!$C$2:$C$193,Calc!T$52,Data!$D$2:$D$193,Calc!$L80)</f>
        <v>0.13701735687284788</v>
      </c>
      <c r="U80" s="14">
        <f>SUMIFS(Data!$G$2:$G$193,Data!$C$2:$C$193,Calc!U$52,Data!$D$2:$D$193,Calc!$L80)</f>
        <v>-0.38191214165192156</v>
      </c>
    </row>
    <row r="81" spans="1:21" x14ac:dyDescent="0.3">
      <c r="A81" s="14" t="s">
        <v>0</v>
      </c>
      <c r="B81">
        <f>INDEX($A$69:$F$79,11,MATCH($A81,$B$69:$F$69,0)+1)</f>
        <v>-0.30890626205373034</v>
      </c>
      <c r="C81"/>
      <c r="D81"/>
      <c r="E81"/>
      <c r="F81"/>
      <c r="G81"/>
      <c r="H81"/>
      <c r="I81"/>
      <c r="J81"/>
      <c r="K81"/>
      <c r="L81" s="21" t="s">
        <v>33</v>
      </c>
      <c r="M81" s="14">
        <f>SUMIFS(Data!$G$2:$G$193,Data!$C$2:$C$193,Calc!M$52,Data!$D$2:$D$193,Calc!$L81)</f>
        <v>0</v>
      </c>
      <c r="N81" s="14">
        <f>SUMIFS(Data!$G$2:$G$193,Data!$C$2:$C$193,Calc!N$52,Data!$D$2:$D$193,Calc!$L81)</f>
        <v>-4.6739827888499619E-2</v>
      </c>
      <c r="O81" s="14">
        <f>SUMIFS(Data!$G$2:$G$193,Data!$C$2:$C$193,Calc!O$52,Data!$D$2:$D$193,Calc!$L81)</f>
        <v>9.815363856584991E-2</v>
      </c>
      <c r="P81" s="14">
        <f>SUMIFS(Data!$G$2:$G$193,Data!$C$2:$C$193,Calc!P$52,Data!$D$2:$D$193,Calc!$L81)</f>
        <v>0</v>
      </c>
      <c r="Q81" s="14">
        <f>SUMIFS(Data!$G$2:$G$193,Data!$C$2:$C$193,Calc!Q$52,Data!$D$2:$D$193,Calc!$L81)</f>
        <v>0.23837312223135054</v>
      </c>
      <c r="R81" s="14">
        <f>SUMIFS(Data!$G$2:$G$193,Data!$C$2:$C$193,Calc!R$52,Data!$D$2:$D$193,Calc!$L81)</f>
        <v>0</v>
      </c>
      <c r="S81" s="14">
        <f>SUMIFS(Data!$G$2:$G$193,Data!$C$2:$C$193,Calc!S$52,Data!$D$2:$D$193,Calc!$L81)</f>
        <v>0.12900192497226026</v>
      </c>
      <c r="T81" s="14">
        <f>SUMIFS(Data!$G$2:$G$193,Data!$C$2:$C$193,Calc!T$52,Data!$D$2:$D$193,Calc!$L81)</f>
        <v>9.6470232999999794E-2</v>
      </c>
      <c r="U81" s="14">
        <f>SUMIFS(Data!$G$2:$G$193,Data!$C$2:$C$193,Calc!U$52,Data!$D$2:$D$193,Calc!$L81)</f>
        <v>0.23603613083692476</v>
      </c>
    </row>
    <row r="82" spans="1:21" x14ac:dyDescent="0.3">
      <c r="A82" s="14" t="s">
        <v>1</v>
      </c>
      <c r="B82">
        <f>INDEX($A$69:$F$79,11,MATCH($A82,$B$69:$F$69,0)+1)</f>
        <v>0.25285916837874001</v>
      </c>
      <c r="C82"/>
      <c r="D82"/>
      <c r="E82"/>
      <c r="F82"/>
      <c r="G82"/>
      <c r="H82"/>
      <c r="I82"/>
      <c r="J82"/>
      <c r="K82"/>
      <c r="L82" s="21" t="s">
        <v>26</v>
      </c>
      <c r="M82" s="14">
        <f>SUMIFS(Data!$G$2:$G$193,Data!$C$2:$C$193,Calc!M$52,Data!$D$2:$D$193,Calc!$L82)</f>
        <v>40.666475470145542</v>
      </c>
      <c r="N82" s="14">
        <f>SUMIFS(Data!$G$2:$G$193,Data!$C$2:$C$193,Calc!N$52,Data!$D$2:$D$193,Calc!$L82)</f>
        <v>102.68285056211744</v>
      </c>
      <c r="O82" s="14">
        <f>SUMIFS(Data!$G$2:$G$193,Data!$C$2:$C$193,Calc!O$52,Data!$D$2:$D$193,Calc!$L82)</f>
        <v>-300.52118707682848</v>
      </c>
      <c r="P82" s="14">
        <f>SUMIFS(Data!$G$2:$G$193,Data!$C$2:$C$193,Calc!P$52,Data!$D$2:$D$193,Calc!$L82)</f>
        <v>0</v>
      </c>
      <c r="Q82" s="14">
        <f>SUMIFS(Data!$G$2:$G$193,Data!$C$2:$C$193,Calc!Q$52,Data!$D$2:$D$193,Calc!$L82)</f>
        <v>0</v>
      </c>
      <c r="R82" s="14">
        <f>SUMIFS(Data!$G$2:$G$193,Data!$C$2:$C$193,Calc!R$52,Data!$D$2:$D$193,Calc!$L82)</f>
        <v>0</v>
      </c>
      <c r="S82" s="14">
        <f>SUMIFS(Data!$G$2:$G$193,Data!$C$2:$C$193,Calc!S$52,Data!$D$2:$D$193,Calc!$L82)</f>
        <v>101.66618867536386</v>
      </c>
      <c r="T82" s="14">
        <f>SUMIFS(Data!$G$2:$G$193,Data!$C$2:$C$193,Calc!T$52,Data!$D$2:$D$193,Calc!$L82)</f>
        <v>16</v>
      </c>
      <c r="U82" s="14">
        <f>SUMIFS(Data!$G$2:$G$193,Data!$C$2:$C$193,Calc!U$52,Data!$D$2:$D$193,Calc!$L82)</f>
        <v>39.283815304160498</v>
      </c>
    </row>
    <row r="83" spans="1:21" x14ac:dyDescent="0.3">
      <c r="A83" s="14" t="s">
        <v>2</v>
      </c>
      <c r="B83">
        <f>INDEX($A$69:$F$79,11,MATCH($A83,$B$69:$F$69,0)+1)</f>
        <v>0.57633447750436861</v>
      </c>
      <c r="C83"/>
      <c r="D83"/>
      <c r="E83"/>
      <c r="F83"/>
      <c r="G83"/>
      <c r="H83"/>
      <c r="I83"/>
      <c r="J83"/>
      <c r="K83"/>
      <c r="L83" s="21" t="s">
        <v>25</v>
      </c>
      <c r="M83" s="14">
        <f>SUMIFS(Data!$G$2:$G$193,Data!$C$2:$C$193,Calc!M$52,Data!$D$2:$D$193,Calc!$L83)</f>
        <v>66.296570059402484</v>
      </c>
      <c r="N83" s="14">
        <f>SUMIFS(Data!$G$2:$G$193,Data!$C$2:$C$193,Calc!N$52,Data!$D$2:$D$193,Calc!$L83)</f>
        <v>-184.79020201111825</v>
      </c>
      <c r="O83" s="14">
        <f>SUMIFS(Data!$G$2:$G$193,Data!$C$2:$C$193,Calc!O$52,Data!$D$2:$D$193,Calc!$L83)</f>
        <v>0</v>
      </c>
      <c r="P83" s="14">
        <f>SUMIFS(Data!$G$2:$G$193,Data!$C$2:$C$193,Calc!P$52,Data!$D$2:$D$193,Calc!$L83)</f>
        <v>25.005778428817393</v>
      </c>
      <c r="Q83" s="14">
        <f>SUMIFS(Data!$G$2:$G$193,Data!$C$2:$C$193,Calc!Q$52,Data!$D$2:$D$193,Calc!$L83)</f>
        <v>0</v>
      </c>
      <c r="R83" s="14">
        <f>SUMIFS(Data!$G$2:$G$193,Data!$C$2:$C$193,Calc!R$52,Data!$D$2:$D$193,Calc!$L83)</f>
        <v>0</v>
      </c>
      <c r="S83" s="14">
        <f>SUMIFS(Data!$G$2:$G$193,Data!$C$2:$C$193,Calc!S$52,Data!$D$2:$D$193,Calc!$L83)</f>
        <v>130.93817204259085</v>
      </c>
      <c r="T83" s="14">
        <f>SUMIFS(Data!$G$2:$G$193,Data!$C$2:$C$193,Calc!T$52,Data!$D$2:$D$193,Calc!$L83)</f>
        <v>12</v>
      </c>
      <c r="U83" s="14">
        <f>SUMIFS(Data!$G$2:$G$193,Data!$C$2:$C$193,Calc!U$52,Data!$D$2:$D$193,Calc!$L83)</f>
        <v>62.514446072043711</v>
      </c>
    </row>
    <row r="84" spans="1:21" x14ac:dyDescent="0.3">
      <c r="A84" s="14" t="s">
        <v>3</v>
      </c>
      <c r="B84">
        <f>INDEX($A$69:$F$79,11,MATCH($A84,$B$69:$F$69,0)+1)</f>
        <v>0.10854990910008738</v>
      </c>
      <c r="C84"/>
      <c r="D84"/>
      <c r="E84"/>
      <c r="F84"/>
      <c r="G84"/>
      <c r="H84"/>
      <c r="I84"/>
      <c r="J84"/>
      <c r="K84"/>
      <c r="L84" s="21" t="s">
        <v>30</v>
      </c>
      <c r="M84" s="14">
        <f>SUMIFS(Data!$G$2:$G$193,Data!$C$2:$C$193,Calc!M$52,Data!$D$2:$D$193,Calc!$L84)</f>
        <v>23.430275768754541</v>
      </c>
      <c r="N84" s="14">
        <f>SUMIFS(Data!$G$2:$G$193,Data!$C$2:$C$193,Calc!N$52,Data!$D$2:$D$193,Calc!$L84)</f>
        <v>0</v>
      </c>
      <c r="O84" s="14">
        <f>SUMIFS(Data!$G$2:$G$193,Data!$C$2:$C$193,Calc!O$52,Data!$D$2:$D$193,Calc!$L84)</f>
        <v>0</v>
      </c>
      <c r="P84" s="14">
        <f>SUMIFS(Data!$G$2:$G$193,Data!$C$2:$C$193,Calc!P$52,Data!$D$2:$D$193,Calc!$L84)</f>
        <v>9.0534585570467812</v>
      </c>
      <c r="Q84" s="14">
        <f>SUMIFS(Data!$G$2:$G$193,Data!$C$2:$C$193,Calc!Q$52,Data!$D$2:$D$193,Calc!$L84)</f>
        <v>0</v>
      </c>
      <c r="R84" s="14">
        <f>SUMIFS(Data!$G$2:$G$193,Data!$C$2:$C$193,Calc!R$52,Data!$D$2:$D$193,Calc!$L84)</f>
        <v>23.664578526442085</v>
      </c>
      <c r="S84" s="14">
        <f>SUMIFS(Data!$G$2:$G$193,Data!$C$2:$C$193,Calc!S$52,Data!$D$2:$D$193,Calc!$L84)</f>
        <v>-69.258957961407759</v>
      </c>
      <c r="T84" s="14">
        <f>SUMIFS(Data!$G$2:$G$193,Data!$C$2:$C$193,Calc!T$52,Data!$D$2:$D$193,Calc!$L84)</f>
        <v>9.3721103075018277</v>
      </c>
      <c r="U84" s="14">
        <f>SUMIFS(Data!$G$2:$G$193,Data!$C$2:$C$193,Calc!U$52,Data!$D$2:$D$193,Calc!$L84)</f>
        <v>45.023244532364117</v>
      </c>
    </row>
    <row r="85" spans="1:21" x14ac:dyDescent="0.3">
      <c r="A85" s="14" t="s">
        <v>52</v>
      </c>
      <c r="B85">
        <f>INDEX($A$69:$F$79,11,MATCH($A85,$B$69:$F$69,0)+1)</f>
        <v>0.1596137397198833</v>
      </c>
      <c r="C85"/>
      <c r="D85"/>
      <c r="E85"/>
      <c r="F85"/>
      <c r="G85"/>
      <c r="H85"/>
      <c r="I85"/>
      <c r="J85"/>
      <c r="K85"/>
      <c r="L85" s="21"/>
      <c r="M85" s="20"/>
      <c r="N85" s="20"/>
      <c r="O85" s="20"/>
      <c r="P85" s="20"/>
      <c r="Q85" s="20"/>
      <c r="R85" s="20"/>
      <c r="S85" s="20"/>
      <c r="T85" s="20"/>
      <c r="U85" s="20"/>
    </row>
    <row r="86" spans="1:21" x14ac:dyDescent="0.3">
      <c r="A86"/>
      <c r="B86"/>
      <c r="C86"/>
      <c r="D86"/>
      <c r="E86"/>
      <c r="F86"/>
      <c r="G86"/>
      <c r="H86"/>
      <c r="I86"/>
      <c r="J86"/>
      <c r="K86"/>
    </row>
    <row r="87" spans="1:21" x14ac:dyDescent="0.3">
      <c r="A87"/>
      <c r="B87" s="22">
        <f>IF($G$7=1,"No profit ",INDEX($B$81:$B$85,$G$7,1))</f>
        <v>0.10854990910008738</v>
      </c>
      <c r="C87"/>
      <c r="D87"/>
      <c r="E87"/>
      <c r="F87"/>
      <c r="G87"/>
      <c r="H87"/>
      <c r="I87"/>
      <c r="J87"/>
      <c r="K87"/>
    </row>
    <row r="88" spans="1:21" x14ac:dyDescent="0.3">
      <c r="A88"/>
      <c r="B88"/>
      <c r="C88"/>
      <c r="D88"/>
      <c r="E88"/>
      <c r="F88"/>
      <c r="G88"/>
      <c r="H88"/>
      <c r="I88"/>
      <c r="J88"/>
      <c r="K88"/>
    </row>
    <row r="89" spans="1:21" x14ac:dyDescent="0.3">
      <c r="A89"/>
      <c r="B89"/>
      <c r="C89"/>
      <c r="D89"/>
      <c r="E89"/>
      <c r="F89"/>
      <c r="G89"/>
      <c r="H89"/>
      <c r="I89"/>
      <c r="J89"/>
      <c r="K89"/>
      <c r="L89" s="21"/>
      <c r="M89" s="14">
        <v>1</v>
      </c>
      <c r="N89" s="14">
        <v>2</v>
      </c>
      <c r="O89" s="14">
        <v>3</v>
      </c>
    </row>
    <row r="90" spans="1:21" x14ac:dyDescent="0.3">
      <c r="A90"/>
      <c r="B90"/>
      <c r="C90"/>
      <c r="D90"/>
      <c r="E90"/>
      <c r="F90"/>
      <c r="G90"/>
      <c r="H90"/>
      <c r="I90"/>
      <c r="J90"/>
      <c r="K90"/>
      <c r="L90" s="20" t="s">
        <v>8</v>
      </c>
      <c r="M90" s="14" t="str">
        <f>INDEX($L$53:$U$84,MATCH(MAX(M$53:M$84),M$53:M$84,0),1)</f>
        <v>Trustee Brown</v>
      </c>
      <c r="N90" s="14" t="str">
        <f>INDEX($L$53:$U$84,MATCH(LARGE(M$53:M$84,2),M$53:M$84,0),1)</f>
        <v>Babieca Noire</v>
      </c>
      <c r="O90" s="14" t="str">
        <f>INDEX($L$53:$U$84,MATCH(LARGE(M$53:M$84,3),M$53:M$84,0),1)</f>
        <v>The Corporation</v>
      </c>
    </row>
    <row r="91" spans="1:21" x14ac:dyDescent="0.3">
      <c r="A91"/>
      <c r="B91"/>
      <c r="C91"/>
      <c r="D91"/>
      <c r="E91"/>
      <c r="F91"/>
      <c r="G91"/>
      <c r="H91"/>
      <c r="I91"/>
      <c r="J91"/>
      <c r="K91"/>
      <c r="L91" s="20" t="s">
        <v>10</v>
      </c>
      <c r="M91" s="14" t="str">
        <f>INDEX($L$53:$U$84,MATCH(MAX(N$53:N$84),N$53:N$84,0),1)</f>
        <v>The Corporation</v>
      </c>
      <c r="N91" s="14" t="str">
        <f>INDEX($L$53:$U$84,MATCH(LARGE(N$53:N$84,2),N$53:N$84,0),1)</f>
        <v>Born To Excel</v>
      </c>
      <c r="O91" s="14" t="str">
        <f>INDEX($L$53:$U$84,MATCH(LARGE(N$53:N$84,3),N$53:N$84,0),1)</f>
        <v>Lets Lighten Up</v>
      </c>
    </row>
    <row r="92" spans="1:21" x14ac:dyDescent="0.3">
      <c r="A92"/>
      <c r="B92"/>
      <c r="C92"/>
      <c r="D92"/>
      <c r="E92"/>
      <c r="F92"/>
      <c r="G92"/>
      <c r="H92"/>
      <c r="I92"/>
      <c r="J92"/>
      <c r="K92"/>
      <c r="L92" s="20" t="s">
        <v>9</v>
      </c>
      <c r="M92" s="14" t="str">
        <f>INDEX($L$53:$U$84,MATCH(MAX(O$53:O$84),O$53:O$84,0),1)</f>
        <v>Born To Excel</v>
      </c>
      <c r="N92" s="14" t="str">
        <f>INDEX($L$53:$U$84,MATCH(LARGE(O$53:O$84,2),O$53:O$84,0),1)</f>
        <v>Honest Lies</v>
      </c>
      <c r="O92" s="14" t="str">
        <f>INDEX($L$53:$U$84,MATCH(LARGE(O$53:O$84,3),O$53:O$84,0),1)</f>
        <v>Ringmeister</v>
      </c>
    </row>
    <row r="93" spans="1:21" x14ac:dyDescent="0.3">
      <c r="A93"/>
      <c r="B93"/>
      <c r="C93"/>
      <c r="D93"/>
      <c r="E93"/>
      <c r="F93"/>
      <c r="G93"/>
      <c r="H93"/>
      <c r="I93"/>
      <c r="J93"/>
      <c r="K93"/>
      <c r="L93" s="20" t="s">
        <v>15</v>
      </c>
      <c r="M93" s="14" t="str">
        <f>INDEX($L$53:$U$84,MATCH(MAX(P$53:P$84),P$53:P$84,0),1)</f>
        <v>Kalahaar</v>
      </c>
      <c r="N93" s="14" t="str">
        <f>INDEX($L$53:$U$84,MATCH(LARGE(P$53:P$84,2),P$53:P$84,0),1)</f>
        <v>Lets Lighten Up</v>
      </c>
      <c r="O93" s="14" t="str">
        <f>INDEX($L$53:$U$84,MATCH(LARGE(P$53:P$84,3),P$53:P$84,0),1)</f>
        <v>Trustee Brown</v>
      </c>
    </row>
    <row r="94" spans="1:21" x14ac:dyDescent="0.3">
      <c r="A94"/>
      <c r="B94"/>
      <c r="C94"/>
      <c r="D94"/>
      <c r="E94"/>
      <c r="F94"/>
      <c r="G94"/>
      <c r="H94"/>
      <c r="I94"/>
      <c r="J94"/>
      <c r="K94"/>
      <c r="L94" s="20" t="s">
        <v>12</v>
      </c>
      <c r="M94" s="14" t="str">
        <f>INDEX($L$53:$U$84,MATCH(MAX(Q$53:Q$84),Q$53:Q$84,0),1)</f>
        <v>Honest Lies</v>
      </c>
      <c r="N94" s="14" t="str">
        <f>INDEX($L$53:$U$84,MATCH(LARGE(Q$53:Q$84,2),Q$53:Q$84,0),1)</f>
        <v>Kalahaar</v>
      </c>
      <c r="O94" s="14" t="str">
        <f>INDEX($L$53:$U$84,MATCH(LARGE(Q$53:Q$84,3),Q$53:Q$84,0),1)</f>
        <v>Megems Boy</v>
      </c>
    </row>
    <row r="95" spans="1:21" x14ac:dyDescent="0.3">
      <c r="A95"/>
      <c r="B95"/>
      <c r="C95"/>
      <c r="D95"/>
      <c r="E95"/>
      <c r="F95"/>
      <c r="G95"/>
      <c r="H95"/>
      <c r="I95"/>
      <c r="J95"/>
      <c r="K95"/>
      <c r="L95" s="20" t="s">
        <v>16</v>
      </c>
      <c r="M95" s="14" t="str">
        <f>INDEX($L$53:$U$84,MATCH(MAX(R$53:R$84),R$53:R$84,0),1)</f>
        <v>Babieca Noire</v>
      </c>
      <c r="N95" s="14" t="str">
        <f>INDEX($L$53:$U$84,MATCH(LARGE(R$53:R$84,2),R$53:R$84,0),1)</f>
        <v>Kalahaar</v>
      </c>
      <c r="O95" s="14" t="str">
        <f>INDEX($L$53:$U$84,MATCH(LARGE(R$53:R$84,3),R$53:R$84,0),1)</f>
        <v>Ultimate Fighter</v>
      </c>
    </row>
    <row r="96" spans="1:21" x14ac:dyDescent="0.3">
      <c r="A96"/>
      <c r="B96"/>
      <c r="C96"/>
      <c r="D96"/>
      <c r="E96"/>
      <c r="F96"/>
      <c r="G96"/>
      <c r="H96"/>
      <c r="I96"/>
      <c r="J96"/>
      <c r="K96"/>
      <c r="L96" s="20" t="s">
        <v>11</v>
      </c>
      <c r="M96" s="14" t="str">
        <f>INDEX($L$53:$U$84,MATCH(MAX(S$53:S$84),S$53:S$84,0),1)</f>
        <v>Trustee Brown</v>
      </c>
      <c r="N96" s="14" t="str">
        <f>INDEX($L$53:$U$84,MATCH(LARGE(S$53:S$84,2),S$53:S$84,0),1)</f>
        <v>The Corporation</v>
      </c>
      <c r="O96" s="14" t="str">
        <f>INDEX($L$53:$U$84,MATCH(LARGE(S$53:S$84,3),S$53:S$84,0),1)</f>
        <v>Babieca Noire</v>
      </c>
    </row>
    <row r="97" spans="1:15" x14ac:dyDescent="0.3">
      <c r="A97"/>
      <c r="B97"/>
      <c r="C97"/>
      <c r="D97"/>
      <c r="E97"/>
      <c r="F97"/>
      <c r="G97"/>
      <c r="H97"/>
      <c r="I97"/>
      <c r="J97"/>
      <c r="K97"/>
      <c r="L97" s="20" t="s">
        <v>13</v>
      </c>
      <c r="M97" s="14" t="str">
        <f>INDEX($L$53:$U$84,MATCH(MAX(T$53:T$84),T$53:T$84,0),1)</f>
        <v>Honest Lies</v>
      </c>
      <c r="N97" s="14" t="str">
        <f>INDEX($L$53:$U$84,MATCH(LARGE(T$53:T$84,2),T$53:T$84,0),1)</f>
        <v>My Bonny Lad</v>
      </c>
      <c r="O97" s="14" t="str">
        <f>INDEX($L$53:$U$84,MATCH(LARGE(T$53:T$84,3),T$53:T$84,0),1)</f>
        <v>Metal Talk</v>
      </c>
    </row>
    <row r="98" spans="1:15" x14ac:dyDescent="0.3">
      <c r="A98"/>
      <c r="B98"/>
      <c r="C98"/>
      <c r="D98"/>
      <c r="E98"/>
      <c r="F98"/>
      <c r="G98"/>
      <c r="H98"/>
      <c r="I98"/>
      <c r="J98"/>
      <c r="K98"/>
      <c r="L98" s="20" t="s">
        <v>14</v>
      </c>
      <c r="M98" s="14" t="str">
        <f>INDEX($L$53:$U$84,MATCH(MAX(U$53:U$84),U$53:U$84,0),1)</f>
        <v>Born To Excel</v>
      </c>
      <c r="N98" s="14" t="str">
        <f>INDEX($L$53:$U$84,MATCH(LARGE(U$53:U$84,2),U$53:U$84,0),1)</f>
        <v>Honest Lies</v>
      </c>
      <c r="O98" s="14" t="str">
        <f>INDEX($L$53:$U$84,MATCH(LARGE(U$53:U$84,3),U$53:U$84,0),1)</f>
        <v>Trustee Brown</v>
      </c>
    </row>
    <row r="99" spans="1:15" x14ac:dyDescent="0.3">
      <c r="A99"/>
      <c r="B99"/>
      <c r="C99"/>
      <c r="D99"/>
      <c r="E99"/>
      <c r="F99"/>
      <c r="G99"/>
      <c r="H99"/>
      <c r="I99"/>
      <c r="J99"/>
      <c r="K99"/>
    </row>
    <row r="100" spans="1:15" x14ac:dyDescent="0.3">
      <c r="A100"/>
      <c r="B100"/>
      <c r="C100"/>
      <c r="D100"/>
      <c r="E100"/>
      <c r="F100"/>
      <c r="G100"/>
      <c r="H100"/>
      <c r="I100"/>
      <c r="J100"/>
      <c r="K100"/>
    </row>
    <row r="101" spans="1:15" x14ac:dyDescent="0.3">
      <c r="A101"/>
      <c r="B101"/>
      <c r="C101"/>
      <c r="D101"/>
      <c r="E101"/>
      <c r="F101"/>
      <c r="G101"/>
      <c r="H101"/>
      <c r="I101"/>
      <c r="J101"/>
      <c r="K101"/>
    </row>
    <row r="102" spans="1:15" x14ac:dyDescent="0.3">
      <c r="A102"/>
      <c r="B102"/>
      <c r="C102"/>
      <c r="D102"/>
      <c r="E102"/>
      <c r="F102"/>
      <c r="G102"/>
      <c r="H102"/>
      <c r="I102"/>
      <c r="J102"/>
      <c r="K102"/>
    </row>
    <row r="103" spans="1:15" x14ac:dyDescent="0.3">
      <c r="A103"/>
      <c r="B103"/>
      <c r="C103"/>
      <c r="D103"/>
      <c r="E103"/>
      <c r="F103"/>
      <c r="G103"/>
      <c r="H103"/>
      <c r="I103"/>
      <c r="J103"/>
      <c r="K103"/>
    </row>
    <row r="104" spans="1:15" x14ac:dyDescent="0.3">
      <c r="A104"/>
      <c r="B104"/>
      <c r="C104"/>
      <c r="D104"/>
      <c r="E104"/>
      <c r="F104"/>
      <c r="G104"/>
      <c r="H104"/>
      <c r="I104"/>
      <c r="J104"/>
      <c r="K104"/>
    </row>
    <row r="105" spans="1:15" x14ac:dyDescent="0.3">
      <c r="A105"/>
      <c r="B105"/>
      <c r="C105"/>
      <c r="D105"/>
      <c r="E105"/>
      <c r="F105"/>
      <c r="G105"/>
      <c r="H105"/>
      <c r="I105"/>
      <c r="J105"/>
      <c r="K10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BU47"/>
  <sheetViews>
    <sheetView tabSelected="1" topLeftCell="AZ21" workbookViewId="0">
      <selection activeCell="BR36" sqref="BR36:BR44"/>
    </sheetView>
  </sheetViews>
  <sheetFormatPr defaultRowHeight="14.4" x14ac:dyDescent="0.3"/>
  <sheetData>
    <row r="2" spans="2:60" x14ac:dyDescent="0.3">
      <c r="B2" s="40" t="s">
        <v>51</v>
      </c>
      <c r="C2" s="40" t="s">
        <v>0</v>
      </c>
      <c r="D2" s="40" t="s">
        <v>1</v>
      </c>
      <c r="E2" s="40" t="s">
        <v>2</v>
      </c>
      <c r="F2" s="40" t="s">
        <v>3</v>
      </c>
      <c r="G2" s="40" t="s">
        <v>52</v>
      </c>
      <c r="J2" s="40" t="s">
        <v>55</v>
      </c>
      <c r="K2" s="40" t="s">
        <v>0</v>
      </c>
      <c r="L2" s="40" t="s">
        <v>1</v>
      </c>
      <c r="M2" s="40" t="s">
        <v>2</v>
      </c>
      <c r="N2" s="40" t="s">
        <v>3</v>
      </c>
      <c r="O2" s="40" t="s">
        <v>52</v>
      </c>
      <c r="R2" s="18"/>
      <c r="S2" s="15" t="s">
        <v>8</v>
      </c>
      <c r="T2" s="15" t="s">
        <v>10</v>
      </c>
      <c r="U2" s="15" t="s">
        <v>9</v>
      </c>
      <c r="V2" s="15" t="s">
        <v>15</v>
      </c>
      <c r="W2" s="15" t="s">
        <v>12</v>
      </c>
      <c r="X2" s="15" t="s">
        <v>16</v>
      </c>
      <c r="Y2" s="15" t="s">
        <v>11</v>
      </c>
      <c r="Z2" s="15" t="s">
        <v>13</v>
      </c>
      <c r="AA2" s="15" t="s">
        <v>14</v>
      </c>
      <c r="AD2" s="18"/>
      <c r="AE2" s="15" t="s">
        <v>8</v>
      </c>
      <c r="AF2" s="15" t="s">
        <v>10</v>
      </c>
      <c r="AG2" s="15" t="s">
        <v>9</v>
      </c>
      <c r="AH2" s="15" t="s">
        <v>15</v>
      </c>
      <c r="AI2" s="15" t="s">
        <v>12</v>
      </c>
      <c r="AJ2" s="15" t="s">
        <v>16</v>
      </c>
      <c r="AK2" s="15" t="s">
        <v>11</v>
      </c>
      <c r="AL2" s="15" t="s">
        <v>13</v>
      </c>
      <c r="AM2" s="15" t="s">
        <v>14</v>
      </c>
      <c r="AY2" s="14" t="s">
        <v>49</v>
      </c>
      <c r="AZ2" s="20" t="s">
        <v>8</v>
      </c>
      <c r="BA2" s="20" t="s">
        <v>10</v>
      </c>
      <c r="BB2" s="20" t="s">
        <v>9</v>
      </c>
      <c r="BC2" s="20" t="s">
        <v>15</v>
      </c>
      <c r="BD2" s="20" t="s">
        <v>12</v>
      </c>
      <c r="BE2" s="20" t="s">
        <v>16</v>
      </c>
      <c r="BF2" s="20" t="s">
        <v>11</v>
      </c>
      <c r="BG2" s="20" t="s">
        <v>13</v>
      </c>
      <c r="BH2" s="20" t="s">
        <v>14</v>
      </c>
    </row>
    <row r="3" spans="2:60" x14ac:dyDescent="0.3">
      <c r="B3" s="41" t="s">
        <v>8</v>
      </c>
      <c r="C3">
        <f>SUMIFS(Data!$F$2:$F$193,Data!$C$2:$C$193,Calc!A2,Data!$B$2:$B$193,Calc!$B$1)</f>
        <v>1684.2598617228443</v>
      </c>
      <c r="D3">
        <f>SUMIFS(Data!$F$2:$F$193,Data!$C$2:$C$193,Calc!A2,Data!$B$2:$B$193,Calc!$C$1)</f>
        <v>637.99402457287283</v>
      </c>
      <c r="E3">
        <f>SUMIFS(Data!$F$2:$F$193,Data!$C$2:$C$193,Calc!A2,Data!$B$2:$B$193,Calc!$D$1)</f>
        <v>1565.6547168744896</v>
      </c>
      <c r="F3">
        <f>SUMIFS(Data!$F$2:$F$193,Data!$C$2:$C$193,Calc!A2,Data!$B$2:$B$193,Calc!$E$1)</f>
        <v>2317.816843023325</v>
      </c>
      <c r="G3">
        <f>SUM(C3:F3)</f>
        <v>6205.7254461935318</v>
      </c>
      <c r="J3" s="41" t="s">
        <v>8</v>
      </c>
      <c r="K3">
        <f>SUMIFS(Data!$G$2:$G$193,Data!$C$2:$C$193,Sheet4!$J$3,Data!$B$2:$B$193,Sheet4!K2)</f>
        <v>80.974699688898525</v>
      </c>
      <c r="L3">
        <f>SUMIFS(Data!$G$2:$G$193,Data!$C$2:$C$193,Sheet4!$J$3,Data!$B$2:$B$193,Sheet4!L2)</f>
        <v>14.649839077185964</v>
      </c>
      <c r="M3">
        <f>SUMIFS(Data!$G$2:$G$193,Data!$C$2:$C$193,Sheet4!$J$3,Data!$B$2:$B$193,Sheet4!M2)</f>
        <v>79.645990195460499</v>
      </c>
      <c r="N3">
        <f>SUMIFS(Data!$G$2:$G$193,Data!$C$2:$C$193,Sheet4!$J$3,Data!$B$2:$B$193,Sheet4!N2)</f>
        <v>40.026356111916542</v>
      </c>
      <c r="O3">
        <f t="shared" ref="O3:O11" si="0">SUM(K3:N3)</f>
        <v>215.29688507346151</v>
      </c>
      <c r="Q3">
        <v>1</v>
      </c>
      <c r="R3" s="18">
        <v>41275</v>
      </c>
      <c r="S3">
        <f>SUMIFS(Data!$G$2:$G$193,Data!$I$2:$I$193,Sheet4!$Q$3,Data!$C$2:$C$193,Sheet4!$S$2)</f>
        <v>23.663974908197041</v>
      </c>
      <c r="T3">
        <f>SUMIFS(Data!$G$2:$G$193,Data!$I$2:$I$193,Sheet4!$Q$3,Data!$C$2:$C$193,Sheet4!$T$2)</f>
        <v>17.282344798964122</v>
      </c>
      <c r="U3">
        <f>SUMIFS(Data!$G$2:$G$193,Data!$I$2:$I$193,Sheet4!$Q$3,Data!$C$2:$C$193,Sheet4!$U$2)</f>
        <v>2.7391244772843439</v>
      </c>
      <c r="V3">
        <f>SUMIFS(Data!$G$2:$G$193,Data!$I$2:$I$193,Sheet4!$Q$3,Data!$C$2:$C$193,Sheet4!$V$2)</f>
        <v>10.549967914249976</v>
      </c>
      <c r="W3">
        <f>SUMIFS(Data!$G$2:$G$193,Data!$I$2:$I$193,Sheet4!$Q$3,Data!$C$2:$C$193,Sheet4!W2)</f>
        <v>7.0560227465000125E-2</v>
      </c>
      <c r="X3">
        <f>SUMIFS(Data!$G$2:$G$193,Data!$I$2:$I$193,Sheet4!$Q$3,Data!$C$2:$C$193,Sheet4!X2)</f>
        <v>9.0894588959930331</v>
      </c>
      <c r="Y3">
        <f>SUMIFS(Data!$G$2:$G$193,Data!$I$2:$I$193,Sheet4!$Q$3,Data!$C$2:$C$193,Sheet4!Y2)</f>
        <v>105.22695898450823</v>
      </c>
      <c r="Z3">
        <f>SUMIFS(Data!$G$2:$G$193,Data!$I$2:$I$193,Sheet4!$Q$3,Data!$C$2:$C$193,Sheet4!Z2)</f>
        <v>12.085982356689103</v>
      </c>
      <c r="AA3">
        <f>SUMIFS(Data!$G$2:$G$193,Data!$I$2:$I$193,Sheet4!$Q$3,Data!$C$2:$C$193,Sheet4!AA2)</f>
        <v>68.413184591816872</v>
      </c>
      <c r="AD3" s="18">
        <v>41275</v>
      </c>
      <c r="AE3">
        <f>IF($U$20,S3,NA())</f>
        <v>23.663974908197041</v>
      </c>
      <c r="AF3">
        <f>IF($U$22,T3,NA())</f>
        <v>17.282344798964122</v>
      </c>
      <c r="AG3">
        <f>IF($U$24,U3,NA())</f>
        <v>2.7391244772843439</v>
      </c>
      <c r="AH3">
        <f>IF($U$26,V3,NA())</f>
        <v>10.549967914249976</v>
      </c>
      <c r="AI3">
        <f>IF($U$28,W3,NA())</f>
        <v>7.0560227465000125E-2</v>
      </c>
      <c r="AJ3">
        <f>IF($U$31,X3,NA())</f>
        <v>9.0894588959930331</v>
      </c>
      <c r="AK3">
        <f>IF($U$33,Y3,NA())</f>
        <v>105.22695898450823</v>
      </c>
      <c r="AL3">
        <f>IF($U$35,Z3,NA())</f>
        <v>12.085982356689103</v>
      </c>
      <c r="AM3">
        <f>IF($U$37,AA3,NA())</f>
        <v>68.413184591816872</v>
      </c>
      <c r="AY3" s="21" t="s">
        <v>44</v>
      </c>
      <c r="AZ3">
        <f>SUMIFS(Data!$G$2:$G$193,Data!$C$2:$C$193,Sheet4!$AZ$2,Data!$D$2:$D$193,Sheet4!AY3)</f>
        <v>2.3020652896807547</v>
      </c>
      <c r="BA3">
        <f>SUMIFS(Data!$G$2:$G$193,Data!$C$2:$C$193,Sheet4!$BA$2,Data!$D$2:$D$193,Sheet4!AY3)</f>
        <v>6.0167132901686244</v>
      </c>
      <c r="BB3">
        <f>SUMIFS(Data!$G$2:$G$193,Data!$C$2:$C$193,Sheet4!$BB$2,Data!$D$2:$D$193,Sheet4!AY3)</f>
        <v>0</v>
      </c>
      <c r="BC3">
        <f>SUMIFS(Data!$G$2:$G$193,Data!$C$2:$C$193,Sheet4!$BC$2,Data!$D$2:$D$193,Sheet4!AY3)</f>
        <v>-1.1797477039546322</v>
      </c>
      <c r="BD3">
        <f>SUMIFS(Data!$G$2:$G$193,Data!$C$2:$C$193,Sheet4!$BD$2,Data!$D$2:$D$193,Sheet4!AY3)</f>
        <v>0</v>
      </c>
      <c r="BE3">
        <f>SUMIFS(Data!$G$2:$G$193,Data!$C$2:$C$193,Sheet4!$BE$2,Data!$D$2:$D$193,Sheet4!AY3)</f>
        <v>2.4349797811241132</v>
      </c>
      <c r="BF3">
        <f>SUMIFS(Data!$G$2:$G$193,Data!$C$2:$C$193,Sheet4!$BF$2,Data!$D$2:$D$193,Sheet4!AY3)</f>
        <v>6.4939212364182737</v>
      </c>
      <c r="BG3">
        <f>SUMIFS(Data!$G$2:$G$193,Data!$C$2:$C$193,Sheet4!$BG$2,Data!$D$2:$D$193,Sheet4!AY3)</f>
        <v>3.2561036629147821</v>
      </c>
      <c r="BH3">
        <f>SUMIFS(Data!$G$2:$G$193,Data!$C$2:$C$193,Sheet4!$BH$2,Data!$D$2:$D$193,Sheet4!AY3)</f>
        <v>0</v>
      </c>
    </row>
    <row r="4" spans="2:60" x14ac:dyDescent="0.3">
      <c r="B4" s="41" t="s">
        <v>10</v>
      </c>
      <c r="C4">
        <f>SUMIFS(Data!$F$2:$F$193,Data!$C$2:$C$193,Calc!A3,Data!$B$2:$B$193,Calc!$B$1)</f>
        <v>1741.2758616523454</v>
      </c>
      <c r="D4">
        <f>SUMIFS(Data!$F$2:$F$193,Data!$C$2:$C$193,Calc!A3,Data!$B$2:$B$193,Calc!$C$1)</f>
        <v>401.4641569753731</v>
      </c>
      <c r="E4">
        <f>SUMIFS(Data!$F$2:$F$193,Data!$C$2:$C$193,Calc!A3,Data!$B$2:$B$193,Calc!$D$1)</f>
        <v>2136.4263169011624</v>
      </c>
      <c r="F4">
        <f>SUMIFS(Data!$F$2:$F$193,Data!$C$2:$C$193,Calc!A3,Data!$B$2:$B$193,Calc!$E$1)</f>
        <v>1661.0362739423979</v>
      </c>
      <c r="G4">
        <f t="shared" ref="G4:G11" si="1">SUM(C4:F4)</f>
        <v>5940.2026094712792</v>
      </c>
      <c r="J4" s="41" t="s">
        <v>10</v>
      </c>
      <c r="K4">
        <f>SUMIFS(Data!$G$2:$G$193,Data!$C$2:$C$193,Sheet4!$J$4,Data!$B$2:$B$193,Sheet4!K2)</f>
        <v>-161.4911439219855</v>
      </c>
      <c r="L4">
        <f>SUMIFS(Data!$G$2:$G$193,Data!$C$2:$C$193,Sheet4!$J$4,Data!$B$2:$B$193,Sheet4!L2)</f>
        <v>9.7017435763701858</v>
      </c>
      <c r="M4">
        <f>SUMIFS(Data!$G$2:$G$193,Data!$C$2:$C$193,Sheet4!$J$4,Data!$B$2:$B$193,Sheet4!M2)</f>
        <v>106.84196914106069</v>
      </c>
      <c r="N4">
        <f>SUMIFS(Data!$G$2:$G$193,Data!$C$2:$C$193,Sheet4!$J$4,Data!$B$2:$B$193,Sheet4!N2)</f>
        <v>19.022340533929786</v>
      </c>
      <c r="O4">
        <f t="shared" si="0"/>
        <v>-25.925090670624847</v>
      </c>
      <c r="Q4">
        <v>2</v>
      </c>
      <c r="R4" s="18">
        <v>41306</v>
      </c>
      <c r="S4">
        <f>SUMIFS(Data!$G$2:$G$193,Data!$I$2:$I$193,Sheet4!$Q$4,Data!$C$2:$C$193,Sheet4!$S$2)</f>
        <v>59.718260508052026</v>
      </c>
      <c r="T4">
        <f>SUMIFS(Data!$G$2:$G$193,Data!$I$2:$I$193,Sheet4!$Q$4,Data!$C$2:$C$193,Sheet4!$T$2)</f>
        <v>6.0167132901686244</v>
      </c>
      <c r="U4">
        <f>SUMIFS(Data!$G$2:$G$193,Data!$I$2:$I$193,Sheet4!$Q$4,Data!$C$2:$C$193,Sheet4!$U$2)</f>
        <v>10.760967272534998</v>
      </c>
      <c r="V4">
        <f>SUMIFS(Data!$G$2:$G$193,Data!$I$2:$I$193,Sheet4!$Q$4,Data!$C$2:$C$193,Sheet4!$V$2)</f>
        <v>103.69951244887125</v>
      </c>
      <c r="W4">
        <f>SUMIFS(Data!$G$2:$G$193,Data!$I$2:$I$193,Sheet4!$Q$4,Data!$C$2:$C$193,Sheet4!W2)</f>
        <v>24.137254406360981</v>
      </c>
      <c r="X4">
        <f>SUMIFS(Data!$G$2:$G$193,Data!$I$2:$I$193,Sheet4!$Q$4,Data!$C$2:$C$193,Sheet4!X2)</f>
        <v>1.4969756196922281</v>
      </c>
      <c r="Y4">
        <f>SUMIFS(Data!$G$2:$G$193,Data!$I$2:$I$193,Sheet4!$Q$4,Data!$C$2:$C$193,Sheet4!Y2)</f>
        <v>3.7039571473415611</v>
      </c>
      <c r="Z4">
        <f>SUMIFS(Data!$G$2:$G$193,Data!$I$2:$I$193,Sheet4!$Q$4,Data!$C$2:$C$193,Sheet4!Z2)</f>
        <v>28.935693698766276</v>
      </c>
      <c r="AA4">
        <f>SUMIFS(Data!$G$2:$G$193,Data!$I$2:$I$193,Sheet4!$Q$4,Data!$C$2:$C$193,Sheet4!AA2)</f>
        <v>73.035983067397467</v>
      </c>
      <c r="AD4" s="18">
        <v>41306</v>
      </c>
      <c r="AE4">
        <f t="shared" ref="AE4:AE14" si="2">IF($U$20,S4,NA())</f>
        <v>59.718260508052026</v>
      </c>
      <c r="AF4">
        <f t="shared" ref="AF4:AF14" si="3">IF($U$22,T4,NA())</f>
        <v>6.0167132901686244</v>
      </c>
      <c r="AG4">
        <f t="shared" ref="AG4:AG14" si="4">IF($U$24,U4,NA())</f>
        <v>10.760967272534998</v>
      </c>
      <c r="AH4">
        <f t="shared" ref="AH4:AH14" si="5">IF($U$26,V4,NA())</f>
        <v>103.69951244887125</v>
      </c>
      <c r="AI4">
        <f t="shared" ref="AI4:AI14" si="6">IF($U$28,W4,NA())</f>
        <v>24.137254406360981</v>
      </c>
      <c r="AJ4">
        <f t="shared" ref="AJ4:AJ14" si="7">IF($U$31,X4,NA())</f>
        <v>1.4969756196922281</v>
      </c>
      <c r="AK4">
        <f t="shared" ref="AK4:AK14" si="8">IF($U$33,Y4,NA())</f>
        <v>3.7039571473415611</v>
      </c>
      <c r="AL4">
        <f t="shared" ref="AL4:AL14" si="9">IF($U$35,Z4,NA())</f>
        <v>28.935693698766276</v>
      </c>
      <c r="AM4">
        <f t="shared" ref="AM4:AM14" si="10">IF($U$37,AA4,NA())</f>
        <v>73.035983067397467</v>
      </c>
      <c r="AY4" s="21" t="s">
        <v>35</v>
      </c>
      <c r="AZ4">
        <f>SUMIFS(Data!$G$2:$G$193,Data!$C$2:$C$193,Sheet4!$AZ$2,Data!$D$2:$D$193,Sheet4!AY4)</f>
        <v>0</v>
      </c>
      <c r="BA4">
        <f>SUMIFS(Data!$G$2:$G$193,Data!$C$2:$C$193,Sheet4!$BA$2,Data!$D$2:$D$193,Sheet4!AY4)</f>
        <v>0</v>
      </c>
      <c r="BB4">
        <f>SUMIFS(Data!$G$2:$G$193,Data!$C$2:$C$193,Sheet4!$BB$2,Data!$D$2:$D$193,Sheet4!AY4)</f>
        <v>0</v>
      </c>
      <c r="BC4">
        <f>SUMIFS(Data!$G$2:$G$193,Data!$C$2:$C$193,Sheet4!$BC$2,Data!$D$2:$D$193,Sheet4!AY4)</f>
        <v>0</v>
      </c>
      <c r="BD4">
        <f>SUMIFS(Data!$G$2:$G$193,Data!$C$2:$C$193,Sheet4!$BD$2,Data!$D$2:$D$193,Sheet4!AY4)</f>
        <v>-2.5840142738867922E-2</v>
      </c>
      <c r="BE4">
        <f>SUMIFS(Data!$G$2:$G$193,Data!$C$2:$C$193,Sheet4!$BE$2,Data!$D$2:$D$193,Sheet4!AY4)</f>
        <v>0.13178472796822671</v>
      </c>
      <c r="BF4">
        <f>SUMIFS(Data!$G$2:$G$193,Data!$C$2:$C$193,Sheet4!$BF$2,Data!$D$2:$D$193,Sheet4!AY4)</f>
        <v>5.3333627944000206E-2</v>
      </c>
      <c r="BG4">
        <f>SUMIFS(Data!$G$2:$G$193,Data!$C$2:$C$193,Sheet4!$BG$2,Data!$D$2:$D$193,Sheet4!AY4)</f>
        <v>0.20361321874302707</v>
      </c>
      <c r="BH4">
        <f>SUMIFS(Data!$G$2:$G$193,Data!$C$2:$C$193,Sheet4!$BH$2,Data!$D$2:$D$193,Sheet4!AY4)</f>
        <v>7.1318793959275872E-2</v>
      </c>
    </row>
    <row r="5" spans="2:60" x14ac:dyDescent="0.3">
      <c r="B5" s="41" t="s">
        <v>9</v>
      </c>
      <c r="C5">
        <f>SUMIFS(Data!$F$2:$F$193,Data!$C$2:$C$193,Calc!A4,Data!$B$2:$B$193,Calc!$B$1)</f>
        <v>2318.5620575593407</v>
      </c>
      <c r="D5">
        <f>SUMIFS(Data!$F$2:$F$193,Data!$C$2:$C$193,Calc!A4,Data!$B$2:$B$193,Calc!$C$1)</f>
        <v>528.98873634203392</v>
      </c>
      <c r="E5">
        <f>SUMIFS(Data!$F$2:$F$193,Data!$C$2:$C$193,Calc!A4,Data!$B$2:$B$193,Calc!$D$1)</f>
        <v>1425.404364938049</v>
      </c>
      <c r="F5">
        <f>SUMIFS(Data!$F$2:$F$193,Data!$C$2:$C$193,Calc!A4,Data!$B$2:$B$193,Calc!$E$1)</f>
        <v>1753.9095109989698</v>
      </c>
      <c r="G5">
        <f t="shared" si="1"/>
        <v>6026.8646698383927</v>
      </c>
      <c r="J5" s="41" t="s">
        <v>9</v>
      </c>
      <c r="K5">
        <f>SUMIFS(Data!$G$2:$G$193,Data!$C$2:$C$193,Sheet4!$J$5,Data!$B$2:$B$193,Sheet4!K2)</f>
        <v>-287.02109532700916</v>
      </c>
      <c r="L5">
        <f>SUMIFS(Data!$G$2:$G$193,Data!$C$2:$C$193,Sheet4!$J$5,Data!$B$2:$B$193,Sheet4!L2)</f>
        <v>11.234956463723229</v>
      </c>
      <c r="M5">
        <f>SUMIFS(Data!$G$2:$G$193,Data!$C$2:$C$193,Sheet4!$J$5,Data!$B$2:$B$193,Sheet4!M2)</f>
        <v>81.588227640966807</v>
      </c>
      <c r="N5">
        <f>SUMIFS(Data!$G$2:$G$193,Data!$C$2:$C$193,Sheet4!$J$5,Data!$B$2:$B$193,Sheet4!N2)</f>
        <v>24.708783340601073</v>
      </c>
      <c r="O5">
        <f t="shared" si="0"/>
        <v>-169.48912788171805</v>
      </c>
      <c r="Q5">
        <v>3</v>
      </c>
      <c r="R5" s="18">
        <v>41334</v>
      </c>
      <c r="S5">
        <f>SUMIFS(Data!$G$2:$G$193,Data!$I$2:$I$193,Sheet4!$Q$5,Data!$C$2:$C$193,Sheet4!$S$2)</f>
        <v>-2.4075357273505524</v>
      </c>
      <c r="T5">
        <f>SUMIFS(Data!$G$2:$G$193,Data!$I$2:$I$193,Sheet4!$Q$5,Data!$C$2:$C$193,Sheet4!$T$2)</f>
        <v>-184.79020201111825</v>
      </c>
      <c r="U5">
        <f>SUMIFS(Data!$G$2:$G$193,Data!$I$2:$I$193,Sheet4!$Q$5,Data!$C$2:$C$193,Sheet4!$U$2)</f>
        <v>-300.52118707682848</v>
      </c>
      <c r="V5">
        <f>SUMIFS(Data!$G$2:$G$193,Data!$I$2:$I$193,Sheet4!$Q$5,Data!$C$2:$C$193,Sheet4!$V$2)</f>
        <v>-10.525494603018416</v>
      </c>
      <c r="W5">
        <f>SUMIFS(Data!$G$2:$G$193,Data!$I$2:$I$193,Sheet4!$Q$5,Data!$C$2:$C$193,Sheet4!W2)</f>
        <v>-173.06351895233479</v>
      </c>
      <c r="X5">
        <f>SUMIFS(Data!$G$2:$G$193,Data!$I$2:$I$193,Sheet4!$Q$5,Data!$C$2:$C$193,Sheet4!X2)</f>
        <v>-31.185283155806388</v>
      </c>
      <c r="Y5">
        <f>SUMIFS(Data!$G$2:$G$193,Data!$I$2:$I$193,Sheet4!$Q$5,Data!$C$2:$C$193,Sheet4!Y2)</f>
        <v>-70.010538479611654</v>
      </c>
      <c r="Z5">
        <f>SUMIFS(Data!$G$2:$G$193,Data!$I$2:$I$193,Sheet4!$Q$5,Data!$C$2:$C$193,Sheet4!Z2)</f>
        <v>-98.88453972658283</v>
      </c>
      <c r="AA5">
        <f>SUMIFS(Data!$G$2:$G$193,Data!$I$2:$I$193,Sheet4!$Q$5,Data!$C$2:$C$193,Sheet4!AA2)</f>
        <v>-31.206312264067666</v>
      </c>
      <c r="AD5" s="18">
        <v>41334</v>
      </c>
      <c r="AE5">
        <f t="shared" si="2"/>
        <v>-2.4075357273505524</v>
      </c>
      <c r="AF5">
        <f t="shared" si="3"/>
        <v>-184.79020201111825</v>
      </c>
      <c r="AG5">
        <f t="shared" si="4"/>
        <v>-300.52118707682848</v>
      </c>
      <c r="AH5">
        <f t="shared" si="5"/>
        <v>-10.525494603018416</v>
      </c>
      <c r="AI5">
        <f t="shared" si="6"/>
        <v>-173.06351895233479</v>
      </c>
      <c r="AJ5">
        <f t="shared" si="7"/>
        <v>-31.185283155806388</v>
      </c>
      <c r="AK5">
        <f t="shared" si="8"/>
        <v>-70.010538479611654</v>
      </c>
      <c r="AL5">
        <f t="shared" si="9"/>
        <v>-98.88453972658283</v>
      </c>
      <c r="AM5">
        <f t="shared" si="10"/>
        <v>-31.206312264067666</v>
      </c>
      <c r="AY5" s="21" t="s">
        <v>43</v>
      </c>
      <c r="AZ5">
        <f>SUMIFS(Data!$G$2:$G$193,Data!$C$2:$C$193,Sheet4!$AZ$2,Data!$D$2:$D$193,Sheet4!AY5)</f>
        <v>59.718260508052026</v>
      </c>
      <c r="BA5">
        <f>SUMIFS(Data!$G$2:$G$193,Data!$C$2:$C$193,Sheet4!$BA$2,Data!$D$2:$D$193,Sheet4!AY5)</f>
        <v>0</v>
      </c>
      <c r="BB5">
        <f>SUMIFS(Data!$G$2:$G$193,Data!$C$2:$C$193,Sheet4!$BB$2,Data!$D$2:$D$193,Sheet4!AY5)</f>
        <v>0</v>
      </c>
      <c r="BC5">
        <f>SUMIFS(Data!$G$2:$G$193,Data!$C$2:$C$193,Sheet4!$BC$2,Data!$D$2:$D$193,Sheet4!AY5)</f>
        <v>22.848909038151305</v>
      </c>
      <c r="BD5">
        <f>SUMIFS(Data!$G$2:$G$193,Data!$C$2:$C$193,Sheet4!$BD$2,Data!$D$2:$D$193,Sheet4!AY5)</f>
        <v>0</v>
      </c>
      <c r="BE5">
        <f>SUMIFS(Data!$G$2:$G$193,Data!$C$2:$C$193,Sheet4!$BE$2,Data!$D$2:$D$193,Sheet4!AY5)</f>
        <v>64.454738228739643</v>
      </c>
      <c r="BF5">
        <f>SUMIFS(Data!$G$2:$G$193,Data!$C$2:$C$193,Sheet4!$BF$2,Data!$D$2:$D$193,Sheet4!AY5)</f>
        <v>32.318117451416356</v>
      </c>
      <c r="BG5">
        <f>SUMIFS(Data!$G$2:$G$193,Data!$C$2:$C$193,Sheet4!$BG$2,Data!$D$2:$D$193,Sheet4!AY5)</f>
        <v>1.4243081236577524</v>
      </c>
      <c r="BH5">
        <f>SUMIFS(Data!$G$2:$G$193,Data!$C$2:$C$193,Sheet4!$BH$2,Data!$D$2:$D$193,Sheet4!AY5)</f>
        <v>-11.709462844715972</v>
      </c>
    </row>
    <row r="6" spans="2:60" x14ac:dyDescent="0.3">
      <c r="B6" s="41" t="s">
        <v>15</v>
      </c>
      <c r="C6">
        <f>SUMIFS(Data!$F$2:$F$193,Data!$C$2:$C$193,Calc!A5,Data!$B$2:$B$193,Calc!$B$1)</f>
        <v>2357.6293215689657</v>
      </c>
      <c r="D6">
        <f>SUMIFS(Data!$F$2:$F$193,Data!$C$2:$C$193,Calc!A5,Data!$B$2:$B$193,Calc!$C$1)</f>
        <v>1600.9317553192911</v>
      </c>
      <c r="E6">
        <f>SUMIFS(Data!$F$2:$F$193,Data!$C$2:$C$193,Calc!A5,Data!$B$2:$B$193,Calc!$D$1)</f>
        <v>600.90390269898512</v>
      </c>
      <c r="F6">
        <f>SUMIFS(Data!$F$2:$F$193,Data!$C$2:$C$193,Calc!A5,Data!$B$2:$B$193,Calc!$E$1)</f>
        <v>1555.8686226101863</v>
      </c>
      <c r="G6">
        <f t="shared" si="1"/>
        <v>6115.3336021974283</v>
      </c>
      <c r="J6" s="41" t="s">
        <v>15</v>
      </c>
      <c r="K6">
        <f>SUMIFS(Data!$G$2:$G$193,Data!$C$2:$C$193,Sheet4!$J$6,Data!$B$2:$B$193,Sheet4!K2)</f>
        <v>103.72398576010281</v>
      </c>
      <c r="L6">
        <f>SUMIFS(Data!$G$2:$G$193,Data!$C$2:$C$193,Sheet4!$J$6,Data!$B$2:$B$193,Sheet4!L2)</f>
        <v>32.031618188239349</v>
      </c>
      <c r="M6">
        <f>SUMIFS(Data!$G$2:$G$193,Data!$C$2:$C$193,Sheet4!$J$6,Data!$B$2:$B$193,Sheet4!M2)</f>
        <v>45.996106838182435</v>
      </c>
      <c r="N6">
        <f>SUMIFS(Data!$G$2:$G$193,Data!$C$2:$C$193,Sheet4!$J$6,Data!$B$2:$B$193,Sheet4!N2)</f>
        <v>27.578129340339757</v>
      </c>
      <c r="O6">
        <f t="shared" si="0"/>
        <v>209.32984012686435</v>
      </c>
      <c r="Q6">
        <v>4</v>
      </c>
      <c r="R6" s="18">
        <v>41365</v>
      </c>
      <c r="S6">
        <f>SUMIFS(Data!$G$2:$G$193,Data!$I$2:$I$193,Sheet4!$Q$6,Data!$C$2:$C$193,Sheet4!$S$2)</f>
        <v>5.6698757571854514</v>
      </c>
      <c r="T6">
        <f>SUMIFS(Data!$G$2:$G$193,Data!$I$2:$I$193,Sheet4!$Q$6,Data!$C$2:$C$193,Sheet4!$T$2)</f>
        <v>5.0173813105881493</v>
      </c>
      <c r="U6">
        <f>SUMIFS(Data!$G$2:$G$193,Data!$I$2:$I$193,Sheet4!$Q$6,Data!$C$2:$C$193,Sheet4!$U$2)</f>
        <v>1.9655452106476972</v>
      </c>
      <c r="V6">
        <f>SUMIFS(Data!$G$2:$G$193,Data!$I$2:$I$193,Sheet4!$Q$6,Data!$C$2:$C$193,Sheet4!$V$2)</f>
        <v>3.8949245560680135E-2</v>
      </c>
      <c r="W6">
        <f>SUMIFS(Data!$G$2:$G$193,Data!$I$2:$I$193,Sheet4!$Q$6,Data!$C$2:$C$193,Sheet4!W2)</f>
        <v>0.44958650370691977</v>
      </c>
      <c r="X6">
        <f>SUMIFS(Data!$G$2:$G$193,Data!$I$2:$I$193,Sheet4!$Q$6,Data!$C$2:$C$193,Sheet4!X2)</f>
        <v>56.119736148800939</v>
      </c>
      <c r="Y6">
        <f>SUMIFS(Data!$G$2:$G$193,Data!$I$2:$I$193,Sheet4!$Q$6,Data!$C$2:$C$193,Sheet4!Y2)</f>
        <v>45.380631600741125</v>
      </c>
      <c r="Z6">
        <f>SUMIFS(Data!$G$2:$G$193,Data!$I$2:$I$193,Sheet4!$Q$6,Data!$C$2:$C$193,Sheet4!Z2)</f>
        <v>42.795957991942991</v>
      </c>
      <c r="AA6">
        <f>SUMIFS(Data!$G$2:$G$193,Data!$I$2:$I$193,Sheet4!$Q$6,Data!$C$2:$C$193,Sheet4!AA2)</f>
        <v>6.6337102710876659</v>
      </c>
      <c r="AD6" s="18">
        <v>41365</v>
      </c>
      <c r="AE6">
        <f t="shared" si="2"/>
        <v>5.6698757571854514</v>
      </c>
      <c r="AF6">
        <f t="shared" si="3"/>
        <v>5.0173813105881493</v>
      </c>
      <c r="AG6">
        <f t="shared" si="4"/>
        <v>1.9655452106476972</v>
      </c>
      <c r="AH6">
        <f t="shared" si="5"/>
        <v>3.8949245560680135E-2</v>
      </c>
      <c r="AI6">
        <f t="shared" si="6"/>
        <v>0.44958650370691977</v>
      </c>
      <c r="AJ6">
        <f t="shared" si="7"/>
        <v>56.119736148800939</v>
      </c>
      <c r="AK6">
        <f t="shared" si="8"/>
        <v>45.380631600741125</v>
      </c>
      <c r="AL6">
        <f t="shared" si="9"/>
        <v>42.795957991942991</v>
      </c>
      <c r="AM6">
        <f t="shared" si="10"/>
        <v>6.6337102710876659</v>
      </c>
      <c r="AY6" s="21" t="s">
        <v>28</v>
      </c>
      <c r="AZ6">
        <f>SUMIFS(Data!$G$2:$G$193,Data!$C$2:$C$193,Sheet4!$AZ$2,Data!$D$2:$D$193,Sheet4!AY6)</f>
        <v>0</v>
      </c>
      <c r="BA6">
        <f>SUMIFS(Data!$G$2:$G$193,Data!$C$2:$C$193,Sheet4!$BA$2,Data!$D$2:$D$193,Sheet4!AY6)</f>
        <v>0</v>
      </c>
      <c r="BB6">
        <f>SUMIFS(Data!$G$2:$G$193,Data!$C$2:$C$193,Sheet4!$BB$2,Data!$D$2:$D$193,Sheet4!AY6)</f>
        <v>2.3594954079092645</v>
      </c>
      <c r="BC6">
        <f>SUMIFS(Data!$G$2:$G$193,Data!$C$2:$C$193,Sheet4!$BC$2,Data!$D$2:$D$193,Sheet4!AY6)</f>
        <v>0</v>
      </c>
      <c r="BD6">
        <f>SUMIFS(Data!$G$2:$G$193,Data!$C$2:$C$193,Sheet4!$BD$2,Data!$D$2:$D$193,Sheet4!AY6)</f>
        <v>5.9577259049708999</v>
      </c>
      <c r="BE6">
        <f>SUMIFS(Data!$G$2:$G$193,Data!$C$2:$C$193,Sheet4!$BE$2,Data!$D$2:$D$193,Sheet4!AY6)</f>
        <v>0</v>
      </c>
      <c r="BF6">
        <f>SUMIFS(Data!$G$2:$G$193,Data!$C$2:$C$193,Sheet4!$BF$2,Data!$D$2:$D$193,Sheet4!AY6)</f>
        <v>11.334921937299072</v>
      </c>
      <c r="BG6">
        <f>SUMIFS(Data!$G$2:$G$193,Data!$C$2:$C$193,Sheet4!$BG$2,Data!$D$2:$D$193,Sheet4!AY6)</f>
        <v>-15.157162550868335</v>
      </c>
      <c r="BH6">
        <f>SUMIFS(Data!$G$2:$G$193,Data!$C$2:$C$193,Sheet4!$BH$2,Data!$D$2:$D$193,Sheet4!AY6)</f>
        <v>5.8987385197731612</v>
      </c>
    </row>
    <row r="7" spans="2:60" x14ac:dyDescent="0.3">
      <c r="B7" s="41" t="s">
        <v>12</v>
      </c>
      <c r="C7">
        <f>SUMIFS(Data!$F$2:$F$193,Data!$C$2:$C$193,Calc!A6,Data!$B$2:$B$193,Calc!$B$1)</f>
        <v>1678.5215028375587</v>
      </c>
      <c r="D7">
        <f>SUMIFS(Data!$F$2:$F$193,Data!$C$2:$C$193,Calc!A6,Data!$B$2:$B$193,Calc!$C$1)</f>
        <v>551.04591211909371</v>
      </c>
      <c r="E7">
        <f>SUMIFS(Data!$F$2:$F$193,Data!$C$2:$C$193,Calc!A6,Data!$B$2:$B$193,Calc!$D$1)</f>
        <v>1762.5699493270365</v>
      </c>
      <c r="F7">
        <f>SUMIFS(Data!$F$2:$F$193,Data!$C$2:$C$193,Calc!A6,Data!$B$2:$B$193,Calc!$E$1)</f>
        <v>2338.7251686889495</v>
      </c>
      <c r="G7">
        <f t="shared" si="1"/>
        <v>6330.8625329726383</v>
      </c>
      <c r="J7" s="41" t="s">
        <v>12</v>
      </c>
      <c r="K7">
        <f>SUMIFS(Data!$G$2:$G$193,Data!$C$2:$C$193,Sheet4!$J$7,Data!$B$2:$B$193,Sheet4!K2)</f>
        <v>-148.8557043185088</v>
      </c>
      <c r="L7">
        <f>SUMIFS(Data!$G$2:$G$193,Data!$C$2:$C$193,Sheet4!$J$7,Data!$B$2:$B$193,Sheet4!L2)</f>
        <v>11.170780410284181</v>
      </c>
      <c r="M7">
        <f>SUMIFS(Data!$G$2:$G$193,Data!$C$2:$C$193,Sheet4!$J$7,Data!$B$2:$B$193,Sheet4!M2)</f>
        <v>97.259100977485858</v>
      </c>
      <c r="N7">
        <f>SUMIFS(Data!$G$2:$G$193,Data!$C$2:$C$193,Sheet4!$J$7,Data!$B$2:$B$193,Sheet4!N2)</f>
        <v>45.893929479842605</v>
      </c>
      <c r="O7">
        <f t="shared" si="0"/>
        <v>5.4681065491038439</v>
      </c>
      <c r="Q7">
        <v>5</v>
      </c>
      <c r="R7" s="18">
        <v>41395</v>
      </c>
      <c r="S7">
        <f>SUMIFS(Data!$G$2:$G$193,Data!$I$2:$I$193,Sheet4!$Q$7,Data!$C$2:$C$193,Sheet4!$S$2)</f>
        <v>6.6778980303197581</v>
      </c>
      <c r="T7">
        <f>SUMIFS(Data!$G$2:$G$193,Data!$I$2:$I$193,Sheet4!$Q$7,Data!$C$2:$C$193,Sheet4!$T$2)</f>
        <v>0.56708958769517359</v>
      </c>
      <c r="U7">
        <f>SUMIFS(Data!$G$2:$G$193,Data!$I$2:$I$193,Sheet4!$Q$7,Data!$C$2:$C$193,Sheet4!$U$2)</f>
        <v>2.7264471892475939E-2</v>
      </c>
      <c r="V7">
        <f>SUMIFS(Data!$G$2:$G$193,Data!$I$2:$I$193,Sheet4!$Q$7,Data!$C$2:$C$193,Sheet4!$V$2)</f>
        <v>9.1437599045273643</v>
      </c>
      <c r="W7">
        <f>SUMIFS(Data!$G$2:$G$193,Data!$I$2:$I$193,Sheet4!$Q$7,Data!$C$2:$C$193,Sheet4!W2)</f>
        <v>3.9689130300298245</v>
      </c>
      <c r="X7">
        <f>SUMIFS(Data!$G$2:$G$193,Data!$I$2:$I$193,Sheet4!$Q$7,Data!$C$2:$C$193,Sheet4!X2)</f>
        <v>1.375881647453383</v>
      </c>
      <c r="Y7">
        <f>SUMIFS(Data!$G$2:$G$193,Data!$I$2:$I$193,Sheet4!$Q$7,Data!$C$2:$C$193,Sheet4!Y2)</f>
        <v>22.937392768586363</v>
      </c>
      <c r="Z7">
        <f>SUMIFS(Data!$G$2:$G$193,Data!$I$2:$I$193,Sheet4!$Q$7,Data!$C$2:$C$193,Sheet4!Z2)</f>
        <v>17.791439481452073</v>
      </c>
      <c r="AA7">
        <f>SUMIFS(Data!$G$2:$G$193,Data!$I$2:$I$193,Sheet4!$Q$7,Data!$C$2:$C$193,Sheet4!AA2)</f>
        <v>43.360322906226685</v>
      </c>
      <c r="AD7" s="18">
        <v>41395</v>
      </c>
      <c r="AE7">
        <f t="shared" si="2"/>
        <v>6.6778980303197581</v>
      </c>
      <c r="AF7">
        <f t="shared" si="3"/>
        <v>0.56708958769517359</v>
      </c>
      <c r="AG7">
        <f t="shared" si="4"/>
        <v>2.7264471892475939E-2</v>
      </c>
      <c r="AH7">
        <f t="shared" si="5"/>
        <v>9.1437599045273643</v>
      </c>
      <c r="AI7">
        <f t="shared" si="6"/>
        <v>3.9689130300298245</v>
      </c>
      <c r="AJ7">
        <f t="shared" si="7"/>
        <v>1.375881647453383</v>
      </c>
      <c r="AK7">
        <f t="shared" si="8"/>
        <v>22.937392768586363</v>
      </c>
      <c r="AL7">
        <f t="shared" si="9"/>
        <v>17.791439481452073</v>
      </c>
      <c r="AM7">
        <f t="shared" si="10"/>
        <v>43.360322906226685</v>
      </c>
      <c r="AY7" s="21" t="s">
        <v>27</v>
      </c>
      <c r="AZ7">
        <f>SUMIFS(Data!$G$2:$G$193,Data!$C$2:$C$193,Sheet4!$AZ$2,Data!$D$2:$D$193,Sheet4!AY7)</f>
        <v>0</v>
      </c>
      <c r="BA7">
        <f>SUMIFS(Data!$G$2:$G$193,Data!$C$2:$C$193,Sheet4!$BA$2,Data!$D$2:$D$193,Sheet4!AY7)</f>
        <v>23.418925689432172</v>
      </c>
      <c r="BB7">
        <f>SUMIFS(Data!$G$2:$G$193,Data!$C$2:$C$193,Sheet4!$BB$2,Data!$D$2:$D$193,Sheet4!AY7)</f>
        <v>59.132787365816284</v>
      </c>
      <c r="BC7">
        <f>SUMIFS(Data!$G$2:$G$193,Data!$C$2:$C$193,Sheet4!$BC$2,Data!$D$2:$D$193,Sheet4!AY7)</f>
        <v>0</v>
      </c>
      <c r="BD7">
        <f>SUMIFS(Data!$G$2:$G$193,Data!$C$2:$C$193,Sheet4!$BD$2,Data!$D$2:$D$193,Sheet4!AY7)</f>
        <v>-173.06351895233479</v>
      </c>
      <c r="BE7">
        <f>SUMIFS(Data!$G$2:$G$193,Data!$C$2:$C$193,Sheet4!$BE$2,Data!$D$2:$D$193,Sheet4!AY7)</f>
        <v>0</v>
      </c>
      <c r="BF7">
        <f>SUMIFS(Data!$G$2:$G$193,Data!$C$2:$C$193,Sheet4!$BF$2,Data!$D$2:$D$193,Sheet4!AY7)</f>
        <v>22.622682215991517</v>
      </c>
      <c r="BG7">
        <f>SUMIFS(Data!$G$2:$G$193,Data!$C$2:$C$193,Sheet4!$BG$2,Data!$D$2:$D$193,Sheet4!AY7)</f>
        <v>1</v>
      </c>
      <c r="BH7">
        <f>SUMIFS(Data!$G$2:$G$193,Data!$C$2:$C$193,Sheet4!$BH$2,Data!$D$2:$D$193,Sheet4!AY7)</f>
        <v>122.6289087422158</v>
      </c>
    </row>
    <row r="8" spans="2:60" x14ac:dyDescent="0.3">
      <c r="B8" s="41" t="s">
        <v>16</v>
      </c>
      <c r="C8">
        <f>SUMIFS(Data!$F$2:$F$193,Data!$C$2:$C$193,Calc!A7,Data!$B$2:$B$193,Calc!$B$1)</f>
        <v>426.94803576440472</v>
      </c>
      <c r="D8">
        <f>SUMIFS(Data!$F$2:$F$193,Data!$C$2:$C$193,Calc!A7,Data!$B$2:$B$193,Calc!$C$1)</f>
        <v>1939.8837187761276</v>
      </c>
      <c r="E8">
        <f>SUMIFS(Data!$F$2:$F$193,Data!$C$2:$C$193,Calc!A7,Data!$B$2:$B$193,Calc!$D$1)</f>
        <v>1785.0985028744174</v>
      </c>
      <c r="F8">
        <f>SUMIFS(Data!$F$2:$F$193,Data!$C$2:$C$193,Calc!A7,Data!$B$2:$B$193,Calc!$E$1)</f>
        <v>672.82616609293189</v>
      </c>
      <c r="G8">
        <f t="shared" si="1"/>
        <v>4824.7564235078817</v>
      </c>
      <c r="J8" s="41" t="s">
        <v>16</v>
      </c>
      <c r="K8">
        <f>SUMIFS(Data!$G$2:$G$193,Data!$C$2:$C$193,Sheet4!$J$8,Data!$B$2:$B$193,Sheet4!K2)</f>
        <v>-20.598848640121126</v>
      </c>
      <c r="L8">
        <f>SUMIFS(Data!$G$2:$G$193,Data!$C$2:$C$193,Sheet4!$J$8,Data!$B$2:$B$193,Sheet4!L2)</f>
        <v>57.504253091789622</v>
      </c>
      <c r="M8">
        <f>SUMIFS(Data!$G$2:$G$193,Data!$C$2:$C$193,Sheet4!$J$8,Data!$B$2:$B$193,Sheet4!M2)</f>
        <v>90.073080244000423</v>
      </c>
      <c r="N8">
        <f>SUMIFS(Data!$G$2:$G$193,Data!$C$2:$C$193,Sheet4!$J$8,Data!$B$2:$B$193,Sheet4!N2)</f>
        <v>7.2936148901352835</v>
      </c>
      <c r="O8">
        <f t="shared" si="0"/>
        <v>134.2720995858042</v>
      </c>
      <c r="Q8">
        <v>6</v>
      </c>
      <c r="R8" s="18">
        <v>41426</v>
      </c>
      <c r="S8">
        <f>SUMIFS(Data!$G$2:$G$193,Data!$I$2:$I$193,Sheet4!$Q$8,Data!$C$2:$C$193,Sheet4!$S$2)</f>
        <v>2.3020652896807547</v>
      </c>
      <c r="T8">
        <f>SUMIFS(Data!$G$2:$G$193,Data!$I$2:$I$193,Sheet4!$Q$8,Data!$C$2:$C$193,Sheet4!$T$2)</f>
        <v>4.1172726780868629</v>
      </c>
      <c r="U8">
        <f>SUMIFS(Data!$G$2:$G$193,Data!$I$2:$I$193,Sheet4!$Q$8,Data!$C$2:$C$193,Sheet4!$U$2)</f>
        <v>9.242146781183056</v>
      </c>
      <c r="V8">
        <f>SUMIFS(Data!$G$2:$G$193,Data!$I$2:$I$193,Sheet4!$Q$8,Data!$C$2:$C$193,Sheet4!$V$2)</f>
        <v>22.848909038151305</v>
      </c>
      <c r="W8">
        <f>SUMIFS(Data!$G$2:$G$193,Data!$I$2:$I$193,Sheet4!$Q$8,Data!$C$2:$C$193,Sheet4!W2)</f>
        <v>6.7522808765474363</v>
      </c>
      <c r="X8">
        <f>SUMIFS(Data!$G$2:$G$193,Data!$I$2:$I$193,Sheet4!$Q$8,Data!$C$2:$C$193,Sheet4!X2)</f>
        <v>8.6352955353000138E-3</v>
      </c>
      <c r="Y8">
        <f>SUMIFS(Data!$G$2:$G$193,Data!$I$2:$I$193,Sheet4!$Q$8,Data!$C$2:$C$193,Sheet4!Y2)</f>
        <v>4.6561125898094318</v>
      </c>
      <c r="Z8">
        <f>SUMIFS(Data!$G$2:$G$193,Data!$I$2:$I$193,Sheet4!$Q$8,Data!$C$2:$C$193,Sheet4!Z2)</f>
        <v>19.394175132311631</v>
      </c>
      <c r="AA8">
        <f>SUMIFS(Data!$G$2:$G$193,Data!$I$2:$I$193,Sheet4!$Q$8,Data!$C$2:$C$193,Sheet4!AA2)</f>
        <v>41.172176987042931</v>
      </c>
      <c r="AD8" s="18">
        <v>41426</v>
      </c>
      <c r="AE8">
        <f t="shared" si="2"/>
        <v>2.3020652896807547</v>
      </c>
      <c r="AF8">
        <f t="shared" si="3"/>
        <v>4.1172726780868629</v>
      </c>
      <c r="AG8">
        <f t="shared" si="4"/>
        <v>9.242146781183056</v>
      </c>
      <c r="AH8">
        <f t="shared" si="5"/>
        <v>22.848909038151305</v>
      </c>
      <c r="AI8">
        <f t="shared" si="6"/>
        <v>6.7522808765474363</v>
      </c>
      <c r="AJ8">
        <f t="shared" si="7"/>
        <v>8.6352955353000138E-3</v>
      </c>
      <c r="AK8">
        <f t="shared" si="8"/>
        <v>4.6561125898094318</v>
      </c>
      <c r="AL8">
        <f t="shared" si="9"/>
        <v>19.394175132311631</v>
      </c>
      <c r="AM8">
        <f t="shared" si="10"/>
        <v>41.172176987042931</v>
      </c>
      <c r="AY8" s="21" t="s">
        <v>23</v>
      </c>
      <c r="AZ8">
        <f>SUMIFS(Data!$G$2:$G$193,Data!$C$2:$C$193,Sheet4!$AZ$2,Data!$D$2:$D$193,Sheet4!AY8)</f>
        <v>0</v>
      </c>
      <c r="BA8">
        <f>SUMIFS(Data!$G$2:$G$193,Data!$C$2:$C$193,Sheet4!$BA$2,Data!$D$2:$D$193,Sheet4!AY8)</f>
        <v>0</v>
      </c>
      <c r="BB8">
        <f>SUMIFS(Data!$G$2:$G$193,Data!$C$2:$C$193,Sheet4!$BB$2,Data!$D$2:$D$193,Sheet4!AY8)</f>
        <v>0</v>
      </c>
      <c r="BC8">
        <f>SUMIFS(Data!$G$2:$G$193,Data!$C$2:$C$193,Sheet4!$BC$2,Data!$D$2:$D$193,Sheet4!AY8)</f>
        <v>-10.525494603018416</v>
      </c>
      <c r="BD8">
        <f>SUMIFS(Data!$G$2:$G$193,Data!$C$2:$C$193,Sheet4!$BD$2,Data!$D$2:$D$193,Sheet4!AY8)</f>
        <v>0</v>
      </c>
      <c r="BE8">
        <f>SUMIFS(Data!$G$2:$G$193,Data!$C$2:$C$193,Sheet4!$BE$2,Data!$D$2:$D$193,Sheet4!AY8)</f>
        <v>1.375881647453383</v>
      </c>
      <c r="BF8">
        <f>SUMIFS(Data!$G$2:$G$193,Data!$C$2:$C$193,Sheet4!$BF$2,Data!$D$2:$D$193,Sheet4!AY8)</f>
        <v>3.5607703091443739</v>
      </c>
      <c r="BG8">
        <f>SUMIFS(Data!$G$2:$G$193,Data!$C$2:$C$193,Sheet4!$BG$2,Data!$D$2:$D$193,Sheet4!AY8)</f>
        <v>8.8824363586194011</v>
      </c>
      <c r="BH8">
        <f>SUMIFS(Data!$G$2:$G$193,Data!$C$2:$C$193,Sheet4!$BH$2,Data!$D$2:$D$193,Sheet4!AY8)</f>
        <v>3.7761969128476096</v>
      </c>
    </row>
    <row r="9" spans="2:60" x14ac:dyDescent="0.3">
      <c r="B9" s="41" t="s">
        <v>11</v>
      </c>
      <c r="C9">
        <f>SUMIFS(Data!$F$2:$F$193,Data!$C$2:$C$193,Calc!A8,Data!$B$2:$B$193,Calc!$B$1)</f>
        <v>2661.7828394044996</v>
      </c>
      <c r="D9">
        <f>SUMIFS(Data!$F$2:$F$193,Data!$C$2:$C$193,Calc!A8,Data!$B$2:$B$193,Calc!$C$1)</f>
        <v>2892.3629879444898</v>
      </c>
      <c r="E9">
        <f>SUMIFS(Data!$F$2:$F$193,Data!$C$2:$C$193,Calc!A8,Data!$B$2:$B$193,Calc!$D$1)</f>
        <v>2557.9463496049734</v>
      </c>
      <c r="F9">
        <f>SUMIFS(Data!$F$2:$F$193,Data!$C$2:$C$193,Calc!A8,Data!$B$2:$B$193,Calc!$E$1)</f>
        <v>1891.2608357845904</v>
      </c>
      <c r="G9">
        <f t="shared" si="1"/>
        <v>10003.353012738555</v>
      </c>
      <c r="J9" s="41" t="s">
        <v>11</v>
      </c>
      <c r="K9">
        <f>SUMIFS(Data!$G$2:$G$193,Data!$C$2:$C$193,Sheet4!$J$9,Data!$B$2:$B$193,Sheet4!K2)</f>
        <v>38.92037765223813</v>
      </c>
      <c r="L9">
        <f>SUMIFS(Data!$G$2:$G$193,Data!$C$2:$C$193,Sheet4!$J$9,Data!$B$2:$B$193,Sheet4!L2)</f>
        <v>72.974136959136928</v>
      </c>
      <c r="M9">
        <f>SUMIFS(Data!$G$2:$G$193,Data!$C$2:$C$193,Sheet4!$J$9,Data!$B$2:$B$193,Sheet4!M2)</f>
        <v>196.13092672183794</v>
      </c>
      <c r="N9">
        <f>SUMIFS(Data!$G$2:$G$193,Data!$C$2:$C$193,Sheet4!$J$9,Data!$B$2:$B$193,Sheet4!N2)</f>
        <v>-5.1371262651301848</v>
      </c>
      <c r="O9">
        <f t="shared" si="0"/>
        <v>302.88831506808282</v>
      </c>
      <c r="Q9">
        <v>7</v>
      </c>
      <c r="R9" s="18">
        <v>41456</v>
      </c>
      <c r="S9">
        <f>SUMIFS(Data!$G$2:$G$193,Data!$I$2:$I$193,Sheet4!$Q$9,Data!$C$2:$C$193,Sheet4!$S$2)</f>
        <v>66.296570059402484</v>
      </c>
      <c r="T9">
        <f>SUMIFS(Data!$G$2:$G$193,Data!$I$2:$I$193,Sheet4!$Q$9,Data!$C$2:$C$193,Sheet4!$T$2)</f>
        <v>102.68285056211744</v>
      </c>
      <c r="U9">
        <f>SUMIFS(Data!$G$2:$G$193,Data!$I$2:$I$193,Sheet4!$Q$9,Data!$C$2:$C$193,Sheet4!$U$2)</f>
        <v>59.132787365816284</v>
      </c>
      <c r="V9">
        <f>SUMIFS(Data!$G$2:$G$193,Data!$I$2:$I$193,Sheet4!$Q$9,Data!$C$2:$C$193,Sheet4!$V$2)</f>
        <v>0.86374363619780326</v>
      </c>
      <c r="W9">
        <f>SUMIFS(Data!$G$2:$G$193,Data!$I$2:$I$193,Sheet4!$Q$9,Data!$C$2:$C$193,Sheet4!W2)</f>
        <v>5.9577259049708999</v>
      </c>
      <c r="X9">
        <f>SUMIFS(Data!$G$2:$G$193,Data!$I$2:$I$193,Sheet4!$Q$9,Data!$C$2:$C$193,Sheet4!X2)</f>
        <v>23.912416463820858</v>
      </c>
      <c r="Y9">
        <f>SUMIFS(Data!$G$2:$G$193,Data!$I$2:$I$193,Sheet4!$Q$9,Data!$C$2:$C$193,Sheet4!Y2)</f>
        <v>28.36102237961812</v>
      </c>
      <c r="Z9">
        <f>SUMIFS(Data!$G$2:$G$193,Data!$I$2:$I$193,Sheet4!$Q$9,Data!$C$2:$C$193,Sheet4!Z2)</f>
        <v>21.783662776761261</v>
      </c>
      <c r="AA9">
        <f>SUMIFS(Data!$G$2:$G$193,Data!$I$2:$I$193,Sheet4!$Q$9,Data!$C$2:$C$193,Sheet4!AA2)</f>
        <v>3.7980010340742423</v>
      </c>
      <c r="AD9" s="18">
        <v>41456</v>
      </c>
      <c r="AE9">
        <f t="shared" si="2"/>
        <v>66.296570059402484</v>
      </c>
      <c r="AF9">
        <f t="shared" si="3"/>
        <v>102.68285056211744</v>
      </c>
      <c r="AG9">
        <f t="shared" si="4"/>
        <v>59.132787365816284</v>
      </c>
      <c r="AH9">
        <f t="shared" si="5"/>
        <v>0.86374363619780326</v>
      </c>
      <c r="AI9">
        <f t="shared" si="6"/>
        <v>5.9577259049708999</v>
      </c>
      <c r="AJ9">
        <f t="shared" si="7"/>
        <v>23.912416463820858</v>
      </c>
      <c r="AK9">
        <f t="shared" si="8"/>
        <v>28.36102237961812</v>
      </c>
      <c r="AL9">
        <f t="shared" si="9"/>
        <v>21.783662776761261</v>
      </c>
      <c r="AM9">
        <f t="shared" si="10"/>
        <v>3.7980010340742423</v>
      </c>
      <c r="AY9" s="21" t="s">
        <v>37</v>
      </c>
      <c r="AZ9">
        <f>SUMIFS(Data!$G$2:$G$193,Data!$C$2:$C$193,Sheet4!$AZ$2,Data!$D$2:$D$193,Sheet4!AY9)</f>
        <v>5.6698757571854514</v>
      </c>
      <c r="BA9">
        <f>SUMIFS(Data!$G$2:$G$193,Data!$C$2:$C$193,Sheet4!$BA$2,Data!$D$2:$D$193,Sheet4!AY9)</f>
        <v>0</v>
      </c>
      <c r="BB9">
        <f>SUMIFS(Data!$G$2:$G$193,Data!$C$2:$C$193,Sheet4!$BB$2,Data!$D$2:$D$193,Sheet4!AY9)</f>
        <v>0</v>
      </c>
      <c r="BC9">
        <f>SUMIFS(Data!$G$2:$G$193,Data!$C$2:$C$193,Sheet4!$BC$2,Data!$D$2:$D$193,Sheet4!AY9)</f>
        <v>11.873305311847361</v>
      </c>
      <c r="BD9">
        <f>SUMIFS(Data!$G$2:$G$193,Data!$C$2:$C$193,Sheet4!$BD$2,Data!$D$2:$D$193,Sheet4!AY9)</f>
        <v>0</v>
      </c>
      <c r="BE9">
        <f>SUMIFS(Data!$G$2:$G$193,Data!$C$2:$C$193,Sheet4!$BE$2,Data!$D$2:$D$193,Sheet4!AY9)</f>
        <v>-2.0543028105744554</v>
      </c>
      <c r="BF9">
        <f>SUMIFS(Data!$G$2:$G$193,Data!$C$2:$C$193,Sheet4!$BF$2,Data!$D$2:$D$193,Sheet4!AY9)</f>
        <v>4.3140359022063421</v>
      </c>
      <c r="BG9">
        <f>SUMIFS(Data!$G$2:$G$193,Data!$C$2:$C$193,Sheet4!$BG$2,Data!$D$2:$D$193,Sheet4!AY9)</f>
        <v>10.476944333929652</v>
      </c>
      <c r="BH9">
        <f>SUMIFS(Data!$G$2:$G$193,Data!$C$2:$C$193,Sheet4!$BH$2,Data!$D$2:$D$193,Sheet4!AY9)</f>
        <v>4.2400470806489921</v>
      </c>
    </row>
    <row r="10" spans="2:60" x14ac:dyDescent="0.3">
      <c r="B10" s="41" t="s">
        <v>13</v>
      </c>
      <c r="C10">
        <f>SUMIFS(Data!$F$2:$F$193,Data!$C$2:$C$193,Calc!A9,Data!$B$2:$B$193,Calc!$B$1)</f>
        <v>1562.8665074899404</v>
      </c>
      <c r="D10">
        <f>SUMIFS(Data!$F$2:$F$193,Data!$C$2:$C$193,Calc!A9,Data!$B$2:$B$193,Calc!$C$1)</f>
        <v>1161.8126637529492</v>
      </c>
      <c r="E10">
        <f>SUMIFS(Data!$F$2:$F$193,Data!$C$2:$C$193,Calc!A9,Data!$B$2:$B$193,Calc!$D$1)</f>
        <v>1052.0299422022226</v>
      </c>
      <c r="F10">
        <f>SUMIFS(Data!$F$2:$F$193,Data!$C$2:$C$193,Calc!A9,Data!$B$2:$B$193,Calc!$E$1)</f>
        <v>1247.8084264349998</v>
      </c>
      <c r="G10">
        <f t="shared" si="1"/>
        <v>5024.5175398801121</v>
      </c>
      <c r="J10" s="41" t="s">
        <v>13</v>
      </c>
      <c r="K10">
        <f>SUMIFS(Data!$G$2:$G$193,Data!$C$2:$C$193,Sheet4!$J$10,Data!$B$2:$B$193,Sheet4!K2)</f>
        <v>-57.862863671127464</v>
      </c>
      <c r="L10">
        <f>SUMIFS(Data!$G$2:$G$193,Data!$C$2:$C$193,Sheet4!$J$10,Data!$B$2:$B$193,Sheet4!L2)</f>
        <v>79.981572605706702</v>
      </c>
      <c r="M10">
        <f>SUMIFS(Data!$G$2:$G$193,Data!$C$2:$C$193,Sheet4!$J$10,Data!$B$2:$B$193,Sheet4!M2)</f>
        <v>78.901068013589537</v>
      </c>
      <c r="N10">
        <f>SUMIFS(Data!$G$2:$G$193,Data!$C$2:$C$193,Sheet4!$J$10,Data!$B$2:$B$193,Sheet4!N2)</f>
        <v>22.807370206734383</v>
      </c>
      <c r="O10">
        <f t="shared" si="0"/>
        <v>123.82714715490317</v>
      </c>
      <c r="Q10">
        <v>8</v>
      </c>
      <c r="R10" s="18">
        <v>41487</v>
      </c>
      <c r="S10">
        <f>SUMIFS(Data!$G$2:$G$193,Data!$I$2:$I$193,Sheet4!$Q$10,Data!$C$2:$C$193,Sheet4!$S$2)</f>
        <v>10.506914563528682</v>
      </c>
      <c r="T10">
        <f>SUMIFS(Data!$G$2:$G$193,Data!$I$2:$I$193,Sheet4!$Q$10,Data!$C$2:$C$193,Sheet4!$T$2)</f>
        <v>4.1160546350038913</v>
      </c>
      <c r="U10">
        <f>SUMIFS(Data!$G$2:$G$193,Data!$I$2:$I$193,Sheet4!$Q$10,Data!$C$2:$C$193,Sheet4!$U$2)</f>
        <v>0.94148056345560605</v>
      </c>
      <c r="V10">
        <f>SUMIFS(Data!$G$2:$G$193,Data!$I$2:$I$193,Sheet4!$Q$10,Data!$C$2:$C$193,Sheet4!$V$2)</f>
        <v>11.873305311847361</v>
      </c>
      <c r="W10">
        <f>SUMIFS(Data!$G$2:$G$193,Data!$I$2:$I$193,Sheet4!$Q$10,Data!$C$2:$C$193,Sheet4!W2)</f>
        <v>72.263261364748587</v>
      </c>
      <c r="X10">
        <f>SUMIFS(Data!$G$2:$G$193,Data!$I$2:$I$193,Sheet4!$Q$10,Data!$C$2:$C$193,Sheet4!X2)</f>
        <v>64.454738228739643</v>
      </c>
      <c r="Y10">
        <f>SUMIFS(Data!$G$2:$G$193,Data!$I$2:$I$193,Sheet4!$Q$10,Data!$C$2:$C$193,Sheet4!Y2)</f>
        <v>25.496810362329882</v>
      </c>
      <c r="Z10">
        <f>SUMIFS(Data!$G$2:$G$193,Data!$I$2:$I$193,Sheet4!$Q$10,Data!$C$2:$C$193,Sheet4!Z2)</f>
        <v>13.386626782132545</v>
      </c>
      <c r="AA10">
        <f>SUMIFS(Data!$G$2:$G$193,Data!$I$2:$I$193,Sheet4!$Q$10,Data!$C$2:$C$193,Sheet4!AA2)</f>
        <v>26.054193216795856</v>
      </c>
      <c r="AD10" s="18">
        <v>41487</v>
      </c>
      <c r="AE10">
        <f t="shared" si="2"/>
        <v>10.506914563528682</v>
      </c>
      <c r="AF10">
        <f t="shared" si="3"/>
        <v>4.1160546350038913</v>
      </c>
      <c r="AG10">
        <f t="shared" si="4"/>
        <v>0.94148056345560605</v>
      </c>
      <c r="AH10">
        <f t="shared" si="5"/>
        <v>11.873305311847361</v>
      </c>
      <c r="AI10">
        <f t="shared" si="6"/>
        <v>72.263261364748587</v>
      </c>
      <c r="AJ10">
        <f t="shared" si="7"/>
        <v>64.454738228739643</v>
      </c>
      <c r="AK10">
        <f t="shared" si="8"/>
        <v>25.496810362329882</v>
      </c>
      <c r="AL10">
        <f t="shared" si="9"/>
        <v>13.386626782132545</v>
      </c>
      <c r="AM10">
        <f t="shared" si="10"/>
        <v>26.054193216795856</v>
      </c>
      <c r="AY10" s="21" t="s">
        <v>38</v>
      </c>
      <c r="AZ10">
        <f>SUMIFS(Data!$G$2:$G$193,Data!$C$2:$C$193,Sheet4!$AZ$2,Data!$D$2:$D$193,Sheet4!AY10)</f>
        <v>10.506914563528682</v>
      </c>
      <c r="BA10">
        <f>SUMIFS(Data!$G$2:$G$193,Data!$C$2:$C$193,Sheet4!$BA$2,Data!$D$2:$D$193,Sheet4!AY10)</f>
        <v>5.0173813105881493</v>
      </c>
      <c r="BB10">
        <f>SUMIFS(Data!$G$2:$G$193,Data!$C$2:$C$193,Sheet4!$BB$2,Data!$D$2:$D$193,Sheet4!AY10)</f>
        <v>0</v>
      </c>
      <c r="BC10">
        <f>SUMIFS(Data!$G$2:$G$193,Data!$C$2:$C$193,Sheet4!$BC$2,Data!$D$2:$D$193,Sheet4!AY10)</f>
        <v>3.7520986154769957</v>
      </c>
      <c r="BD10">
        <f>SUMIFS(Data!$G$2:$G$193,Data!$C$2:$C$193,Sheet4!$BD$2,Data!$D$2:$D$193,Sheet4!AY10)</f>
        <v>0</v>
      </c>
      <c r="BE10">
        <f>SUMIFS(Data!$G$2:$G$193,Data!$C$2:$C$193,Sheet4!$BE$2,Data!$D$2:$D$193,Sheet4!AY10)</f>
        <v>0</v>
      </c>
      <c r="BF10">
        <f>SUMIFS(Data!$G$2:$G$193,Data!$C$2:$C$193,Sheet4!$BF$2,Data!$D$2:$D$193,Sheet4!AY10)</f>
        <v>-1.817891779198618</v>
      </c>
      <c r="BG10">
        <f>SUMIFS(Data!$G$2:$G$193,Data!$C$2:$C$193,Sheet4!$BG$2,Data!$D$2:$D$193,Sheet4!AY10)</f>
        <v>3.8175727363170893</v>
      </c>
      <c r="BH10">
        <f>SUMIFS(Data!$G$2:$G$193,Data!$C$2:$C$193,Sheet4!$BH$2,Data!$D$2:$D$193,Sheet4!AY10)</f>
        <v>9.2712480739128864</v>
      </c>
    </row>
    <row r="11" spans="2:60" x14ac:dyDescent="0.3">
      <c r="B11" s="41" t="s">
        <v>14</v>
      </c>
      <c r="C11">
        <f>SUMIFS(Data!$F$2:$F$193,Data!$C$2:$C$193,Calc!A10,Data!$B$2:$B$193,Calc!$B$1)</f>
        <v>3044.3478270563874</v>
      </c>
      <c r="D11">
        <f>SUMIFS(Data!$F$2:$F$193,Data!$C$2:$C$193,Calc!A10,Data!$B$2:$B$193,Calc!$C$1)</f>
        <v>4447.7486703663999</v>
      </c>
      <c r="E11">
        <f>SUMIFS(Data!$F$2:$F$193,Data!$C$2:$C$193,Calc!A10,Data!$B$2:$B$193,Calc!$D$1)</f>
        <v>2347.1264381187889</v>
      </c>
      <c r="F11">
        <f>SUMIFS(Data!$F$2:$F$193,Data!$C$2:$C$193,Calc!A10,Data!$B$2:$B$193,Calc!$E$1)</f>
        <v>1977.662394726852</v>
      </c>
      <c r="G11">
        <f t="shared" si="1"/>
        <v>11816.885330268429</v>
      </c>
      <c r="J11" s="41" t="s">
        <v>14</v>
      </c>
      <c r="K11">
        <f>SUMIFS(Data!$G$2:$G$193,Data!$C$2:$C$193,Sheet4!$J$11,Data!$B$2:$B$193,Sheet4!K2)</f>
        <v>110.24285539514668</v>
      </c>
      <c r="L11">
        <f>SUMIFS(Data!$G$2:$G$193,Data!$C$2:$C$193,Sheet4!$J$11,Data!$B$2:$B$193,Sheet4!L2)</f>
        <v>91.166210164357281</v>
      </c>
      <c r="M11">
        <f>SUMIFS(Data!$G$2:$G$193,Data!$C$2:$C$193,Sheet4!$J$11,Data!$B$2:$B$193,Sheet4!M2)</f>
        <v>197.99873148707348</v>
      </c>
      <c r="N11">
        <f>SUMIFS(Data!$G$2:$G$193,Data!$C$2:$C$193,Sheet4!$J$11,Data!$B$2:$B$193,Sheet4!N2)</f>
        <v>3.9361783780988153</v>
      </c>
      <c r="O11">
        <f t="shared" si="0"/>
        <v>403.34397542467627</v>
      </c>
      <c r="Q11">
        <v>9</v>
      </c>
      <c r="R11" s="18">
        <v>41518</v>
      </c>
      <c r="S11">
        <f>SUMIFS(Data!$G$2:$G$193,Data!$I$2:$I$193,Sheet4!$Q$11,Data!$C$2:$C$193,Sheet4!$S$2)</f>
        <v>2.8425055725293342</v>
      </c>
      <c r="T11">
        <f>SUMIFS(Data!$G$2:$G$193,Data!$I$2:$I$193,Sheet4!$Q$11,Data!$C$2:$C$193,Sheet4!$T$2)</f>
        <v>4.3063943939365523E-2</v>
      </c>
      <c r="U11">
        <f>SUMIFS(Data!$G$2:$G$193,Data!$I$2:$I$193,Sheet4!$Q$11,Data!$C$2:$C$193,Sheet4!$U$2)</f>
        <v>21.513959711694923</v>
      </c>
      <c r="V11">
        <f>SUMIFS(Data!$G$2:$G$193,Data!$I$2:$I$193,Sheet4!$Q$11,Data!$C$2:$C$193,Sheet4!$V$2)</f>
        <v>33.259057890137271</v>
      </c>
      <c r="W11">
        <f>SUMIFS(Data!$G$2:$G$193,Data!$I$2:$I$193,Sheet4!$Q$11,Data!$C$2:$C$193,Sheet4!W2)</f>
        <v>19.038113707766371</v>
      </c>
      <c r="X11">
        <f>SUMIFS(Data!$G$2:$G$193,Data!$I$2:$I$193,Sheet4!$Q$11,Data!$C$2:$C$193,Sheet4!X2)</f>
        <v>1.7059255514399219</v>
      </c>
      <c r="Y11">
        <f>SUMIFS(Data!$G$2:$G$193,Data!$I$2:$I$193,Sheet4!$Q$11,Data!$C$2:$C$193,Sheet4!Y2)</f>
        <v>142.27309397988992</v>
      </c>
      <c r="Z11">
        <f>SUMIFS(Data!$G$2:$G$193,Data!$I$2:$I$193,Sheet4!$Q$11,Data!$C$2:$C$193,Sheet4!Z2)</f>
        <v>43.730778454695738</v>
      </c>
      <c r="AA11">
        <f>SUMIFS(Data!$G$2:$G$193,Data!$I$2:$I$193,Sheet4!$Q$11,Data!$C$2:$C$193,Sheet4!AA2)</f>
        <v>168.14653723620336</v>
      </c>
      <c r="AD11" s="18">
        <v>41518</v>
      </c>
      <c r="AE11">
        <f t="shared" si="2"/>
        <v>2.8425055725293342</v>
      </c>
      <c r="AF11">
        <f t="shared" si="3"/>
        <v>4.3063943939365523E-2</v>
      </c>
      <c r="AG11">
        <f t="shared" si="4"/>
        <v>21.513959711694923</v>
      </c>
      <c r="AH11">
        <f t="shared" si="5"/>
        <v>33.259057890137271</v>
      </c>
      <c r="AI11">
        <f t="shared" si="6"/>
        <v>19.038113707766371</v>
      </c>
      <c r="AJ11">
        <f t="shared" si="7"/>
        <v>1.7059255514399219</v>
      </c>
      <c r="AK11">
        <f t="shared" si="8"/>
        <v>142.27309397988992</v>
      </c>
      <c r="AL11">
        <f t="shared" si="9"/>
        <v>43.730778454695738</v>
      </c>
      <c r="AM11">
        <f t="shared" si="10"/>
        <v>168.14653723620336</v>
      </c>
      <c r="AY11" s="21" t="s">
        <v>24</v>
      </c>
      <c r="AZ11">
        <f>SUMIFS(Data!$G$2:$G$193,Data!$C$2:$C$193,Sheet4!$AZ$2,Data!$D$2:$D$193,Sheet4!AY11)</f>
        <v>-2.4075357273505524</v>
      </c>
      <c r="BA11">
        <f>SUMIFS(Data!$G$2:$G$193,Data!$C$2:$C$193,Sheet4!$BA$2,Data!$D$2:$D$193,Sheet4!AY11)</f>
        <v>0</v>
      </c>
      <c r="BB11">
        <f>SUMIFS(Data!$G$2:$G$193,Data!$C$2:$C$193,Sheet4!$BB$2,Data!$D$2:$D$193,Sheet4!AY11)</f>
        <v>0</v>
      </c>
      <c r="BC11">
        <f>SUMIFS(Data!$G$2:$G$193,Data!$C$2:$C$193,Sheet4!$BC$2,Data!$D$2:$D$193,Sheet4!AY11)</f>
        <v>0.86374363619780326</v>
      </c>
      <c r="BD11">
        <f>SUMIFS(Data!$G$2:$G$193,Data!$C$2:$C$193,Sheet4!$BD$2,Data!$D$2:$D$193,Sheet4!AY11)</f>
        <v>0</v>
      </c>
      <c r="BE11">
        <f>SUMIFS(Data!$G$2:$G$193,Data!$C$2:$C$193,Sheet4!$BE$2,Data!$D$2:$D$193,Sheet4!AY11)</f>
        <v>1.7059255514399219</v>
      </c>
      <c r="BF11">
        <f>SUMIFS(Data!$G$2:$G$193,Data!$C$2:$C$193,Sheet4!$BF$2,Data!$D$2:$D$193,Sheet4!AY11)</f>
        <v>0.31471055259484437</v>
      </c>
      <c r="BG11">
        <f>SUMIFS(Data!$G$2:$G$193,Data!$C$2:$C$193,Sheet4!$BG$2,Data!$D$2:$D$193,Sheet4!AY11)</f>
        <v>0.81446830381688251</v>
      </c>
      <c r="BH11">
        <f>SUMIFS(Data!$G$2:$G$193,Data!$C$2:$C$193,Sheet4!$BH$2,Data!$D$2:$D$193,Sheet4!AY11)</f>
        <v>0.32578732152675371</v>
      </c>
    </row>
    <row r="12" spans="2:60" x14ac:dyDescent="0.3">
      <c r="K12">
        <f>SUBTOTAL(9,K3:K11)</f>
        <v>-341.96773738236584</v>
      </c>
      <c r="Q12">
        <v>10</v>
      </c>
      <c r="R12" s="18">
        <v>41548</v>
      </c>
      <c r="S12">
        <f>SUMIFS(Data!$G$2:$G$193,Data!$I$2:$I$193,Sheet4!$Q$12,Data!$C$2:$C$193,Sheet4!$S$2)</f>
        <v>-2.1099935828499952</v>
      </c>
      <c r="T12">
        <f>SUMIFS(Data!$G$2:$G$193,Data!$I$2:$I$193,Sheet4!$Q$12,Data!$C$2:$C$193,Sheet4!$T$2)</f>
        <v>-4.7327949816393851</v>
      </c>
      <c r="U12">
        <f>SUMIFS(Data!$G$2:$G$193,Data!$I$2:$I$193,Sheet4!$Q$12,Data!$C$2:$C$193,Sheet4!$U$2)</f>
        <v>-3.4564689597928133</v>
      </c>
      <c r="V12">
        <f>SUMIFS(Data!$G$2:$G$193,Data!$I$2:$I$193,Sheet4!$Q$12,Data!$C$2:$C$193,Sheet4!$V$2)</f>
        <v>-1.1797477039546322</v>
      </c>
      <c r="W12">
        <f>SUMIFS(Data!$G$2:$G$193,Data!$I$2:$I$193,Sheet4!$Q$12,Data!$C$2:$C$193,Sheet4!W2)</f>
        <v>-0.29352463131220174</v>
      </c>
      <c r="X12">
        <f>SUMIFS(Data!$G$2:$G$193,Data!$I$2:$I$193,Sheet4!$Q$12,Data!$C$2:$C$193,Sheet4!X2)</f>
        <v>-2.0543028105744554</v>
      </c>
      <c r="Y12">
        <f>SUMIFS(Data!$G$2:$G$193,Data!$I$2:$I$193,Sheet4!$Q$12,Data!$C$2:$C$193,Sheet4!Y2)</f>
        <v>-14.320780993607315</v>
      </c>
      <c r="Z12">
        <f>SUMIFS(Data!$G$2:$G$193,Data!$I$2:$I$193,Sheet4!$Q$12,Data!$C$2:$C$193,Sheet4!Z2)</f>
        <v>0.70804201633588337</v>
      </c>
      <c r="AA12">
        <f>SUMIFS(Data!$G$2:$G$193,Data!$I$2:$I$193,Sheet4!$Q$12,Data!$C$2:$C$193,Sheet4!AA2)</f>
        <v>-11.872356505479349</v>
      </c>
      <c r="AD12" s="18">
        <v>41548</v>
      </c>
      <c r="AE12">
        <f t="shared" si="2"/>
        <v>-2.1099935828499952</v>
      </c>
      <c r="AF12">
        <f t="shared" si="3"/>
        <v>-4.7327949816393851</v>
      </c>
      <c r="AG12">
        <f t="shared" si="4"/>
        <v>-3.4564689597928133</v>
      </c>
      <c r="AH12">
        <f t="shared" si="5"/>
        <v>-1.1797477039546322</v>
      </c>
      <c r="AI12">
        <f t="shared" si="6"/>
        <v>-0.29352463131220174</v>
      </c>
      <c r="AJ12">
        <f t="shared" si="7"/>
        <v>-2.0543028105744554</v>
      </c>
      <c r="AK12">
        <f t="shared" si="8"/>
        <v>-14.320780993607315</v>
      </c>
      <c r="AL12">
        <f t="shared" si="9"/>
        <v>0.70804201633588337</v>
      </c>
      <c r="AM12">
        <f t="shared" si="10"/>
        <v>-11.872356505479349</v>
      </c>
      <c r="AY12" s="21" t="s">
        <v>20</v>
      </c>
      <c r="AZ12">
        <f>SUMIFS(Data!$G$2:$G$193,Data!$C$2:$C$193,Sheet4!$AZ$2,Data!$D$2:$D$193,Sheet4!AY12)</f>
        <v>0</v>
      </c>
      <c r="BA12">
        <f>SUMIFS(Data!$G$2:$G$193,Data!$C$2:$C$193,Sheet4!$BA$2,Data!$D$2:$D$193,Sheet4!AY12)</f>
        <v>4.3063943939365523E-2</v>
      </c>
      <c r="BB12">
        <f>SUMIFS(Data!$G$2:$G$193,Data!$C$2:$C$193,Sheet4!$BB$2,Data!$D$2:$D$193,Sheet4!AY12)</f>
        <v>2.7264471892475939E-2</v>
      </c>
      <c r="BC12">
        <f>SUMIFS(Data!$G$2:$G$193,Data!$C$2:$C$193,Sheet4!$BC$2,Data!$D$2:$D$193,Sheet4!AY12)</f>
        <v>0</v>
      </c>
      <c r="BD12">
        <f>SUMIFS(Data!$G$2:$G$193,Data!$C$2:$C$193,Sheet4!$BD$2,Data!$D$2:$D$193,Sheet4!AY12)</f>
        <v>7.0560227465000125E-2</v>
      </c>
      <c r="BE12">
        <f>SUMIFS(Data!$G$2:$G$193,Data!$C$2:$C$193,Sheet4!$BE$2,Data!$D$2:$D$193,Sheet4!AY12)</f>
        <v>0</v>
      </c>
      <c r="BF12">
        <f>SUMIFS(Data!$G$2:$G$193,Data!$C$2:$C$193,Sheet4!$BF$2,Data!$D$2:$D$193,Sheet4!AY12)</f>
        <v>-6.0775209977441458E-2</v>
      </c>
      <c r="BG12">
        <f>SUMIFS(Data!$G$2:$G$193,Data!$C$2:$C$193,Sheet4!$BG$2,Data!$D$2:$D$193,Sheet4!AY12)</f>
        <v>8.2240909860000211E-3</v>
      </c>
      <c r="BH12">
        <f>SUMIFS(Data!$G$2:$G$193,Data!$C$2:$C$193,Sheet4!$BH$2,Data!$D$2:$D$193,Sheet4!AY12)</f>
        <v>2.18041212266325E-2</v>
      </c>
    </row>
    <row r="13" spans="2:60" x14ac:dyDescent="0.3">
      <c r="Q13">
        <v>11</v>
      </c>
      <c r="R13" s="18">
        <v>41579</v>
      </c>
      <c r="S13">
        <f>SUMIFS(Data!$G$2:$G$193,Data!$I$2:$I$193,Sheet4!$Q$13,Data!$C$2:$C$193,Sheet4!$S$2)</f>
        <v>40.666475470145542</v>
      </c>
      <c r="T13">
        <f>SUMIFS(Data!$G$2:$G$193,Data!$I$2:$I$193,Sheet4!$Q$13,Data!$C$2:$C$193,Sheet4!$T$2)</f>
        <v>23.418925689432172</v>
      </c>
      <c r="U13">
        <f>SUMIFS(Data!$G$2:$G$193,Data!$I$2:$I$193,Sheet4!$Q$13,Data!$C$2:$C$193,Sheet4!$U$2)</f>
        <v>2.3594954079092645</v>
      </c>
      <c r="V13">
        <f>SUMIFS(Data!$G$2:$G$193,Data!$I$2:$I$193,Sheet4!$Q$13,Data!$C$2:$C$193,Sheet4!$V$2)</f>
        <v>25.005778428817393</v>
      </c>
      <c r="W13">
        <f>SUMIFS(Data!$G$2:$G$193,Data!$I$2:$I$193,Sheet4!$Q$13,Data!$C$2:$C$193,Sheet4!W2)</f>
        <v>4.2199871656999903</v>
      </c>
      <c r="X13">
        <f>SUMIFS(Data!$G$2:$G$193,Data!$I$2:$I$193,Sheet4!$Q$13,Data!$C$2:$C$193,Sheet4!X2)</f>
        <v>6.9129379195856258</v>
      </c>
      <c r="Y13">
        <f>SUMIFS(Data!$G$2:$G$193,Data!$I$2:$I$193,Sheet4!$Q$13,Data!$C$2:$C$193,Sheet4!Y2)</f>
        <v>4.2228328210216111</v>
      </c>
      <c r="Z13">
        <f>SUMIFS(Data!$G$2:$G$193,Data!$I$2:$I$193,Sheet4!$Q$13,Data!$C$2:$C$193,Sheet4!Z2)</f>
        <v>10.898122177922581</v>
      </c>
      <c r="AA13">
        <f>SUMIFS(Data!$G$2:$G$193,Data!$I$2:$I$193,Sheet4!$Q$13,Data!$C$2:$C$193,Sheet4!AA2)</f>
        <v>4.4343929426756361</v>
      </c>
      <c r="AD13" s="18">
        <v>41579</v>
      </c>
      <c r="AE13">
        <f t="shared" si="2"/>
        <v>40.666475470145542</v>
      </c>
      <c r="AF13">
        <f t="shared" si="3"/>
        <v>23.418925689432172</v>
      </c>
      <c r="AG13">
        <f t="shared" si="4"/>
        <v>2.3594954079092645</v>
      </c>
      <c r="AH13">
        <f t="shared" si="5"/>
        <v>25.005778428817393</v>
      </c>
      <c r="AI13">
        <f t="shared" si="6"/>
        <v>4.2199871656999903</v>
      </c>
      <c r="AJ13">
        <f t="shared" si="7"/>
        <v>6.9129379195856258</v>
      </c>
      <c r="AK13">
        <f t="shared" si="8"/>
        <v>4.2228328210216111</v>
      </c>
      <c r="AL13">
        <f t="shared" si="9"/>
        <v>10.898122177922581</v>
      </c>
      <c r="AM13">
        <f t="shared" si="10"/>
        <v>4.4343929426756361</v>
      </c>
      <c r="AY13" s="21" t="s">
        <v>48</v>
      </c>
      <c r="AZ13">
        <f>SUMIFS(Data!$G$2:$G$193,Data!$C$2:$C$193,Sheet4!$AZ$2,Data!$D$2:$D$193,Sheet4!AY13)</f>
        <v>0</v>
      </c>
      <c r="BA13">
        <f>SUMIFS(Data!$G$2:$G$193,Data!$C$2:$C$193,Sheet4!$BA$2,Data!$D$2:$D$193,Sheet4!AY13)</f>
        <v>0</v>
      </c>
      <c r="BB13">
        <f>SUMIFS(Data!$G$2:$G$193,Data!$C$2:$C$193,Sheet4!$BB$2,Data!$D$2:$D$193,Sheet4!AY13)</f>
        <v>0</v>
      </c>
      <c r="BC13">
        <f>SUMIFS(Data!$G$2:$G$193,Data!$C$2:$C$193,Sheet4!$BC$2,Data!$D$2:$D$193,Sheet4!AY13)</f>
        <v>0</v>
      </c>
      <c r="BD13">
        <f>SUMIFS(Data!$G$2:$G$193,Data!$C$2:$C$193,Sheet4!$BD$2,Data!$D$2:$D$193,Sheet4!AY13)</f>
        <v>-0.26768448857333382</v>
      </c>
      <c r="BE13">
        <f>SUMIFS(Data!$G$2:$G$193,Data!$C$2:$C$193,Sheet4!$BE$2,Data!$D$2:$D$193,Sheet4!AY13)</f>
        <v>1.3651908917240014</v>
      </c>
      <c r="BF13">
        <f>SUMIFS(Data!$G$2:$G$193,Data!$C$2:$C$193,Sheet4!$BF$2,Data!$D$2:$D$193,Sheet4!AY13)</f>
        <v>0.55249636444444405</v>
      </c>
      <c r="BG13">
        <f>SUMIFS(Data!$G$2:$G$193,Data!$C$2:$C$193,Sheet4!$BG$2,Data!$D$2:$D$193,Sheet4!AY13)</f>
        <v>1.9958073635948352</v>
      </c>
      <c r="BH13">
        <f>SUMIFS(Data!$G$2:$G$193,Data!$C$2:$C$193,Sheet4!$BH$2,Data!$D$2:$D$193,Sheet4!AY13)</f>
        <v>0.73880918846240107</v>
      </c>
    </row>
    <row r="14" spans="2:60" x14ac:dyDescent="0.3">
      <c r="Q14">
        <v>12</v>
      </c>
      <c r="R14" s="18">
        <v>41609</v>
      </c>
      <c r="S14">
        <f>SUMIFS(Data!$G$2:$G$193,Data!$I$2:$I$193,Sheet4!$Q$14,Data!$C$2:$C$193,Sheet4!$S$2)</f>
        <v>1.4698742246209946</v>
      </c>
      <c r="T14">
        <f>SUMIFS(Data!$G$2:$G$193,Data!$I$2:$I$193,Sheet4!$Q$14,Data!$C$2:$C$193,Sheet4!$T$2)</f>
        <v>0.33620982613700079</v>
      </c>
      <c r="U14">
        <f>SUMIFS(Data!$G$2:$G$193,Data!$I$2:$I$193,Sheet4!$Q$14,Data!$C$2:$C$193,Sheet4!$U$2)</f>
        <v>25.805756892484624</v>
      </c>
      <c r="V14">
        <f>SUMIFS(Data!$G$2:$G$193,Data!$I$2:$I$193,Sheet4!$Q$14,Data!$C$2:$C$193,Sheet4!$V$2)</f>
        <v>3.7520986154769957</v>
      </c>
      <c r="W14">
        <f>SUMIFS(Data!$G$2:$G$193,Data!$I$2:$I$193,Sheet4!$Q$14,Data!$C$2:$C$193,Sheet4!W2)</f>
        <v>41.967466945454817</v>
      </c>
      <c r="X14">
        <f>SUMIFS(Data!$G$2:$G$193,Data!$I$2:$I$193,Sheet4!$Q$14,Data!$C$2:$C$193,Sheet4!X2)</f>
        <v>2.4349797811241132</v>
      </c>
      <c r="Y14">
        <f>SUMIFS(Data!$G$2:$G$193,Data!$I$2:$I$193,Sheet4!$Q$14,Data!$C$2:$C$193,Sheet4!Y2)</f>
        <v>4.9608219074555189</v>
      </c>
      <c r="Z14">
        <f>SUMIFS(Data!$G$2:$G$193,Data!$I$2:$I$193,Sheet4!$Q$14,Data!$C$2:$C$193,Sheet4!Z2)</f>
        <v>11.20120601247592</v>
      </c>
      <c r="AA14">
        <f>SUMIFS(Data!$G$2:$G$193,Data!$I$2:$I$193,Sheet4!$Q$14,Data!$C$2:$C$193,Sheet4!AA2)</f>
        <v>11.374141940902529</v>
      </c>
      <c r="AD14" s="18">
        <v>41609</v>
      </c>
      <c r="AE14">
        <f t="shared" si="2"/>
        <v>1.4698742246209946</v>
      </c>
      <c r="AF14">
        <f t="shared" si="3"/>
        <v>0.33620982613700079</v>
      </c>
      <c r="AG14">
        <f t="shared" si="4"/>
        <v>25.805756892484624</v>
      </c>
      <c r="AH14">
        <f t="shared" si="5"/>
        <v>3.7520986154769957</v>
      </c>
      <c r="AI14">
        <f t="shared" si="6"/>
        <v>41.967466945454817</v>
      </c>
      <c r="AJ14">
        <f t="shared" si="7"/>
        <v>2.4349797811241132</v>
      </c>
      <c r="AK14">
        <f t="shared" si="8"/>
        <v>4.9608219074555189</v>
      </c>
      <c r="AL14">
        <f t="shared" si="9"/>
        <v>11.20120601247592</v>
      </c>
      <c r="AM14">
        <f t="shared" si="10"/>
        <v>11.374141940902529</v>
      </c>
      <c r="AY14" s="21" t="s">
        <v>34</v>
      </c>
      <c r="AZ14">
        <f>SUMIFS(Data!$G$2:$G$193,Data!$C$2:$C$193,Sheet4!$AZ$2,Data!$D$2:$D$193,Sheet4!AY14)</f>
        <v>0</v>
      </c>
      <c r="BA14">
        <f>SUMIFS(Data!$G$2:$G$193,Data!$C$2:$C$193,Sheet4!$BA$2,Data!$D$2:$D$193,Sheet4!AY14)</f>
        <v>0</v>
      </c>
      <c r="BB14">
        <f>SUMIFS(Data!$G$2:$G$193,Data!$C$2:$C$193,Sheet4!$BB$2,Data!$D$2:$D$193,Sheet4!AY14)</f>
        <v>-5.1142493439000347E-2</v>
      </c>
      <c r="BC14">
        <f>SUMIFS(Data!$G$2:$G$193,Data!$C$2:$C$193,Sheet4!$BC$2,Data!$D$2:$D$193,Sheet4!AY14)</f>
        <v>0</v>
      </c>
      <c r="BD14">
        <f>SUMIFS(Data!$G$2:$G$193,Data!$C$2:$C$193,Sheet4!$BD$2,Data!$D$2:$D$193,Sheet4!AY14)</f>
        <v>0.10739923622189984</v>
      </c>
      <c r="BE14">
        <f>SUMIFS(Data!$G$2:$G$193,Data!$C$2:$C$193,Sheet4!$BE$2,Data!$D$2:$D$193,Sheet4!AY14)</f>
        <v>0</v>
      </c>
      <c r="BF14">
        <f>SUMIFS(Data!$G$2:$G$193,Data!$C$2:$C$193,Sheet4!$BF$2,Data!$D$2:$D$193,Sheet4!AY14)</f>
        <v>0.25826959186695042</v>
      </c>
      <c r="BG14">
        <f>SUMIFS(Data!$G$2:$G$193,Data!$C$2:$C$193,Sheet4!$BG$2,Data!$D$2:$D$193,Sheet4!AY14)</f>
        <v>0.40197999843053989</v>
      </c>
      <c r="BH14">
        <f>SUMIFS(Data!$G$2:$G$193,Data!$C$2:$C$193,Sheet4!$BH$2,Data!$D$2:$D$193,Sheet4!AY14)</f>
        <v>0.10555726200000048</v>
      </c>
    </row>
    <row r="15" spans="2:60" x14ac:dyDescent="0.3">
      <c r="B15" s="40" t="s">
        <v>4</v>
      </c>
      <c r="C15" t="s">
        <v>51</v>
      </c>
      <c r="AY15" s="21" t="s">
        <v>45</v>
      </c>
      <c r="AZ15">
        <f>SUMIFS(Data!$G$2:$G$193,Data!$C$2:$C$193,Sheet4!$AZ$2,Data!$D$2:$D$193,Sheet4!AY15)</f>
        <v>-2.1099935828499952</v>
      </c>
      <c r="BA15">
        <f>SUMIFS(Data!$G$2:$G$193,Data!$C$2:$C$193,Sheet4!$BA$2,Data!$D$2:$D$193,Sheet4!AY15)</f>
        <v>4.1172726780868629</v>
      </c>
      <c r="BB15">
        <f>SUMIFS(Data!$G$2:$G$193,Data!$C$2:$C$193,Sheet4!$BB$2,Data!$D$2:$D$193,Sheet4!AY15)</f>
        <v>10.760967272534998</v>
      </c>
      <c r="BC15">
        <f>SUMIFS(Data!$G$2:$G$193,Data!$C$2:$C$193,Sheet4!$BC$2,Data!$D$2:$D$193,Sheet4!AY15)</f>
        <v>0</v>
      </c>
      <c r="BD15">
        <f>SUMIFS(Data!$G$2:$G$193,Data!$C$2:$C$193,Sheet4!$BD$2,Data!$D$2:$D$193,Sheet4!AY15)</f>
        <v>0</v>
      </c>
      <c r="BE15">
        <f>SUMIFS(Data!$G$2:$G$193,Data!$C$2:$C$193,Sheet4!$BE$2,Data!$D$2:$D$193,Sheet4!AY15)</f>
        <v>0</v>
      </c>
      <c r="BF15">
        <f>SUMIFS(Data!$G$2:$G$193,Data!$C$2:$C$193,Sheet4!$BF$2,Data!$D$2:$D$193,Sheet4!AY15)</f>
        <v>4.3549919150670746</v>
      </c>
      <c r="BG15">
        <f>SUMIFS(Data!$G$2:$G$193,Data!$C$2:$C$193,Sheet4!$BG$2,Data!$D$2:$D$193,Sheet4!AY15)</f>
        <v>11.614459676797821</v>
      </c>
      <c r="BH15">
        <f>SUMIFS(Data!$G$2:$G$193,Data!$C$2:$C$193,Sheet4!$BH$2,Data!$D$2:$D$193,Sheet4!AY15)</f>
        <v>5.8235822886659889</v>
      </c>
    </row>
    <row r="16" spans="2:60" x14ac:dyDescent="0.3">
      <c r="B16" s="41" t="s">
        <v>8</v>
      </c>
      <c r="C16">
        <f>VLOOKUP(B16,$B$3:$G$11,$G$23+1,FALSE)</f>
        <v>637.99402457287283</v>
      </c>
      <c r="L16" t="s">
        <v>67</v>
      </c>
      <c r="AY16" s="21" t="s">
        <v>22</v>
      </c>
      <c r="AZ16">
        <f>SUMIFS(Data!$G$2:$G$193,Data!$C$2:$C$193,Sheet4!$AZ$2,Data!$D$2:$D$193,Sheet4!AY16)</f>
        <v>0</v>
      </c>
      <c r="BA16">
        <f>SUMIFS(Data!$G$2:$G$193,Data!$C$2:$C$193,Sheet4!$BA$2,Data!$D$2:$D$193,Sheet4!AY16)</f>
        <v>0</v>
      </c>
      <c r="BB16">
        <f>SUMIFS(Data!$G$2:$G$193,Data!$C$2:$C$193,Sheet4!$BB$2,Data!$D$2:$D$193,Sheet4!AY16)</f>
        <v>0</v>
      </c>
      <c r="BC16">
        <f>SUMIFS(Data!$G$2:$G$193,Data!$C$2:$C$193,Sheet4!$BC$2,Data!$D$2:$D$193,Sheet4!AY16)</f>
        <v>0</v>
      </c>
      <c r="BD16">
        <f>SUMIFS(Data!$G$2:$G$193,Data!$C$2:$C$193,Sheet4!$BD$2,Data!$D$2:$D$193,Sheet4!AY16)</f>
        <v>19.038113707766371</v>
      </c>
      <c r="BE16">
        <f>SUMIFS(Data!$G$2:$G$193,Data!$C$2:$C$193,Sheet4!$BE$2,Data!$D$2:$D$193,Sheet4!AY16)</f>
        <v>9.0894588959930331</v>
      </c>
      <c r="BF16">
        <f>SUMIFS(Data!$G$2:$G$193,Data!$C$2:$C$193,Sheet4!$BF$2,Data!$D$2:$D$193,Sheet4!AY16)</f>
        <v>3.6357835583972076</v>
      </c>
      <c r="BG16">
        <f>SUMIFS(Data!$G$2:$G$193,Data!$C$2:$C$193,Sheet4!$BG$2,Data!$D$2:$D$193,Sheet4!AY16)</f>
        <v>13.151538076612326</v>
      </c>
      <c r="BH16">
        <f>SUMIFS(Data!$G$2:$G$193,Data!$C$2:$C$193,Sheet4!$BH$2,Data!$D$2:$D$193,Sheet4!AY16)</f>
        <v>-26.868076918199591</v>
      </c>
    </row>
    <row r="17" spans="2:67" x14ac:dyDescent="0.3">
      <c r="B17" s="41" t="s">
        <v>10</v>
      </c>
      <c r="C17">
        <f t="shared" ref="C17:C24" si="11">VLOOKUP(B17,$B$3:$G$11,$G$23+1,FALSE)</f>
        <v>401.4641569753731</v>
      </c>
      <c r="G17" t="s">
        <v>0</v>
      </c>
      <c r="AY17" s="21" t="s">
        <v>32</v>
      </c>
      <c r="AZ17">
        <f>SUMIFS(Data!$G$2:$G$193,Data!$C$2:$C$193,Sheet4!$AZ$2,Data!$D$2:$D$193,Sheet4!AY17)</f>
        <v>2.571891237112542</v>
      </c>
      <c r="BA17">
        <f>SUMIFS(Data!$G$2:$G$193,Data!$C$2:$C$193,Sheet4!$BA$2,Data!$D$2:$D$193,Sheet4!AY17)</f>
        <v>0.51716643192368039</v>
      </c>
      <c r="BB17">
        <f>SUMIFS(Data!$G$2:$G$193,Data!$C$2:$C$193,Sheet4!$BB$2,Data!$D$2:$D$193,Sheet4!AY17)</f>
        <v>2.6099237635900039</v>
      </c>
      <c r="BC17">
        <f>SUMIFS(Data!$G$2:$G$193,Data!$C$2:$C$193,Sheet4!$BC$2,Data!$D$2:$D$193,Sheet4!AY17)</f>
        <v>0</v>
      </c>
      <c r="BD17">
        <f>SUMIFS(Data!$G$2:$G$193,Data!$C$2:$C$193,Sheet4!$BD$2,Data!$D$2:$D$193,Sheet4!AY17)</f>
        <v>0</v>
      </c>
      <c r="BE17">
        <f>SUMIFS(Data!$G$2:$G$193,Data!$C$2:$C$193,Sheet4!$BE$2,Data!$D$2:$D$193,Sheet4!AY17)</f>
        <v>0</v>
      </c>
      <c r="BF17">
        <f>SUMIFS(Data!$G$2:$G$193,Data!$C$2:$C$193,Sheet4!$BF$2,Data!$D$2:$D$193,Sheet4!AY17)</f>
        <v>0.53536897714666765</v>
      </c>
      <c r="BG17">
        <f>SUMIFS(Data!$G$2:$G$193,Data!$C$2:$C$193,Sheet4!$BG$2,Data!$D$2:$D$193,Sheet4!AY17)</f>
        <v>1.3518066672953353</v>
      </c>
      <c r="BH17">
        <f>SUMIFS(Data!$G$2:$G$193,Data!$C$2:$C$193,Sheet4!$BH$2,Data!$D$2:$D$193,Sheet4!AY17)</f>
        <v>-3.9563232042161545</v>
      </c>
    </row>
    <row r="18" spans="2:67" x14ac:dyDescent="0.3">
      <c r="B18" s="41" t="s">
        <v>9</v>
      </c>
      <c r="C18">
        <f t="shared" si="11"/>
        <v>528.98873634203392</v>
      </c>
      <c r="G18" t="s">
        <v>1</v>
      </c>
      <c r="AY18" s="21" t="s">
        <v>41</v>
      </c>
      <c r="AZ18">
        <f>SUMIFS(Data!$G$2:$G$193,Data!$C$2:$C$193,Sheet4!$AZ$2,Data!$D$2:$D$193,Sheet4!AY18)</f>
        <v>0</v>
      </c>
      <c r="BA18">
        <f>SUMIFS(Data!$G$2:$G$193,Data!$C$2:$C$193,Sheet4!$BA$2,Data!$D$2:$D$193,Sheet4!AY18)</f>
        <v>0</v>
      </c>
      <c r="BB18">
        <f>SUMIFS(Data!$G$2:$G$193,Data!$C$2:$C$193,Sheet4!$BB$2,Data!$D$2:$D$193,Sheet4!AY18)</f>
        <v>25.805756892484624</v>
      </c>
      <c r="BC18">
        <f>SUMIFS(Data!$G$2:$G$193,Data!$C$2:$C$193,Sheet4!$BC$2,Data!$D$2:$D$193,Sheet4!AY18)</f>
        <v>0</v>
      </c>
      <c r="BD18">
        <f>SUMIFS(Data!$G$2:$G$193,Data!$C$2:$C$193,Sheet4!$BD$2,Data!$D$2:$D$193,Sheet4!AY18)</f>
        <v>72.263261364748587</v>
      </c>
      <c r="BE18">
        <f>SUMIFS(Data!$G$2:$G$193,Data!$C$2:$C$193,Sheet4!$BE$2,Data!$D$2:$D$193,Sheet4!AY18)</f>
        <v>0</v>
      </c>
      <c r="BF18">
        <f>SUMIFS(Data!$G$2:$G$193,Data!$C$2:$C$193,Sheet4!$BF$2,Data!$D$2:$D$193,Sheet4!AY18)</f>
        <v>-12.502889214408697</v>
      </c>
      <c r="BG18">
        <f>SUMIFS(Data!$G$2:$G$193,Data!$C$2:$C$193,Sheet4!$BG$2,Data!$D$2:$D$193,Sheet4!AY18)</f>
        <v>45</v>
      </c>
      <c r="BH18">
        <f>SUMIFS(Data!$G$2:$G$193,Data!$C$2:$C$193,Sheet4!$BH$2,Data!$D$2:$D$193,Sheet4!AY18)</f>
        <v>63.764734993484581</v>
      </c>
    </row>
    <row r="19" spans="2:67" x14ac:dyDescent="0.3">
      <c r="B19" s="41" t="s">
        <v>15</v>
      </c>
      <c r="C19">
        <f t="shared" si="11"/>
        <v>1600.9317553192911</v>
      </c>
      <c r="G19" t="s">
        <v>2</v>
      </c>
      <c r="AY19" s="21" t="s">
        <v>42</v>
      </c>
      <c r="AZ19">
        <f>SUMIFS(Data!$G$2:$G$193,Data!$C$2:$C$193,Sheet4!$AZ$2,Data!$D$2:$D$193,Sheet4!AY19)</f>
        <v>0</v>
      </c>
      <c r="BA19">
        <f>SUMIFS(Data!$G$2:$G$193,Data!$C$2:$C$193,Sheet4!$BA$2,Data!$D$2:$D$193,Sheet4!AY19)</f>
        <v>0</v>
      </c>
      <c r="BB19">
        <f>SUMIFS(Data!$G$2:$G$193,Data!$C$2:$C$193,Sheet4!$BB$2,Data!$D$2:$D$193,Sheet4!AY19)</f>
        <v>0</v>
      </c>
      <c r="BC19">
        <f>SUMIFS(Data!$G$2:$G$193,Data!$C$2:$C$193,Sheet4!$BC$2,Data!$D$2:$D$193,Sheet4!AY19)</f>
        <v>103.69951244887125</v>
      </c>
      <c r="BD19">
        <f>SUMIFS(Data!$G$2:$G$193,Data!$C$2:$C$193,Sheet4!$BD$2,Data!$D$2:$D$193,Sheet4!AY19)</f>
        <v>41.967466945454817</v>
      </c>
      <c r="BE19">
        <f>SUMIFS(Data!$G$2:$G$193,Data!$C$2:$C$193,Sheet4!$BE$2,Data!$D$2:$D$193,Sheet4!AY19)</f>
        <v>56.119736148800939</v>
      </c>
      <c r="BF19">
        <f>SUMIFS(Data!$G$2:$G$193,Data!$C$2:$C$193,Sheet4!$BF$2,Data!$D$2:$D$193,Sheet4!AY19)</f>
        <v>0</v>
      </c>
      <c r="BG19">
        <f>SUMIFS(Data!$G$2:$G$193,Data!$C$2:$C$193,Sheet4!$BG$2,Data!$D$2:$D$193,Sheet4!AY19)</f>
        <v>1.5736570426491565</v>
      </c>
      <c r="BH19">
        <f>SUMIFS(Data!$G$2:$G$193,Data!$C$2:$C$193,Sheet4!$BH$2,Data!$D$2:$D$193,Sheet4!AY19)</f>
        <v>39.676653457202292</v>
      </c>
    </row>
    <row r="20" spans="2:67" x14ac:dyDescent="0.3">
      <c r="B20" s="41" t="s">
        <v>12</v>
      </c>
      <c r="C20">
        <f t="shared" si="11"/>
        <v>551.04591211909371</v>
      </c>
      <c r="G20" t="s">
        <v>3</v>
      </c>
      <c r="U20" t="b">
        <v>1</v>
      </c>
      <c r="AY20" s="21" t="s">
        <v>18</v>
      </c>
      <c r="AZ20">
        <f>SUMIFS(Data!$G$2:$G$193,Data!$C$2:$C$193,Sheet4!$AZ$2,Data!$D$2:$D$193,Sheet4!AY20)</f>
        <v>9.880729732414828E-2</v>
      </c>
      <c r="BA20">
        <f>SUMIFS(Data!$G$2:$G$193,Data!$C$2:$C$193,Sheet4!$BA$2,Data!$D$2:$D$193,Sheet4!AY20)</f>
        <v>0.25571246719499996</v>
      </c>
      <c r="BB20">
        <f>SUMIFS(Data!$G$2:$G$193,Data!$C$2:$C$193,Sheet4!$BB$2,Data!$D$2:$D$193,Sheet4!AY20)</f>
        <v>0</v>
      </c>
      <c r="BC20">
        <f>SUMIFS(Data!$G$2:$G$193,Data!$C$2:$C$193,Sheet4!$BC$2,Data!$D$2:$D$193,Sheet4!AY20)</f>
        <v>0.5409525378225748</v>
      </c>
      <c r="BD20">
        <f>SUMIFS(Data!$G$2:$G$193,Data!$C$2:$C$193,Sheet4!$BD$2,Data!$D$2:$D$193,Sheet4!AY20)</f>
        <v>0</v>
      </c>
      <c r="BE20">
        <f>SUMIFS(Data!$G$2:$G$193,Data!$C$2:$C$193,Sheet4!$BE$2,Data!$D$2:$D$193,Sheet4!AY20)</f>
        <v>0.10228498687799981</v>
      </c>
      <c r="BF20">
        <f>SUMIFS(Data!$G$2:$G$193,Data!$C$2:$C$193,Sheet4!$BF$2,Data!$D$2:$D$193,Sheet4!AY20)</f>
        <v>0.27118307146029785</v>
      </c>
      <c r="BG20">
        <f>SUMIFS(Data!$G$2:$G$193,Data!$C$2:$C$193,Sheet4!$BG$2,Data!$D$2:$D$193,Sheet4!AY20)</f>
        <v>-0.75587582452973212</v>
      </c>
      <c r="BH20">
        <f>SUMIFS(Data!$G$2:$G$193,Data!$C$2:$C$193,Sheet4!$BH$2,Data!$D$2:$D$193,Sheet4!AY20)</f>
        <v>0</v>
      </c>
    </row>
    <row r="21" spans="2:67" x14ac:dyDescent="0.3">
      <c r="B21" s="41" t="s">
        <v>16</v>
      </c>
      <c r="C21">
        <f t="shared" si="11"/>
        <v>1939.8837187761276</v>
      </c>
      <c r="G21" t="s">
        <v>66</v>
      </c>
      <c r="AY21" s="21" t="s">
        <v>31</v>
      </c>
      <c r="AZ21">
        <f>SUMIFS(Data!$G$2:$G$193,Data!$C$2:$C$193,Sheet4!$AZ$2,Data!$D$2:$D$193,Sheet4!AY21)</f>
        <v>6.5790907329956099</v>
      </c>
      <c r="BA21">
        <f>SUMIFS(Data!$G$2:$G$193,Data!$C$2:$C$193,Sheet4!$BA$2,Data!$D$2:$D$193,Sheet4!AY21)</f>
        <v>17.026632331769122</v>
      </c>
      <c r="BB21">
        <f>SUMIFS(Data!$G$2:$G$193,Data!$C$2:$C$193,Sheet4!$BB$2,Data!$D$2:$D$193,Sheet4!AY21)</f>
        <v>0</v>
      </c>
      <c r="BC21">
        <f>SUMIFS(Data!$G$2:$G$193,Data!$C$2:$C$193,Sheet4!$BC$2,Data!$D$2:$D$193,Sheet4!AY21)</f>
        <v>32.718105352314694</v>
      </c>
      <c r="BD21">
        <f>SUMIFS(Data!$G$2:$G$193,Data!$C$2:$C$193,Sheet4!$BD$2,Data!$D$2:$D$193,Sheet4!AY21)</f>
        <v>0</v>
      </c>
      <c r="BE21">
        <f>SUMIFS(Data!$G$2:$G$193,Data!$C$2:$C$193,Sheet4!$BE$2,Data!$D$2:$D$193,Sheet4!AY21)</f>
        <v>6.810652932707626</v>
      </c>
      <c r="BF21">
        <f>SUMIFS(Data!$G$2:$G$193,Data!$C$2:$C$193,Sheet4!$BF$2,Data!$D$2:$D$193,Sheet4!AY21)</f>
        <v>17.196898655086841</v>
      </c>
      <c r="BG21">
        <f>SUMIFS(Data!$G$2:$G$193,Data!$C$2:$C$193,Sheet4!$BG$2,Data!$D$2:$D$193,Sheet4!AY21)</f>
        <v>-50.330044107416256</v>
      </c>
      <c r="BH21">
        <f>SUMIFS(Data!$G$2:$G$193,Data!$C$2:$C$193,Sheet4!$BH$2,Data!$D$2:$D$193,Sheet4!AY21)</f>
        <v>0</v>
      </c>
    </row>
    <row r="22" spans="2:67" x14ac:dyDescent="0.3">
      <c r="B22" s="41" t="s">
        <v>11</v>
      </c>
      <c r="C22">
        <f t="shared" si="11"/>
        <v>2892.3629879444898</v>
      </c>
      <c r="U22" t="b">
        <v>1</v>
      </c>
      <c r="AY22" s="21" t="s">
        <v>39</v>
      </c>
      <c r="AZ22">
        <f>SUMIFS(Data!$G$2:$G$193,Data!$C$2:$C$193,Sheet4!$AZ$2,Data!$D$2:$D$193,Sheet4!AY22)</f>
        <v>1.4698742246209946</v>
      </c>
      <c r="BA22">
        <f>SUMIFS(Data!$G$2:$G$193,Data!$C$2:$C$193,Sheet4!$BA$2,Data!$D$2:$D$193,Sheet4!AY22)</f>
        <v>4.1160546350038913</v>
      </c>
      <c r="BB22">
        <f>SUMIFS(Data!$G$2:$G$193,Data!$C$2:$C$193,Sheet4!$BB$2,Data!$D$2:$D$193,Sheet4!AY22)</f>
        <v>1.9655452106476972</v>
      </c>
      <c r="BC22">
        <f>SUMIFS(Data!$G$2:$G$193,Data!$C$2:$C$193,Sheet4!$BC$2,Data!$D$2:$D$193,Sheet4!AY22)</f>
        <v>0</v>
      </c>
      <c r="BD22">
        <f>SUMIFS(Data!$G$2:$G$193,Data!$C$2:$C$193,Sheet4!$BD$2,Data!$D$2:$D$193,Sheet4!AY22)</f>
        <v>0</v>
      </c>
      <c r="BE22">
        <f>SUMIFS(Data!$G$2:$G$193,Data!$C$2:$C$193,Sheet4!$BE$2,Data!$D$2:$D$193,Sheet4!AY22)</f>
        <v>0</v>
      </c>
      <c r="BF22">
        <f>SUMIFS(Data!$G$2:$G$193,Data!$C$2:$C$193,Sheet4!$BF$2,Data!$D$2:$D$193,Sheet4!AY22)</f>
        <v>3.6319857153272608</v>
      </c>
      <c r="BG22">
        <f>SUMIFS(Data!$G$2:$G$193,Data!$C$2:$C$193,Sheet4!$BG$2,Data!$D$2:$D$193,Sheet4!AY22)</f>
        <v>-0.71215406182886909</v>
      </c>
      <c r="BH22">
        <f>SUMIFS(Data!$G$2:$G$193,Data!$C$2:$C$193,Sheet4!$BH$2,Data!$D$2:$D$193,Sheet4!AY22)</f>
        <v>1.4955235298406393</v>
      </c>
      <c r="BM22" s="14" t="s">
        <v>60</v>
      </c>
      <c r="BN22" s="14"/>
      <c r="BO22" s="14" t="s">
        <v>61</v>
      </c>
    </row>
    <row r="23" spans="2:67" x14ac:dyDescent="0.3">
      <c r="B23" s="41" t="s">
        <v>13</v>
      </c>
      <c r="C23">
        <f t="shared" si="11"/>
        <v>1161.8126637529492</v>
      </c>
      <c r="G23">
        <v>2</v>
      </c>
      <c r="AY23" s="21" t="s">
        <v>46</v>
      </c>
      <c r="AZ23">
        <f>SUMIFS(Data!$G$2:$G$193,Data!$C$2:$C$193,Sheet4!$AZ$2,Data!$D$2:$D$193,Sheet4!AY23)</f>
        <v>0</v>
      </c>
      <c r="BA23">
        <f>SUMIFS(Data!$G$2:$G$193,Data!$C$2:$C$193,Sheet4!$BA$2,Data!$D$2:$D$193,Sheet4!AY23)</f>
        <v>-4.6860551537508854</v>
      </c>
      <c r="BB23">
        <f>SUMIFS(Data!$G$2:$G$193,Data!$C$2:$C$193,Sheet4!$BB$2,Data!$D$2:$D$193,Sheet4!AY23)</f>
        <v>9.1439931426172052</v>
      </c>
      <c r="BC23">
        <f>SUMIFS(Data!$G$2:$G$193,Data!$C$2:$C$193,Sheet4!$BC$2,Data!$D$2:$D$193,Sheet4!AY23)</f>
        <v>0</v>
      </c>
      <c r="BD23">
        <f>SUMIFS(Data!$G$2:$G$193,Data!$C$2:$C$193,Sheet4!$BD$2,Data!$D$2:$D$193,Sheet4!AY23)</f>
        <v>23.898881284129629</v>
      </c>
      <c r="BE23">
        <f>SUMIFS(Data!$G$2:$G$193,Data!$C$2:$C$193,Sheet4!$BE$2,Data!$D$2:$D$193,Sheet4!AY23)</f>
        <v>0</v>
      </c>
      <c r="BF23">
        <f>SUMIFS(Data!$G$2:$G$193,Data!$C$2:$C$193,Sheet4!$BF$2,Data!$D$2:$D$193,Sheet4!AY23)</f>
        <v>12.933512224352512</v>
      </c>
      <c r="BG23">
        <f>SUMIFS(Data!$G$2:$G$193,Data!$C$2:$C$193,Sheet4!$BG$2,Data!$D$2:$D$193,Sheet4!AY23)</f>
        <v>9.671940461818167</v>
      </c>
      <c r="BH23">
        <f>SUMIFS(Data!$G$2:$G$193,Data!$C$2:$C$193,Sheet4!$BH$2,Data!$D$2:$D$193,Sheet4!AY23)</f>
        <v>25.794390593821902</v>
      </c>
      <c r="BL23" s="15" t="s">
        <v>8</v>
      </c>
      <c r="BM23">
        <f>SUMIF(Data!$C$2:$C$193,Sheet4!BL23,Data!$G$2:$G$193)</f>
        <v>215.29688507346151</v>
      </c>
      <c r="BN23">
        <f>SUMIF(Data!$C$2:$C$193,Sheet4!BL23,Data!$E$2:$E$193)</f>
        <v>5990.4285611200703</v>
      </c>
      <c r="BO23">
        <f>(BM23/BN23)*100</f>
        <v>3.5940147332832231</v>
      </c>
    </row>
    <row r="24" spans="2:67" x14ac:dyDescent="0.3">
      <c r="B24" s="41" t="s">
        <v>14</v>
      </c>
      <c r="C24">
        <f t="shared" si="11"/>
        <v>4447.7486703663999</v>
      </c>
      <c r="U24" t="b">
        <v>1</v>
      </c>
      <c r="AY24" s="21" t="s">
        <v>47</v>
      </c>
      <c r="AZ24">
        <f>SUMIFS(Data!$G$2:$G$193,Data!$C$2:$C$193,Sheet4!$AZ$2,Data!$D$2:$D$193,Sheet4!AY24)</f>
        <v>0</v>
      </c>
      <c r="BA24">
        <f>SUMIFS(Data!$G$2:$G$193,Data!$C$2:$C$193,Sheet4!$BA$2,Data!$D$2:$D$193,Sheet4!AY24)</f>
        <v>0</v>
      </c>
      <c r="BB24">
        <f>SUMIFS(Data!$G$2:$G$193,Data!$C$2:$C$193,Sheet4!$BB$2,Data!$D$2:$D$193,Sheet4!AY24)</f>
        <v>-3.405326466353813</v>
      </c>
      <c r="BC24">
        <f>SUMIFS(Data!$G$2:$G$193,Data!$C$2:$C$193,Sheet4!$BC$2,Data!$D$2:$D$193,Sheet4!AY24)</f>
        <v>0</v>
      </c>
      <c r="BD24">
        <f>SUMIFS(Data!$G$2:$G$193,Data!$C$2:$C$193,Sheet4!$BD$2,Data!$D$2:$D$193,Sheet4!AY24)</f>
        <v>6.6448816403255364</v>
      </c>
      <c r="BE24">
        <f>SUMIFS(Data!$G$2:$G$193,Data!$C$2:$C$193,Sheet4!$BE$2,Data!$D$2:$D$193,Sheet4!AY24)</f>
        <v>0</v>
      </c>
      <c r="BF24">
        <f>SUMIFS(Data!$G$2:$G$193,Data!$C$2:$C$193,Sheet4!$BF$2,Data!$D$2:$D$193,Sheet4!AY24)</f>
        <v>18.744619534044659</v>
      </c>
      <c r="BG24">
        <f>SUMIFS(Data!$G$2:$G$193,Data!$C$2:$C$193,Sheet4!$BG$2,Data!$D$2:$D$193,Sheet4!AY24)</f>
        <v>26.765866025541072</v>
      </c>
      <c r="BH24">
        <f>SUMIFS(Data!$G$2:$G$193,Data!$C$2:$C$193,Sheet4!$BH$2,Data!$D$2:$D$193,Sheet4!AY24)</f>
        <v>7.0285375982535356</v>
      </c>
      <c r="BL24" s="15" t="s">
        <v>10</v>
      </c>
      <c r="BM24">
        <f>SUMIF(Data!$C$2:$C$193,Sheet4!BL24,Data!$G$2:$G$193)</f>
        <v>-25.92509067062484</v>
      </c>
      <c r="BN24">
        <f>SUMIF(Data!$C$2:$C$193,Sheet4!BL24,Data!$E$2:$E$193)</f>
        <v>5966.1277001419039</v>
      </c>
      <c r="BO24">
        <f t="shared" ref="BO24:BO31" si="12">(BM24/BN24)*100</f>
        <v>-0.43453797795860477</v>
      </c>
    </row>
    <row r="25" spans="2:67" x14ac:dyDescent="0.3">
      <c r="AY25" s="21" t="s">
        <v>29</v>
      </c>
      <c r="AZ25">
        <f>SUMIFS(Data!$G$2:$G$193,Data!$C$2:$C$193,Sheet4!$AZ$2,Data!$D$2:$D$193,Sheet4!AY25)</f>
        <v>0</v>
      </c>
      <c r="BA25">
        <f>SUMIFS(Data!$G$2:$G$193,Data!$C$2:$C$193,Sheet4!$BA$2,Data!$D$2:$D$193,Sheet4!AY25)</f>
        <v>0</v>
      </c>
      <c r="BB25">
        <f>SUMIFS(Data!$G$2:$G$193,Data!$C$2:$C$193,Sheet4!$BB$2,Data!$D$2:$D$193,Sheet4!AY25)</f>
        <v>0</v>
      </c>
      <c r="BC25">
        <f>SUMIFS(Data!$G$2:$G$193,Data!$C$2:$C$193,Sheet4!$BC$2,Data!$D$2:$D$193,Sheet4!AY25)</f>
        <v>10.549967914249976</v>
      </c>
      <c r="BD25">
        <f>SUMIFS(Data!$G$2:$G$193,Data!$C$2:$C$193,Sheet4!$BD$2,Data!$D$2:$D$193,Sheet4!AY25)</f>
        <v>4.2199871656999903</v>
      </c>
      <c r="BE25">
        <f>SUMIFS(Data!$G$2:$G$193,Data!$C$2:$C$193,Sheet4!$BE$2,Data!$D$2:$D$193,Sheet4!AY25)</f>
        <v>-31.185283155806388</v>
      </c>
      <c r="BF25">
        <f>SUMIFS(Data!$G$2:$G$193,Data!$C$2:$C$193,Sheet4!$BF$2,Data!$D$2:$D$193,Sheet4!AY25)</f>
        <v>0</v>
      </c>
      <c r="BG25">
        <f>SUMIFS(Data!$G$2:$G$193,Data!$C$2:$C$193,Sheet4!$BG$2,Data!$D$2:$D$193,Sheet4!AY25)</f>
        <v>30.928117813126562</v>
      </c>
      <c r="BH25">
        <f>SUMIFS(Data!$G$2:$G$193,Data!$C$2:$C$193,Sheet4!$BH$2,Data!$D$2:$D$193,Sheet4!AY25)</f>
        <v>4.0765076020661866</v>
      </c>
      <c r="BL25" s="15" t="s">
        <v>9</v>
      </c>
      <c r="BM25">
        <f>SUMIF(Data!$C$2:$C$193,Sheet4!BL25,Data!$G$2:$G$193)</f>
        <v>-169.48912788171805</v>
      </c>
      <c r="BN25">
        <f>SUMIF(Data!$C$2:$C$193,Sheet4!BL25,Data!$E$2:$E$193)</f>
        <v>6196.3537977201104</v>
      </c>
      <c r="BO25">
        <f t="shared" si="12"/>
        <v>-2.735304235598683</v>
      </c>
    </row>
    <row r="26" spans="2:67" x14ac:dyDescent="0.3">
      <c r="U26" t="b">
        <v>1</v>
      </c>
      <c r="AY26" s="21" t="s">
        <v>17</v>
      </c>
      <c r="AZ26">
        <f>SUMIFS(Data!$G$2:$G$193,Data!$C$2:$C$193,Sheet4!$AZ$2,Data!$D$2:$D$193,Sheet4!AY26)</f>
        <v>0.23369913944249987</v>
      </c>
      <c r="BA26">
        <f>SUMIFS(Data!$G$2:$G$193,Data!$C$2:$C$193,Sheet4!$BA$2,Data!$D$2:$D$193,Sheet4!AY26)</f>
        <v>0</v>
      </c>
      <c r="BB26">
        <f>SUMIFS(Data!$G$2:$G$193,Data!$C$2:$C$193,Sheet4!$BB$2,Data!$D$2:$D$193,Sheet4!AY26)</f>
        <v>0</v>
      </c>
      <c r="BC26">
        <f>SUMIFS(Data!$G$2:$G$193,Data!$C$2:$C$193,Sheet4!$BC$2,Data!$D$2:$D$193,Sheet4!AY26)</f>
        <v>9.0301347480582272E-2</v>
      </c>
      <c r="BD26">
        <f>SUMIFS(Data!$G$2:$G$193,Data!$C$2:$C$193,Sheet4!$BD$2,Data!$D$2:$D$193,Sheet4!AY26)</f>
        <v>0</v>
      </c>
      <c r="BE26">
        <f>SUMIFS(Data!$G$2:$G$193,Data!$C$2:$C$193,Sheet4!$BE$2,Data!$D$2:$D$193,Sheet4!AY26)</f>
        <v>0.24783793737877158</v>
      </c>
      <c r="BF26">
        <f>SUMIFS(Data!$G$2:$G$193,Data!$C$2:$C$193,Sheet4!$BF$2,Data!$D$2:$D$193,Sheet4!AY26)</f>
        <v>-0.69080530822645336</v>
      </c>
      <c r="BG26">
        <f>SUMIFS(Data!$G$2:$G$193,Data!$C$2:$C$193,Sheet4!$BG$2,Data!$D$2:$D$193,Sheet4!AY26)</f>
        <v>9.3479655777000126E-2</v>
      </c>
      <c r="BH26">
        <f>SUMIFS(Data!$G$2:$G$193,Data!$C$2:$C$193,Sheet4!$BH$2,Data!$D$2:$D$193,Sheet4!AY26)</f>
        <v>0.49438396162345466</v>
      </c>
      <c r="BL26" s="15" t="s">
        <v>15</v>
      </c>
      <c r="BM26">
        <f>SUMIF(Data!$C$2:$C$193,Sheet4!BL26,Data!$G$2:$G$193)</f>
        <v>209.32984012686433</v>
      </c>
      <c r="BN26">
        <f>SUMIF(Data!$C$2:$C$193,Sheet4!BL26,Data!$E$2:$E$193)</f>
        <v>5906.0037620705634</v>
      </c>
      <c r="BO26">
        <f t="shared" si="12"/>
        <v>3.5443567014165969</v>
      </c>
    </row>
    <row r="27" spans="2:67" x14ac:dyDescent="0.3">
      <c r="B27" s="40" t="s">
        <v>4</v>
      </c>
      <c r="C27" t="s">
        <v>55</v>
      </c>
      <c r="AY27" s="21" t="s">
        <v>36</v>
      </c>
      <c r="AZ27">
        <f>SUMIFS(Data!$G$2:$G$193,Data!$C$2:$C$193,Sheet4!$AZ$2,Data!$D$2:$D$193,Sheet4!AY27)</f>
        <v>0</v>
      </c>
      <c r="BA27">
        <f>SUMIFS(Data!$G$2:$G$193,Data!$C$2:$C$193,Sheet4!$BA$2,Data!$D$2:$D$193,Sheet4!AY27)</f>
        <v>0</v>
      </c>
      <c r="BB27">
        <f>SUMIFS(Data!$G$2:$G$193,Data!$C$2:$C$193,Sheet4!$BB$2,Data!$D$2:$D$193,Sheet4!AY27)</f>
        <v>0</v>
      </c>
      <c r="BC27">
        <f>SUMIFS(Data!$G$2:$G$193,Data!$C$2:$C$193,Sheet4!$BC$2,Data!$D$2:$D$193,Sheet4!AY27)</f>
        <v>3.8949245560680135E-2</v>
      </c>
      <c r="BD27">
        <f>SUMIFS(Data!$G$2:$G$193,Data!$C$2:$C$193,Sheet4!$BD$2,Data!$D$2:$D$193,Sheet4!AY27)</f>
        <v>0</v>
      </c>
      <c r="BE27">
        <f>SUMIFS(Data!$G$2:$G$193,Data!$C$2:$C$193,Sheet4!$BE$2,Data!$D$2:$D$193,Sheet4!AY27)</f>
        <v>8.6352955353000138E-3</v>
      </c>
      <c r="BF27">
        <f>SUMIFS(Data!$G$2:$G$193,Data!$C$2:$C$193,Sheet4!$BF$2,Data!$D$2:$D$193,Sheet4!AY27)</f>
        <v>7.1971432014300118E-2</v>
      </c>
      <c r="BG27">
        <f>SUMIFS(Data!$G$2:$G$193,Data!$C$2:$C$193,Sheet4!$BG$2,Data!$D$2:$D$193,Sheet4!AY27)</f>
        <v>4.3751485070000484E-3</v>
      </c>
      <c r="BH27">
        <f>SUMIFS(Data!$G$2:$G$193,Data!$C$2:$C$193,Sheet4!$BH$2,Data!$D$2:$D$193,Sheet4!AY27)</f>
        <v>2.3766492137029471E-2</v>
      </c>
      <c r="BL27" s="15" t="s">
        <v>12</v>
      </c>
      <c r="BM27">
        <f>SUMIF(Data!$C$2:$C$193,Sheet4!BL27,Data!$G$2:$G$193)</f>
        <v>5.4681065491038652</v>
      </c>
      <c r="BN27">
        <f>SUMIF(Data!$C$2:$C$193,Sheet4!BL27,Data!$E$2:$E$193)</f>
        <v>6325.3944264235361</v>
      </c>
      <c r="BO27">
        <f t="shared" si="12"/>
        <v>8.6446886636215775E-2</v>
      </c>
    </row>
    <row r="28" spans="2:67" x14ac:dyDescent="0.3">
      <c r="B28" s="41" t="s">
        <v>8</v>
      </c>
      <c r="C28">
        <f>VLOOKUP(B28,$J$2:$O$11,$G$23+1,FALSE)</f>
        <v>14.649839077185964</v>
      </c>
      <c r="U28" t="b">
        <v>1</v>
      </c>
      <c r="AY28" s="21" t="s">
        <v>21</v>
      </c>
      <c r="AZ28">
        <f>SUMIFS(Data!$G$2:$G$193,Data!$C$2:$C$193,Sheet4!$AZ$2,Data!$D$2:$D$193,Sheet4!AY28)</f>
        <v>0</v>
      </c>
      <c r="BA28">
        <f>SUMIFS(Data!$G$2:$G$193,Data!$C$2:$C$193,Sheet4!$BA$2,Data!$D$2:$D$193,Sheet4!AY28)</f>
        <v>0</v>
      </c>
      <c r="BB28">
        <f>SUMIFS(Data!$G$2:$G$193,Data!$C$2:$C$193,Sheet4!$BB$2,Data!$D$2:$D$193,Sheet4!AY28)</f>
        <v>21.513959711694923</v>
      </c>
      <c r="BC28">
        <f>SUMIFS(Data!$G$2:$G$193,Data!$C$2:$C$193,Sheet4!$BC$2,Data!$D$2:$D$193,Sheet4!AY28)</f>
        <v>0</v>
      </c>
      <c r="BD28">
        <f>SUMIFS(Data!$G$2:$G$193,Data!$C$2:$C$193,Sheet4!$BD$2,Data!$D$2:$D$193,Sheet4!AY28)</f>
        <v>3.9689130300298245</v>
      </c>
      <c r="BE28">
        <f>SUMIFS(Data!$G$2:$G$193,Data!$C$2:$C$193,Sheet4!$BE$2,Data!$D$2:$D$193,Sheet4!AY28)</f>
        <v>0</v>
      </c>
      <c r="BF28">
        <f>SUMIFS(Data!$G$2:$G$193,Data!$C$2:$C$193,Sheet4!$BF$2,Data!$D$2:$D$193,Sheet4!AY28)</f>
        <v>10.89294065307098</v>
      </c>
      <c r="BG28">
        <f>SUMIFS(Data!$G$2:$G$193,Data!$C$2:$C$193,Sheet4!$BG$2,Data!$D$2:$D$193,Sheet4!AY28)</f>
        <v>-20.090670626855939</v>
      </c>
      <c r="BH28">
        <f>SUMIFS(Data!$G$2:$G$193,Data!$C$2:$C$193,Sheet4!$BH$2,Data!$D$2:$D$193,Sheet4!AY28)</f>
        <v>4.1086056211488824</v>
      </c>
      <c r="BL28" s="15" t="s">
        <v>16</v>
      </c>
      <c r="BM28">
        <f>SUMIF(Data!$C$2:$C$193,Sheet4!BL28,Data!$G$2:$G$193)</f>
        <v>134.2720995858042</v>
      </c>
      <c r="BN28">
        <f>SUMIF(Data!$C$2:$C$193,Sheet4!BL28,Data!$E$2:$E$193)</f>
        <v>4690.4843239220781</v>
      </c>
      <c r="BO28">
        <f t="shared" si="12"/>
        <v>2.8626489358678611</v>
      </c>
    </row>
    <row r="29" spans="2:67" x14ac:dyDescent="0.3">
      <c r="B29" s="41" t="s">
        <v>10</v>
      </c>
      <c r="C29">
        <f t="shared" ref="C29:C36" si="13">VLOOKUP(B29,$J$2:$O$11,$G$23+1,FALSE)</f>
        <v>9.7017435763701858</v>
      </c>
      <c r="AY29" s="21" t="s">
        <v>40</v>
      </c>
      <c r="AZ29">
        <f>SUMIFS(Data!$G$2:$G$193,Data!$C$2:$C$193,Sheet4!$AZ$2,Data!$D$2:$D$193,Sheet4!AY29)</f>
        <v>0</v>
      </c>
      <c r="BA29">
        <f>SUMIFS(Data!$G$2:$G$193,Data!$C$2:$C$193,Sheet4!$BA$2,Data!$D$2:$D$193,Sheet4!AY29)</f>
        <v>0.33620982613700079</v>
      </c>
      <c r="BB29">
        <f>SUMIFS(Data!$G$2:$G$193,Data!$C$2:$C$193,Sheet4!$BB$2,Data!$D$2:$D$193,Sheet4!AY29)</f>
        <v>0.94148056345560605</v>
      </c>
      <c r="BC29">
        <f>SUMIFS(Data!$G$2:$G$193,Data!$C$2:$C$193,Sheet4!$BC$2,Data!$D$2:$D$193,Sheet4!AY29)</f>
        <v>0</v>
      </c>
      <c r="BD29">
        <f>SUMIFS(Data!$G$2:$G$193,Data!$C$2:$C$193,Sheet4!$BD$2,Data!$D$2:$D$193,Sheet4!AY29)</f>
        <v>0.44958650370691977</v>
      </c>
      <c r="BE29">
        <f>SUMIFS(Data!$G$2:$G$193,Data!$C$2:$C$193,Sheet4!$BE$2,Data!$D$2:$D$193,Sheet4!AY29)</f>
        <v>0</v>
      </c>
      <c r="BF29">
        <f>SUMIFS(Data!$G$2:$G$193,Data!$C$2:$C$193,Sheet4!$BF$2,Data!$D$2:$D$193,Sheet4!AY29)</f>
        <v>0.34207668760308962</v>
      </c>
      <c r="BG29">
        <f>SUMIFS(Data!$G$2:$G$193,Data!$C$2:$C$193,Sheet4!$BG$2,Data!$D$2:$D$193,Sheet4!AY29)</f>
        <v>0.8307576698932202</v>
      </c>
      <c r="BH29">
        <f>SUMIFS(Data!$G$2:$G$193,Data!$C$2:$C$193,Sheet4!$BH$2,Data!$D$2:$D$193,Sheet4!AY29)</f>
        <v>-0.16289366076337686</v>
      </c>
      <c r="BL29" s="15" t="s">
        <v>11</v>
      </c>
      <c r="BM29">
        <f>SUMIF(Data!$C$2:$C$193,Sheet4!BL29,Data!$G$2:$G$193)</f>
        <v>302.88831506808287</v>
      </c>
      <c r="BN29">
        <f>SUMIF(Data!$C$2:$C$193,Sheet4!BL29,Data!$E$2:$E$193)</f>
        <v>9700.4646976704698</v>
      </c>
      <c r="BO29">
        <f t="shared" si="12"/>
        <v>3.122410363916075</v>
      </c>
    </row>
    <row r="30" spans="2:67" x14ac:dyDescent="0.3">
      <c r="B30" s="41" t="s">
        <v>9</v>
      </c>
      <c r="C30">
        <f t="shared" si="13"/>
        <v>11.234956463723229</v>
      </c>
      <c r="AY30" s="21" t="s">
        <v>19</v>
      </c>
      <c r="AZ30">
        <f>SUMIFS(Data!$G$2:$G$193,Data!$C$2:$C$193,Sheet4!$AZ$2,Data!$D$2:$D$193,Sheet4!AY30)</f>
        <v>0.27061433541679225</v>
      </c>
      <c r="BA30">
        <f>SUMIFS(Data!$G$2:$G$193,Data!$C$2:$C$193,Sheet4!$BA$2,Data!$D$2:$D$193,Sheet4!AY30)</f>
        <v>4.9923155771493199E-2</v>
      </c>
      <c r="BB30">
        <f>SUMIFS(Data!$G$2:$G$193,Data!$C$2:$C$193,Sheet4!$BB$2,Data!$D$2:$D$193,Sheet4!AY30)</f>
        <v>0.12920071369434005</v>
      </c>
      <c r="BC30">
        <f>SUMIFS(Data!$G$2:$G$193,Data!$C$2:$C$193,Sheet4!$BC$2,Data!$D$2:$D$193,Sheet4!AY30)</f>
        <v>0</v>
      </c>
      <c r="BD30">
        <f>SUMIFS(Data!$G$2:$G$193,Data!$C$2:$C$193,Sheet4!$BD$2,Data!$D$2:$D$193,Sheet4!AY30)</f>
        <v>0</v>
      </c>
      <c r="BE30">
        <f>SUMIFS(Data!$G$2:$G$193,Data!$C$2:$C$193,Sheet4!$BE$2,Data!$D$2:$D$193,Sheet4!AY30)</f>
        <v>0</v>
      </c>
      <c r="BF30">
        <f>SUMIFS(Data!$G$2:$G$193,Data!$C$2:$C$193,Sheet4!$BF$2,Data!$D$2:$D$193,Sheet4!AY30)</f>
        <v>5.1680285477735843E-2</v>
      </c>
      <c r="BG30">
        <f>SUMIFS(Data!$G$2:$G$193,Data!$C$2:$C$193,Sheet4!$BG$2,Data!$D$2:$D$193,Sheet4!AY30)</f>
        <v>0.13701735687284788</v>
      </c>
      <c r="BH30">
        <f>SUMIFS(Data!$G$2:$G$193,Data!$C$2:$C$193,Sheet4!$BH$2,Data!$D$2:$D$193,Sheet4!AY30)</f>
        <v>-0.38191214165192156</v>
      </c>
      <c r="BL30" s="15" t="s">
        <v>13</v>
      </c>
      <c r="BM30">
        <f>SUMIF(Data!$C$2:$C$193,Sheet4!BL30,Data!$G$2:$G$193)</f>
        <v>123.82714715490317</v>
      </c>
      <c r="BN30">
        <f>SUMIF(Data!$C$2:$C$193,Sheet4!BL30,Data!$E$2:$E$193)</f>
        <v>4900.6903927252069</v>
      </c>
      <c r="BO30">
        <f t="shared" si="12"/>
        <v>2.5267286286584736</v>
      </c>
    </row>
    <row r="31" spans="2:67" x14ac:dyDescent="0.3">
      <c r="B31" s="41" t="s">
        <v>15</v>
      </c>
      <c r="C31">
        <f t="shared" si="13"/>
        <v>32.031618188239349</v>
      </c>
      <c r="U31" t="b">
        <v>1</v>
      </c>
      <c r="AY31" s="21" t="s">
        <v>33</v>
      </c>
      <c r="AZ31">
        <f>SUMIFS(Data!$G$2:$G$193,Data!$C$2:$C$193,Sheet4!$AZ$2,Data!$D$2:$D$193,Sheet4!AY31)</f>
        <v>0</v>
      </c>
      <c r="BA31">
        <f>SUMIFS(Data!$G$2:$G$193,Data!$C$2:$C$193,Sheet4!$BA$2,Data!$D$2:$D$193,Sheet4!AY31)</f>
        <v>-4.6739827888499619E-2</v>
      </c>
      <c r="BB31">
        <f>SUMIFS(Data!$G$2:$G$193,Data!$C$2:$C$193,Sheet4!$BB$2,Data!$D$2:$D$193,Sheet4!AY31)</f>
        <v>9.815363856584991E-2</v>
      </c>
      <c r="BC31">
        <f>SUMIFS(Data!$G$2:$G$193,Data!$C$2:$C$193,Sheet4!$BC$2,Data!$D$2:$D$193,Sheet4!AY31)</f>
        <v>0</v>
      </c>
      <c r="BD31">
        <f>SUMIFS(Data!$G$2:$G$193,Data!$C$2:$C$193,Sheet4!$BD$2,Data!$D$2:$D$193,Sheet4!AY31)</f>
        <v>0.23837312223135054</v>
      </c>
      <c r="BE31">
        <f>SUMIFS(Data!$G$2:$G$193,Data!$C$2:$C$193,Sheet4!$BE$2,Data!$D$2:$D$193,Sheet4!AY31)</f>
        <v>0</v>
      </c>
      <c r="BF31">
        <f>SUMIFS(Data!$G$2:$G$193,Data!$C$2:$C$193,Sheet4!$BF$2,Data!$D$2:$D$193,Sheet4!AY31)</f>
        <v>0.12900192497226026</v>
      </c>
      <c r="BG31">
        <f>SUMIFS(Data!$G$2:$G$193,Data!$C$2:$C$193,Sheet4!$BG$2,Data!$D$2:$D$193,Sheet4!AY31)</f>
        <v>9.6470232999999794E-2</v>
      </c>
      <c r="BH31">
        <f>SUMIFS(Data!$G$2:$G$193,Data!$C$2:$C$193,Sheet4!$BH$2,Data!$D$2:$D$193,Sheet4!AY31)</f>
        <v>0.23603613083692476</v>
      </c>
      <c r="BL31" s="15" t="s">
        <v>14</v>
      </c>
      <c r="BM31">
        <f>SUMIF(Data!$C$2:$C$193,Sheet4!BL31,Data!$G$2:$G$193)</f>
        <v>403.34397542467633</v>
      </c>
      <c r="BN31">
        <f>SUMIF(Data!$C$2:$C$193,Sheet4!BL31,Data!$E$2:$E$193)</f>
        <v>11413.541354843752</v>
      </c>
      <c r="BO31">
        <f t="shared" si="12"/>
        <v>3.5339073376511898</v>
      </c>
    </row>
    <row r="32" spans="2:67" x14ac:dyDescent="0.3">
      <c r="B32" s="41" t="s">
        <v>12</v>
      </c>
      <c r="C32">
        <f t="shared" si="13"/>
        <v>11.170780410284181</v>
      </c>
      <c r="AY32" s="21" t="s">
        <v>26</v>
      </c>
      <c r="AZ32">
        <f>SUMIFS(Data!$G$2:$G$193,Data!$C$2:$C$193,Sheet4!$AZ$2,Data!$D$2:$D$193,Sheet4!AY32)</f>
        <v>40.666475470145542</v>
      </c>
      <c r="BA32">
        <f>SUMIFS(Data!$G$2:$G$193,Data!$C$2:$C$193,Sheet4!$BA$2,Data!$D$2:$D$193,Sheet4!AY32)</f>
        <v>102.68285056211744</v>
      </c>
      <c r="BB32">
        <f>SUMIFS(Data!$G$2:$G$193,Data!$C$2:$C$193,Sheet4!$BB$2,Data!$D$2:$D$193,Sheet4!AY32)</f>
        <v>-300.52118707682848</v>
      </c>
      <c r="BC32">
        <f>SUMIFS(Data!$G$2:$G$193,Data!$C$2:$C$193,Sheet4!$BC$2,Data!$D$2:$D$193,Sheet4!AY32)</f>
        <v>0</v>
      </c>
      <c r="BD32">
        <f>SUMIFS(Data!$G$2:$G$193,Data!$C$2:$C$193,Sheet4!$BD$2,Data!$D$2:$D$193,Sheet4!AY32)</f>
        <v>0</v>
      </c>
      <c r="BE32">
        <f>SUMIFS(Data!$G$2:$G$193,Data!$C$2:$C$193,Sheet4!$BE$2,Data!$D$2:$D$193,Sheet4!AY32)</f>
        <v>0</v>
      </c>
      <c r="BF32">
        <f>SUMIFS(Data!$G$2:$G$193,Data!$C$2:$C$193,Sheet4!$BF$2,Data!$D$2:$D$193,Sheet4!AY32)</f>
        <v>101.66618867536386</v>
      </c>
      <c r="BG32">
        <f>SUMIFS(Data!$G$2:$G$193,Data!$C$2:$C$193,Sheet4!$BG$2,Data!$D$2:$D$193,Sheet4!AY32)</f>
        <v>16</v>
      </c>
      <c r="BH32">
        <f>SUMIFS(Data!$G$2:$G$193,Data!$C$2:$C$193,Sheet4!$BH$2,Data!$D$2:$D$193,Sheet4!AY32)</f>
        <v>39.283815304160498</v>
      </c>
    </row>
    <row r="33" spans="2:73" x14ac:dyDescent="0.3">
      <c r="B33" s="41" t="s">
        <v>16</v>
      </c>
      <c r="C33">
        <f t="shared" si="13"/>
        <v>57.504253091789622</v>
      </c>
      <c r="U33" t="b">
        <v>1</v>
      </c>
      <c r="AY33" s="21" t="s">
        <v>25</v>
      </c>
      <c r="AZ33">
        <f>SUMIFS(Data!$G$2:$G$193,Data!$C$2:$C$193,Sheet4!$AZ$2,Data!$D$2:$D$193,Sheet4!AY33)</f>
        <v>66.296570059402484</v>
      </c>
      <c r="BA33">
        <f>SUMIFS(Data!$G$2:$G$193,Data!$C$2:$C$193,Sheet4!$BA$2,Data!$D$2:$D$193,Sheet4!AY33)</f>
        <v>-184.79020201111825</v>
      </c>
      <c r="BB33">
        <f>SUMIFS(Data!$G$2:$G$193,Data!$C$2:$C$193,Sheet4!$BB$2,Data!$D$2:$D$193,Sheet4!AY33)</f>
        <v>0</v>
      </c>
      <c r="BC33">
        <f>SUMIFS(Data!$G$2:$G$193,Data!$C$2:$C$193,Sheet4!$BC$2,Data!$D$2:$D$193,Sheet4!AY33)</f>
        <v>25.005778428817393</v>
      </c>
      <c r="BD33">
        <f>SUMIFS(Data!$G$2:$G$193,Data!$C$2:$C$193,Sheet4!$BD$2,Data!$D$2:$D$193,Sheet4!AY33)</f>
        <v>0</v>
      </c>
      <c r="BE33">
        <f>SUMIFS(Data!$G$2:$G$193,Data!$C$2:$C$193,Sheet4!$BE$2,Data!$D$2:$D$193,Sheet4!AY33)</f>
        <v>0</v>
      </c>
      <c r="BF33">
        <f>SUMIFS(Data!$G$2:$G$193,Data!$C$2:$C$193,Sheet4!$BF$2,Data!$D$2:$D$193,Sheet4!AY33)</f>
        <v>130.93817204259085</v>
      </c>
      <c r="BG33">
        <f>SUMIFS(Data!$G$2:$G$193,Data!$C$2:$C$193,Sheet4!$BG$2,Data!$D$2:$D$193,Sheet4!AY33)</f>
        <v>12</v>
      </c>
      <c r="BH33">
        <f>SUMIFS(Data!$G$2:$G$193,Data!$C$2:$C$193,Sheet4!$BH$2,Data!$D$2:$D$193,Sheet4!AY33)</f>
        <v>62.514446072043711</v>
      </c>
      <c r="BP33">
        <v>1</v>
      </c>
    </row>
    <row r="34" spans="2:73" x14ac:dyDescent="0.3">
      <c r="B34" s="41" t="s">
        <v>11</v>
      </c>
      <c r="C34">
        <f t="shared" si="13"/>
        <v>72.974136959136928</v>
      </c>
      <c r="AY34" s="21" t="s">
        <v>30</v>
      </c>
      <c r="AZ34">
        <f>SUMIFS(Data!$G$2:$G$193,Data!$C$2:$C$193,Sheet4!$AZ$2,Data!$D$2:$D$193,Sheet4!AY34)</f>
        <v>23.430275768754541</v>
      </c>
      <c r="BA34">
        <f>SUMIFS(Data!$G$2:$G$193,Data!$C$2:$C$193,Sheet4!$BA$2,Data!$D$2:$D$193,Sheet4!AY34)</f>
        <v>0</v>
      </c>
      <c r="BB34">
        <f>SUMIFS(Data!$G$2:$G$193,Data!$C$2:$C$193,Sheet4!$BB$2,Data!$D$2:$D$193,Sheet4!AY34)</f>
        <v>0</v>
      </c>
      <c r="BC34">
        <f>SUMIFS(Data!$G$2:$G$193,Data!$C$2:$C$193,Sheet4!$BC$2,Data!$D$2:$D$193,Sheet4!AY34)</f>
        <v>9.0534585570467812</v>
      </c>
      <c r="BD34">
        <f>SUMIFS(Data!$G$2:$G$193,Data!$C$2:$C$193,Sheet4!$BD$2,Data!$D$2:$D$193,Sheet4!AY34)</f>
        <v>0</v>
      </c>
      <c r="BE34">
        <f>SUMIFS(Data!$G$2:$G$193,Data!$C$2:$C$193,Sheet4!$BE$2,Data!$D$2:$D$193,Sheet4!AY34)</f>
        <v>23.664578526442085</v>
      </c>
      <c r="BF34">
        <f>SUMIFS(Data!$G$2:$G$193,Data!$C$2:$C$193,Sheet4!$BF$2,Data!$D$2:$D$193,Sheet4!AY34)</f>
        <v>-69.258957961407759</v>
      </c>
      <c r="BG34">
        <f>SUMIFS(Data!$G$2:$G$193,Data!$C$2:$C$193,Sheet4!$BG$2,Data!$D$2:$D$193,Sheet4!AY34)</f>
        <v>9.3721103075018277</v>
      </c>
      <c r="BH34">
        <f>SUMIFS(Data!$G$2:$G$193,Data!$C$2:$C$193,Sheet4!$BH$2,Data!$D$2:$D$193,Sheet4!AY34)</f>
        <v>45.023244532364117</v>
      </c>
    </row>
    <row r="35" spans="2:73" x14ac:dyDescent="0.3">
      <c r="B35" s="41" t="s">
        <v>13</v>
      </c>
      <c r="C35">
        <f t="shared" si="13"/>
        <v>79.981572605706702</v>
      </c>
      <c r="U35" t="b">
        <v>1</v>
      </c>
    </row>
    <row r="36" spans="2:73" x14ac:dyDescent="0.3">
      <c r="B36" s="41" t="s">
        <v>14</v>
      </c>
      <c r="C36">
        <f t="shared" si="13"/>
        <v>91.166210164357281</v>
      </c>
      <c r="AY36" s="21" t="s">
        <v>68</v>
      </c>
      <c r="AZ36" s="14">
        <v>1</v>
      </c>
      <c r="BA36" s="14">
        <v>2</v>
      </c>
      <c r="BB36" s="14">
        <v>3</v>
      </c>
      <c r="BC36" s="14"/>
      <c r="BD36" s="14"/>
      <c r="BE36" s="14"/>
      <c r="BF36" s="14"/>
      <c r="BG36" s="14" t="s">
        <v>61</v>
      </c>
      <c r="BH36" s="14" t="s">
        <v>0</v>
      </c>
      <c r="BI36" s="14" t="s">
        <v>1</v>
      </c>
      <c r="BJ36" s="14" t="s">
        <v>2</v>
      </c>
      <c r="BK36" s="14" t="s">
        <v>3</v>
      </c>
      <c r="BL36" s="14" t="s">
        <v>52</v>
      </c>
      <c r="BO36" s="15" t="s">
        <v>8</v>
      </c>
      <c r="BP36">
        <f>COUNTIFS(Data!$H$2:$H$193,1,Data!$C$2:$C$193,Sheet4!BO36)</f>
        <v>13</v>
      </c>
      <c r="BQ36">
        <f>COUNTIFS(Data!$C$2:$C$193,Sheet4!BO36)</f>
        <v>15</v>
      </c>
      <c r="BR36">
        <f>(BP36/BQ36)*100</f>
        <v>86.666666666666671</v>
      </c>
      <c r="BS36">
        <f>100-BR36</f>
        <v>13.333333333333329</v>
      </c>
      <c r="BU36" t="s">
        <v>10</v>
      </c>
    </row>
    <row r="37" spans="2:73" x14ac:dyDescent="0.3">
      <c r="U37" t="b">
        <v>1</v>
      </c>
      <c r="AY37" s="20" t="s">
        <v>8</v>
      </c>
      <c r="AZ37" t="str">
        <f>INDEX($AY$3:$BH$34,MATCH(MAX($AZ$3:$AZ$34),$AZ$3:$AZ$34,0),1)</f>
        <v>Trustee Brown</v>
      </c>
      <c r="BA37" t="str">
        <f>INDEX($AY$3:$BH$34,MATCH(LARGE($AZ$3:$AZ$34,2),$AZ$3:$AZ$34,0),1)</f>
        <v>Babieca Noire</v>
      </c>
      <c r="BB37" t="str">
        <f>INDEX($AY$3:$BH$34,MATCH(LARGE($AZ$3:$AZ$34,3),$AZ$3:$AZ$34,0),1)</f>
        <v>The Corporation</v>
      </c>
      <c r="BG37" s="15" t="s">
        <v>8</v>
      </c>
      <c r="BH37">
        <f>(K3/C3)*100</f>
        <v>4.8077319616266809</v>
      </c>
      <c r="BI37">
        <f t="shared" ref="BI37:BL45" si="14">(L3/D3)*100</f>
        <v>2.2962345277440188</v>
      </c>
      <c r="BJ37">
        <f t="shared" si="14"/>
        <v>5.087072477542014</v>
      </c>
      <c r="BK37">
        <f t="shared" si="14"/>
        <v>1.7268990098331831</v>
      </c>
      <c r="BL37">
        <f t="shared" si="14"/>
        <v>3.4693266232962388</v>
      </c>
      <c r="BO37" s="15" t="s">
        <v>10</v>
      </c>
      <c r="BP37">
        <f>COUNTIFS(Data!$H$2:$H$193,1,Data!$C$2:$C$193,Sheet4!BO37)</f>
        <v>12</v>
      </c>
      <c r="BQ37">
        <f>COUNTIFS(Data!$C$2:$C$193,Sheet4!BO37)</f>
        <v>15</v>
      </c>
      <c r="BR37">
        <f t="shared" ref="BR37:BR44" si="15">(BP37/BQ37)*100</f>
        <v>80</v>
      </c>
      <c r="BS37">
        <f t="shared" ref="BS37:BS44" si="16">100-BR37</f>
        <v>20</v>
      </c>
    </row>
    <row r="38" spans="2:73" x14ac:dyDescent="0.3">
      <c r="AY38" s="20" t="s">
        <v>10</v>
      </c>
      <c r="AZ38" t="str">
        <f>INDEX($AY$3:$BH$34,MATCH(LARGE($BA$3:$BA$34,1),$BA$3:$BA$34,0),1)</f>
        <v>The Corporation</v>
      </c>
      <c r="BA38" t="str">
        <f>INDEX($AY$3:$BH$34,MATCH(LARGE($BA$3:$BA$34,2),$BA$3:$BA$34,0),1)</f>
        <v>Born To Excel</v>
      </c>
      <c r="BB38" t="str">
        <f>INDEX($AY$3:$BH$34,MATCH(LARGE($BA$3:$BA$34,3),$BA$3:$BA$34,0),1)</f>
        <v>Lets Lighten Up</v>
      </c>
      <c r="BG38" s="15" t="s">
        <v>10</v>
      </c>
      <c r="BH38">
        <f t="shared" ref="BH38:BH45" si="17">(K4/C4)*100</f>
        <v>-9.2742998096086868</v>
      </c>
      <c r="BI38">
        <f t="shared" si="14"/>
        <v>2.4165902255043199</v>
      </c>
      <c r="BJ38">
        <f t="shared" si="14"/>
        <v>5.0009667216622065</v>
      </c>
      <c r="BK38">
        <f t="shared" si="14"/>
        <v>1.1452092186271816</v>
      </c>
      <c r="BL38">
        <f t="shared" si="14"/>
        <v>-0.43643445139882808</v>
      </c>
      <c r="BO38" s="15" t="s">
        <v>9</v>
      </c>
      <c r="BP38">
        <f>COUNTIFS(Data!$H$2:$H$193,1,Data!$C$2:$C$193,Sheet4!BO38)</f>
        <v>12</v>
      </c>
      <c r="BQ38">
        <f>COUNTIFS(Data!$C$2:$C$193,Sheet4!BO38)</f>
        <v>15</v>
      </c>
      <c r="BR38">
        <f t="shared" si="15"/>
        <v>80</v>
      </c>
      <c r="BS38">
        <f t="shared" si="16"/>
        <v>20</v>
      </c>
    </row>
    <row r="39" spans="2:73" x14ac:dyDescent="0.3">
      <c r="AY39" s="20" t="s">
        <v>9</v>
      </c>
      <c r="AZ39" t="str">
        <f>INDEX($AY$3:$BH$34,MATCH(LARGE($BB$3:$BB$34,1),$BB$3:$BB$34,0),1)</f>
        <v>Born To Excel</v>
      </c>
      <c r="BA39" t="str">
        <f>INDEX($AY$3:$BH$34,MATCH(LARGE($BB$3:$BB$34,2),$BB$3:$BB$34,0),1)</f>
        <v>Honest Lies</v>
      </c>
      <c r="BB39" t="str">
        <f t="shared" ref="BA39:BB39" si="18">INDEX($AY$3:$BH$34,MATCH(LARGE($BB$3:$BB$34,3),$BB$3:$BB$34,0),1)</f>
        <v>Ringmeister</v>
      </c>
      <c r="BG39" s="15" t="s">
        <v>9</v>
      </c>
      <c r="BH39">
        <f t="shared" si="17"/>
        <v>-12.379271643440289</v>
      </c>
      <c r="BI39">
        <f t="shared" si="14"/>
        <v>2.123855517494218</v>
      </c>
      <c r="BJ39">
        <f t="shared" si="14"/>
        <v>5.7238654270932301</v>
      </c>
      <c r="BK39">
        <f t="shared" si="14"/>
        <v>1.4087832459798768</v>
      </c>
      <c r="BL39">
        <f t="shared" si="14"/>
        <v>-2.8122272054644095</v>
      </c>
      <c r="BO39" s="15" t="s">
        <v>15</v>
      </c>
      <c r="BP39">
        <f>COUNTIFS(Data!$H$2:$H$193,1,Data!$C$2:$C$193,Sheet4!BO39)</f>
        <v>12</v>
      </c>
      <c r="BQ39">
        <f>COUNTIFS(Data!$C$2:$C$193,Sheet4!BO39)</f>
        <v>14</v>
      </c>
      <c r="BR39">
        <f t="shared" si="15"/>
        <v>85.714285714285708</v>
      </c>
      <c r="BS39">
        <f t="shared" si="16"/>
        <v>14.285714285714292</v>
      </c>
    </row>
    <row r="40" spans="2:73" x14ac:dyDescent="0.3">
      <c r="AY40" s="20" t="s">
        <v>15</v>
      </c>
      <c r="AZ40" t="str">
        <f>INDEX($AY$3:$BH$34,MATCH(LARGE($BC$3:$BC$34,1),$BC$3:$BC$34,0),1)</f>
        <v>Kalahaar</v>
      </c>
      <c r="BA40" t="str">
        <f>INDEX($AY$3:$BH$34,MATCH(LARGE($BC$3:$BC$34,2),$BC$3:$BC$34,0),1)</f>
        <v>Lets Lighten Up</v>
      </c>
      <c r="BB40" t="str">
        <f>INDEX($AY$3:$BH$34,MATCH(LARGE($BC$3:$BC$34,3),$BC$3:$BC$34,0),1)</f>
        <v>Trustee Brown</v>
      </c>
      <c r="BG40" s="15" t="s">
        <v>15</v>
      </c>
      <c r="BH40">
        <f t="shared" si="17"/>
        <v>4.3995035526227726</v>
      </c>
      <c r="BI40">
        <f t="shared" si="14"/>
        <v>2.0008109703496348</v>
      </c>
      <c r="BJ40">
        <f t="shared" si="14"/>
        <v>7.6544862883381164</v>
      </c>
      <c r="BK40">
        <f t="shared" si="14"/>
        <v>1.772523009948848</v>
      </c>
      <c r="BL40">
        <f t="shared" si="14"/>
        <v>3.4230322292089785</v>
      </c>
      <c r="BO40" s="15" t="s">
        <v>12</v>
      </c>
      <c r="BP40">
        <f>COUNTIFS(Data!$H$2:$H$193,1,Data!$C$2:$C$193,Sheet4!BO40)</f>
        <v>12</v>
      </c>
      <c r="BQ40">
        <f>COUNTIFS(Data!$C$2:$C$193,Sheet4!BO40)</f>
        <v>15</v>
      </c>
      <c r="BR40">
        <f t="shared" si="15"/>
        <v>80</v>
      </c>
      <c r="BS40">
        <f t="shared" si="16"/>
        <v>20</v>
      </c>
    </row>
    <row r="41" spans="2:73" x14ac:dyDescent="0.3">
      <c r="AY41" s="20" t="s">
        <v>12</v>
      </c>
      <c r="AZ41" t="str">
        <f>INDEX($AY$3:$BH$34,MATCH(LARGE($BD$3:$BD$34,1),$BD$3:$BD$34,0),1)</f>
        <v>Honest Lies</v>
      </c>
      <c r="BA41" t="str">
        <f>INDEX($AY$3:$BH$34,MATCH(LARGE($BD$3:$BD$34,2),$BD$3:$BD$34,0),1)</f>
        <v>Kalahaar</v>
      </c>
      <c r="BB41" t="str">
        <f>INDEX($AY$3:$BH$34,MATCH(LARGE($BD$3:$BD$34,3),$BD$3:$BD$34,0),1)</f>
        <v>Megems Boy</v>
      </c>
      <c r="BG41" s="15" t="s">
        <v>12</v>
      </c>
      <c r="BH41">
        <f t="shared" si="17"/>
        <v>-8.8682631748754268</v>
      </c>
      <c r="BI41">
        <f t="shared" si="14"/>
        <v>2.0271959494855882</v>
      </c>
      <c r="BJ41">
        <f t="shared" si="14"/>
        <v>5.5180278669008382</v>
      </c>
      <c r="BK41">
        <f t="shared" si="14"/>
        <v>1.962348124280459</v>
      </c>
      <c r="BL41">
        <f t="shared" si="14"/>
        <v>8.6372220540639505E-2</v>
      </c>
      <c r="BO41" s="15" t="s">
        <v>16</v>
      </c>
      <c r="BP41">
        <f>COUNTIFS(Data!$H$2:$H$193,1,Data!$C$2:$C$193,Sheet4!BO41)</f>
        <v>13</v>
      </c>
      <c r="BQ41">
        <f>COUNTIFS(Data!$C$2:$C$193,Sheet4!BO41)</f>
        <v>15</v>
      </c>
      <c r="BR41">
        <f t="shared" si="15"/>
        <v>86.666666666666671</v>
      </c>
      <c r="BS41">
        <f t="shared" si="16"/>
        <v>13.333333333333329</v>
      </c>
    </row>
    <row r="42" spans="2:73" x14ac:dyDescent="0.3">
      <c r="AY42" s="20" t="s">
        <v>16</v>
      </c>
      <c r="AZ42" t="str">
        <f>INDEX($AY$3:$BH$34,MATCH(LARGE($BE$3:$BE$34,1),$BE$3:$BE$34,0),1)</f>
        <v>Babieca Noire</v>
      </c>
      <c r="BA42" t="str">
        <f>INDEX($AY$3:$BH$34,MATCH(LARGE($BE$3:$BE$34,2),$BE$3:$BE$34,0),1)</f>
        <v>Kalahaar</v>
      </c>
      <c r="BB42" t="str">
        <f>INDEX($AY$3:$BH$34,MATCH(LARGE($BE$3:$BE$34,3),$BE$3:$BE$34,0),1)</f>
        <v>Ultimate Fighter</v>
      </c>
      <c r="BG42" s="15" t="s">
        <v>16</v>
      </c>
      <c r="BH42">
        <f t="shared" si="17"/>
        <v>-4.8246734765370443</v>
      </c>
      <c r="BI42">
        <f t="shared" si="14"/>
        <v>2.9643144346852424</v>
      </c>
      <c r="BJ42">
        <f t="shared" si="14"/>
        <v>5.0458324904178751</v>
      </c>
      <c r="BK42">
        <f t="shared" si="14"/>
        <v>1.0840266413075079</v>
      </c>
      <c r="BL42">
        <f t="shared" si="14"/>
        <v>2.7829819331725036</v>
      </c>
      <c r="BO42" s="15" t="s">
        <v>11</v>
      </c>
      <c r="BP42">
        <f>COUNTIFS(Data!$H$2:$H$193,1,Data!$C$2:$C$193,Sheet4!BO42)</f>
        <v>25</v>
      </c>
      <c r="BQ42">
        <f>COUNTIFS(Data!$C$2:$C$193,Sheet4!BO42)</f>
        <v>30</v>
      </c>
      <c r="BR42">
        <f t="shared" si="15"/>
        <v>83.333333333333343</v>
      </c>
      <c r="BS42">
        <f t="shared" si="16"/>
        <v>16.666666666666657</v>
      </c>
    </row>
    <row r="43" spans="2:73" x14ac:dyDescent="0.3">
      <c r="AY43" s="20" t="s">
        <v>11</v>
      </c>
      <c r="AZ43" t="str">
        <f>INDEX($AY$3:$BH$34,MATCH(LARGE($BF$3:$BF$34,1),$BF$3:$BF$34,0),1)</f>
        <v>Trustee Brown</v>
      </c>
      <c r="BA43" t="str">
        <f>INDEX($AY$3:$BH$34,MATCH(LARGE($BF$3:$BF$34,2),$BF$3:$BF$34,0),1)</f>
        <v>The Corporation</v>
      </c>
      <c r="BB43" t="str">
        <f>INDEX($AY$3:$BH$34,MATCH(LARGE($BF$3:$BF$34,3),$BF$3:$BF$34,0),1)</f>
        <v>Babieca Noire</v>
      </c>
      <c r="BG43" s="15" t="s">
        <v>11</v>
      </c>
      <c r="BH43">
        <f t="shared" si="17"/>
        <v>1.4621920720228812</v>
      </c>
      <c r="BI43">
        <f t="shared" si="14"/>
        <v>2.5229937343029452</v>
      </c>
      <c r="BJ43">
        <f t="shared" si="14"/>
        <v>7.6675152609094663</v>
      </c>
      <c r="BK43">
        <f t="shared" si="14"/>
        <v>-0.27162441943123333</v>
      </c>
      <c r="BL43">
        <f t="shared" si="14"/>
        <v>3.0278679027159816</v>
      </c>
      <c r="BO43" s="15" t="s">
        <v>13</v>
      </c>
      <c r="BP43">
        <f>COUNTIFS(Data!$H$2:$H$193,1,Data!$C$2:$C$193,Sheet4!BO43)</f>
        <v>38</v>
      </c>
      <c r="BQ43">
        <f>COUNTIFS(Data!$C$2:$C$193,Sheet4!BO43)</f>
        <v>44</v>
      </c>
      <c r="BR43">
        <f t="shared" si="15"/>
        <v>86.36363636363636</v>
      </c>
      <c r="BS43">
        <f t="shared" si="16"/>
        <v>13.63636363636364</v>
      </c>
    </row>
    <row r="44" spans="2:73" x14ac:dyDescent="0.3">
      <c r="AY44" s="20" t="s">
        <v>13</v>
      </c>
      <c r="AZ44" t="str">
        <f>INDEX($AY$3:$BH$34,MATCH(LARGE($BG$3:$BG$34,1),$BG$3:$BG$34,0),1)</f>
        <v>Honest Lies</v>
      </c>
      <c r="BA44" t="str">
        <f>INDEX($AY$3:$BH$34,MATCH(LARGE($BG$3:$BG$34,2),$BG$3:$BG$34,0),1)</f>
        <v>My Bonny Lad</v>
      </c>
      <c r="BB44" t="str">
        <f>INDEX($AY$3:$BH$34,MATCH(LARGE($BG$3:$BG$34,3),$BG$3:$BG$34,0),1)</f>
        <v>Metal Talk</v>
      </c>
      <c r="BG44" s="15" t="s">
        <v>13</v>
      </c>
      <c r="BH44">
        <f t="shared" si="17"/>
        <v>-3.7023548328550961</v>
      </c>
      <c r="BI44">
        <f t="shared" si="14"/>
        <v>6.8842056125766407</v>
      </c>
      <c r="BJ44">
        <f t="shared" si="14"/>
        <v>7.4998880591198107</v>
      </c>
      <c r="BK44">
        <f t="shared" si="14"/>
        <v>1.8277942129221914</v>
      </c>
      <c r="BL44">
        <f t="shared" si="14"/>
        <v>2.4644584514249255</v>
      </c>
      <c r="BO44" s="15" t="s">
        <v>14</v>
      </c>
      <c r="BP44">
        <f>COUNTIFS(Data!$H$2:$H$193,1,Data!$C$2:$C$193,Sheet4!BO44)</f>
        <v>24</v>
      </c>
      <c r="BQ44">
        <f>COUNTIFS(Data!$C$2:$C$193,Sheet4!BO44)</f>
        <v>29</v>
      </c>
      <c r="BR44">
        <f t="shared" si="15"/>
        <v>82.758620689655174</v>
      </c>
      <c r="BS44">
        <f t="shared" si="16"/>
        <v>17.241379310344826</v>
      </c>
    </row>
    <row r="45" spans="2:73" x14ac:dyDescent="0.3">
      <c r="AY45" s="20" t="s">
        <v>14</v>
      </c>
      <c r="AZ45" t="str">
        <f>INDEX($AY$3:$BH$34,MATCH(LARGE($BH$3:$BH$34,1),$BH$3:$BH$34,0),1)</f>
        <v>Born To Excel</v>
      </c>
      <c r="BA45" t="str">
        <f>INDEX($AY$3:$BH$34,MATCH(LARGE($BH$3:$BH$34,2),$BH$3:$BH$34,0),1)</f>
        <v>Honest Lies</v>
      </c>
      <c r="BB45" t="str">
        <f>INDEX($AY$3:$BH$34,MATCH(LARGE($BH$3:$BH$34,3),$BH$3:$BH$34,0),1)</f>
        <v>Trustee Brown</v>
      </c>
      <c r="BG45" s="15" t="s">
        <v>14</v>
      </c>
      <c r="BH45">
        <f t="shared" si="17"/>
        <v>3.6212306102270082</v>
      </c>
      <c r="BI45">
        <f t="shared" si="14"/>
        <v>2.0497158657313954</v>
      </c>
      <c r="BJ45">
        <f t="shared" si="14"/>
        <v>8.4357931584533024</v>
      </c>
      <c r="BK45">
        <f t="shared" si="14"/>
        <v>0.19903186654072302</v>
      </c>
      <c r="BL45">
        <f t="shared" si="14"/>
        <v>3.4132850082883386</v>
      </c>
    </row>
    <row r="46" spans="2:73" x14ac:dyDescent="0.3">
      <c r="BH46">
        <f>SUM(BH37:BH45)</f>
        <v>-24.758204740817202</v>
      </c>
      <c r="BI46">
        <f t="shared" ref="BI46:BL46" si="19">SUM(BI37:BI45)</f>
        <v>25.285916837874005</v>
      </c>
      <c r="BJ46">
        <f t="shared" si="19"/>
        <v>57.633447750436858</v>
      </c>
      <c r="BK46">
        <f t="shared" si="19"/>
        <v>10.854990910008736</v>
      </c>
      <c r="BL46">
        <f t="shared" si="19"/>
        <v>15.41866271178437</v>
      </c>
    </row>
    <row r="47" spans="2:73" x14ac:dyDescent="0.3">
      <c r="BH47" s="14"/>
      <c r="BI47" s="14"/>
      <c r="BJ47" s="14"/>
      <c r="BK47" s="14"/>
      <c r="BL47" s="14"/>
    </row>
  </sheetData>
  <dataValidations count="1">
    <dataValidation type="list" allowBlank="1" showInputMessage="1" showErrorMessage="1" sqref="BU36">
      <formula1>$BO$36:$BO$44</formula1>
    </dataValidation>
  </dataValidations>
  <pageMargins left="0.7" right="0.7" top="0.75" bottom="0.75" header="0.3" footer="0.3"/>
  <pageSetup orientation="portrait" horizontalDpi="360"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List Box 3">
              <controlPr defaultSize="0" autoLine="0" autoPict="0">
                <anchor moveWithCells="1">
                  <from>
                    <xdr:col>7</xdr:col>
                    <xdr:colOff>350520</xdr:colOff>
                    <xdr:row>15</xdr:row>
                    <xdr:rowOff>152400</xdr:rowOff>
                  </from>
                  <to>
                    <xdr:col>9</xdr:col>
                    <xdr:colOff>45720</xdr:colOff>
                    <xdr:row>20</xdr:row>
                    <xdr:rowOff>175260</xdr:rowOff>
                  </to>
                </anchor>
              </controlPr>
            </control>
          </mc:Choice>
        </mc:AlternateContent>
        <mc:AlternateContent xmlns:mc="http://schemas.openxmlformats.org/markup-compatibility/2006">
          <mc:Choice Requires="x14">
            <control shapeId="5125" r:id="rId5" name="Check Box 5">
              <controlPr defaultSize="0" autoFill="0" autoLine="0" autoPict="0">
                <anchor moveWithCells="1">
                  <from>
                    <xdr:col>20</xdr:col>
                    <xdr:colOff>15240</xdr:colOff>
                    <xdr:row>19</xdr:row>
                    <xdr:rowOff>15240</xdr:rowOff>
                  </from>
                  <to>
                    <xdr:col>21</xdr:col>
                    <xdr:colOff>0</xdr:colOff>
                    <xdr:row>19</xdr:row>
                    <xdr:rowOff>167640</xdr:rowOff>
                  </to>
                </anchor>
              </controlPr>
            </control>
          </mc:Choice>
        </mc:AlternateContent>
        <mc:AlternateContent xmlns:mc="http://schemas.openxmlformats.org/markup-compatibility/2006">
          <mc:Choice Requires="x14">
            <control shapeId="5143" r:id="rId6" name="Check Box 23">
              <controlPr defaultSize="0" autoFill="0" autoLine="0" autoPict="0">
                <anchor moveWithCells="1">
                  <from>
                    <xdr:col>19</xdr:col>
                    <xdr:colOff>601980</xdr:colOff>
                    <xdr:row>21</xdr:row>
                    <xdr:rowOff>0</xdr:rowOff>
                  </from>
                  <to>
                    <xdr:col>21</xdr:col>
                    <xdr:colOff>7620</xdr:colOff>
                    <xdr:row>22</xdr:row>
                    <xdr:rowOff>7620</xdr:rowOff>
                  </to>
                </anchor>
              </controlPr>
            </control>
          </mc:Choice>
        </mc:AlternateContent>
        <mc:AlternateContent xmlns:mc="http://schemas.openxmlformats.org/markup-compatibility/2006">
          <mc:Choice Requires="x14">
            <control shapeId="5144" r:id="rId7" name="Check Box 24">
              <controlPr defaultSize="0" autoFill="0" autoLine="0" autoPict="0">
                <anchor moveWithCells="1">
                  <from>
                    <xdr:col>19</xdr:col>
                    <xdr:colOff>594360</xdr:colOff>
                    <xdr:row>22</xdr:row>
                    <xdr:rowOff>175260</xdr:rowOff>
                  </from>
                  <to>
                    <xdr:col>21</xdr:col>
                    <xdr:colOff>22860</xdr:colOff>
                    <xdr:row>24</xdr:row>
                    <xdr:rowOff>0</xdr:rowOff>
                  </to>
                </anchor>
              </controlPr>
            </control>
          </mc:Choice>
        </mc:AlternateContent>
        <mc:AlternateContent xmlns:mc="http://schemas.openxmlformats.org/markup-compatibility/2006">
          <mc:Choice Requires="x14">
            <control shapeId="5145" r:id="rId8" name="Check Box 25">
              <controlPr defaultSize="0" autoFill="0" autoLine="0" autoPict="0">
                <anchor moveWithCells="1">
                  <from>
                    <xdr:col>20</xdr:col>
                    <xdr:colOff>7620</xdr:colOff>
                    <xdr:row>25</xdr:row>
                    <xdr:rowOff>0</xdr:rowOff>
                  </from>
                  <to>
                    <xdr:col>20</xdr:col>
                    <xdr:colOff>601980</xdr:colOff>
                    <xdr:row>26</xdr:row>
                    <xdr:rowOff>7620</xdr:rowOff>
                  </to>
                </anchor>
              </controlPr>
            </control>
          </mc:Choice>
        </mc:AlternateContent>
        <mc:AlternateContent xmlns:mc="http://schemas.openxmlformats.org/markup-compatibility/2006">
          <mc:Choice Requires="x14">
            <control shapeId="5146" r:id="rId9" name="Check Box 26">
              <controlPr defaultSize="0" autoFill="0" autoLine="0" autoPict="0">
                <anchor moveWithCells="1">
                  <from>
                    <xdr:col>20</xdr:col>
                    <xdr:colOff>0</xdr:colOff>
                    <xdr:row>26</xdr:row>
                    <xdr:rowOff>175260</xdr:rowOff>
                  </from>
                  <to>
                    <xdr:col>21</xdr:col>
                    <xdr:colOff>0</xdr:colOff>
                    <xdr:row>28</xdr:row>
                    <xdr:rowOff>15240</xdr:rowOff>
                  </to>
                </anchor>
              </controlPr>
            </control>
          </mc:Choice>
        </mc:AlternateContent>
        <mc:AlternateContent xmlns:mc="http://schemas.openxmlformats.org/markup-compatibility/2006">
          <mc:Choice Requires="x14">
            <control shapeId="5147" r:id="rId10" name="Check Box 27">
              <controlPr defaultSize="0" autoFill="0" autoLine="0" autoPict="0">
                <anchor moveWithCells="1">
                  <from>
                    <xdr:col>20</xdr:col>
                    <xdr:colOff>15240</xdr:colOff>
                    <xdr:row>30</xdr:row>
                    <xdr:rowOff>7620</xdr:rowOff>
                  </from>
                  <to>
                    <xdr:col>21</xdr:col>
                    <xdr:colOff>0</xdr:colOff>
                    <xdr:row>30</xdr:row>
                    <xdr:rowOff>175260</xdr:rowOff>
                  </to>
                </anchor>
              </controlPr>
            </control>
          </mc:Choice>
        </mc:AlternateContent>
        <mc:AlternateContent xmlns:mc="http://schemas.openxmlformats.org/markup-compatibility/2006">
          <mc:Choice Requires="x14">
            <control shapeId="5148" r:id="rId11" name="Check Box 28">
              <controlPr defaultSize="0" autoFill="0" autoLine="0" autoPict="0">
                <anchor moveWithCells="1">
                  <from>
                    <xdr:col>19</xdr:col>
                    <xdr:colOff>601980</xdr:colOff>
                    <xdr:row>31</xdr:row>
                    <xdr:rowOff>175260</xdr:rowOff>
                  </from>
                  <to>
                    <xdr:col>20</xdr:col>
                    <xdr:colOff>601980</xdr:colOff>
                    <xdr:row>33</xdr:row>
                    <xdr:rowOff>7620</xdr:rowOff>
                  </to>
                </anchor>
              </controlPr>
            </control>
          </mc:Choice>
        </mc:AlternateContent>
        <mc:AlternateContent xmlns:mc="http://schemas.openxmlformats.org/markup-compatibility/2006">
          <mc:Choice Requires="x14">
            <control shapeId="5149" r:id="rId12" name="Check Box 29">
              <controlPr defaultSize="0" autoFill="0" autoLine="0" autoPict="0">
                <anchor moveWithCells="1">
                  <from>
                    <xdr:col>20</xdr:col>
                    <xdr:colOff>0</xdr:colOff>
                    <xdr:row>34</xdr:row>
                    <xdr:rowOff>7620</xdr:rowOff>
                  </from>
                  <to>
                    <xdr:col>21</xdr:col>
                    <xdr:colOff>7620</xdr:colOff>
                    <xdr:row>34</xdr:row>
                    <xdr:rowOff>167640</xdr:rowOff>
                  </to>
                </anchor>
              </controlPr>
            </control>
          </mc:Choice>
        </mc:AlternateContent>
        <mc:AlternateContent xmlns:mc="http://schemas.openxmlformats.org/markup-compatibility/2006">
          <mc:Choice Requires="x14">
            <control shapeId="5150" r:id="rId13" name="Check Box 30">
              <controlPr defaultSize="0" autoFill="0" autoLine="0" autoPict="0">
                <anchor moveWithCells="1">
                  <from>
                    <xdr:col>19</xdr:col>
                    <xdr:colOff>601980</xdr:colOff>
                    <xdr:row>35</xdr:row>
                    <xdr:rowOff>175260</xdr:rowOff>
                  </from>
                  <to>
                    <xdr:col>21</xdr:col>
                    <xdr:colOff>7620</xdr:colOff>
                    <xdr:row>36</xdr:row>
                    <xdr:rowOff>167640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2" sqref="E22"/>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Calc</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Smallman</dc:creator>
  <cp:lastModifiedBy>HP</cp:lastModifiedBy>
  <dcterms:created xsi:type="dcterms:W3CDTF">2014-02-27T07:58:34Z</dcterms:created>
  <dcterms:modified xsi:type="dcterms:W3CDTF">2019-05-05T12:46:14Z</dcterms:modified>
</cp:coreProperties>
</file>