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11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12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j\ds_projects\unsw\decision_making_6510\assessment2\submission\"/>
    </mc:Choice>
  </mc:AlternateContent>
  <xr:revisionPtr revIDLastSave="0" documentId="13_ncr:1_{AE5237F6-8FBC-4D0C-97CC-8E1100EB5BB6}" xr6:coauthVersionLast="47" xr6:coauthVersionMax="47" xr10:uidLastSave="{00000000-0000-0000-0000-000000000000}"/>
  <bookViews>
    <workbookView xWindow="-110" yWindow="-110" windowWidth="19420" windowHeight="11620" tabRatio="730" activeTab="4" xr2:uid="{128E22E7-D79F-4F4A-B9D4-5EF7FF588309}"/>
  </bookViews>
  <sheets>
    <sheet name="Task1" sheetId="1" r:id="rId1"/>
    <sheet name="Task2" sheetId="2" r:id="rId2"/>
    <sheet name="Task3 - Raw Data" sheetId="4" r:id="rId3"/>
    <sheet name="Task3 - Value Funcs and Weights" sheetId="3" r:id="rId4"/>
    <sheet name="Task3 - Analysis" sheetId="5" r:id="rId5"/>
    <sheet name="Task3 - Calcs for Sensitivity" sheetId="6" r:id="rId6"/>
  </sheets>
  <definedNames>
    <definedName name="TreeData" localSheetId="0">Task1!$ALM$1003:$ALT$1017</definedName>
    <definedName name="TreeDiag" localSheetId="0">Task1!$A$3:$S$47</definedName>
    <definedName name="TreeOption" localSheetId="0">Task1!$ALM$993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7" i="6" l="1"/>
  <c r="G27" i="6" s="1"/>
  <c r="H27" i="6" s="1"/>
  <c r="I27" i="6" s="1"/>
  <c r="J27" i="6" s="1"/>
  <c r="K27" i="6" s="1"/>
  <c r="L27" i="6" s="1"/>
  <c r="M27" i="6" s="1"/>
  <c r="N27" i="6" s="1"/>
  <c r="O27" i="6" s="1"/>
  <c r="E18" i="6"/>
  <c r="E19" i="6" s="1"/>
  <c r="E12" i="6"/>
  <c r="E17" i="6" s="1"/>
  <c r="E6" i="6"/>
  <c r="E8" i="6" s="1"/>
  <c r="F5" i="6"/>
  <c r="G5" i="6" s="1"/>
  <c r="H5" i="6" s="1"/>
  <c r="I5" i="6" s="1"/>
  <c r="J5" i="6" s="1"/>
  <c r="K5" i="6" s="1"/>
  <c r="L5" i="6" s="1"/>
  <c r="M5" i="6" s="1"/>
  <c r="N5" i="6" s="1"/>
  <c r="O5" i="6" s="1"/>
  <c r="O6" i="6" s="1"/>
  <c r="H6" i="5" a="1"/>
  <c r="H6" i="5" s="1"/>
  <c r="D98" i="3"/>
  <c r="D97" i="3"/>
  <c r="D96" i="3"/>
  <c r="F19" i="3"/>
  <c r="G87" i="3"/>
  <c r="G88" i="3"/>
  <c r="G89" i="3"/>
  <c r="F91" i="3"/>
  <c r="G90" i="3" s="1"/>
  <c r="C21" i="3"/>
  <c r="F21" i="3"/>
  <c r="E21" i="3"/>
  <c r="E19" i="3"/>
  <c r="D21" i="3"/>
  <c r="D19" i="3"/>
  <c r="C19" i="3"/>
  <c r="M32" i="4"/>
  <c r="M31" i="4"/>
  <c r="M30" i="4"/>
  <c r="M29" i="4"/>
  <c r="M28" i="4"/>
  <c r="M27" i="4"/>
  <c r="F9" i="3" a="1"/>
  <c r="F9" i="3" s="1"/>
  <c r="F10" i="3" a="1"/>
  <c r="F10" i="3" s="1"/>
  <c r="F11" i="3" a="1"/>
  <c r="F11" i="3" s="1"/>
  <c r="F12" i="3" a="1"/>
  <c r="F12" i="3" s="1"/>
  <c r="F13" i="3" a="1"/>
  <c r="F13" i="3" s="1"/>
  <c r="F8" i="3" a="1"/>
  <c r="F8" i="3" s="1"/>
  <c r="E32" i="4"/>
  <c r="E31" i="4"/>
  <c r="E30" i="4"/>
  <c r="E29" i="4"/>
  <c r="E28" i="4"/>
  <c r="E27" i="4"/>
  <c r="D136" i="2"/>
  <c r="I136" i="2" s="1"/>
  <c r="D137" i="2"/>
  <c r="I137" i="2" s="1"/>
  <c r="D138" i="2"/>
  <c r="I138" i="2" s="1"/>
  <c r="D139" i="2"/>
  <c r="F139" i="2" s="1"/>
  <c r="D140" i="2"/>
  <c r="F140" i="2" s="1"/>
  <c r="D141" i="2"/>
  <c r="F141" i="2" s="1"/>
  <c r="D142" i="2"/>
  <c r="H142" i="2" s="1"/>
  <c r="D143" i="2"/>
  <c r="H143" i="2" s="1"/>
  <c r="D144" i="2"/>
  <c r="I144" i="2" s="1"/>
  <c r="D145" i="2"/>
  <c r="H145" i="2" s="1"/>
  <c r="D135" i="2"/>
  <c r="H135" i="2" s="1"/>
  <c r="D99" i="2"/>
  <c r="I99" i="2" s="1"/>
  <c r="D100" i="2"/>
  <c r="G100" i="2" s="1"/>
  <c r="D101" i="2"/>
  <c r="H101" i="2" s="1"/>
  <c r="D102" i="2"/>
  <c r="F102" i="2" s="1"/>
  <c r="D103" i="2"/>
  <c r="G103" i="2" s="1"/>
  <c r="D104" i="2"/>
  <c r="F104" i="2" s="1"/>
  <c r="D105" i="2"/>
  <c r="F105" i="2" s="1"/>
  <c r="D106" i="2"/>
  <c r="H106" i="2" s="1"/>
  <c r="D107" i="2"/>
  <c r="I107" i="2" s="1"/>
  <c r="D108" i="2"/>
  <c r="G108" i="2" s="1"/>
  <c r="D98" i="2"/>
  <c r="G98" i="2" s="1"/>
  <c r="D62" i="2"/>
  <c r="G62" i="2" s="1"/>
  <c r="D63" i="2"/>
  <c r="H63" i="2" s="1"/>
  <c r="D64" i="2"/>
  <c r="H64" i="2" s="1"/>
  <c r="D65" i="2"/>
  <c r="G65" i="2" s="1"/>
  <c r="D66" i="2"/>
  <c r="F66" i="2" s="1"/>
  <c r="D67" i="2"/>
  <c r="I67" i="2" s="1"/>
  <c r="D68" i="2"/>
  <c r="I68" i="2" s="1"/>
  <c r="D69" i="2"/>
  <c r="I69" i="2" s="1"/>
  <c r="D70" i="2"/>
  <c r="G70" i="2" s="1"/>
  <c r="D71" i="2"/>
  <c r="G71" i="2" s="1"/>
  <c r="D61" i="2"/>
  <c r="H61" i="2" s="1"/>
  <c r="E15" i="6" l="1"/>
  <c r="L6" i="6"/>
  <c r="L11" i="6" s="1"/>
  <c r="G6" i="6"/>
  <c r="G9" i="6" s="1"/>
  <c r="M18" i="6"/>
  <c r="M21" i="6" s="1"/>
  <c r="J12" i="6"/>
  <c r="J16" i="6" s="1"/>
  <c r="O9" i="6"/>
  <c r="O11" i="6"/>
  <c r="L18" i="6"/>
  <c r="L22" i="6" s="1"/>
  <c r="E13" i="6"/>
  <c r="N12" i="6"/>
  <c r="N13" i="6" s="1"/>
  <c r="I18" i="6"/>
  <c r="I19" i="6" s="1"/>
  <c r="E14" i="6"/>
  <c r="M12" i="6"/>
  <c r="H18" i="6"/>
  <c r="H20" i="6" s="1"/>
  <c r="K6" i="6"/>
  <c r="K8" i="6" s="1"/>
  <c r="I12" i="6"/>
  <c r="I15" i="6" s="1"/>
  <c r="J14" i="6"/>
  <c r="H6" i="6"/>
  <c r="H9" i="6" s="1"/>
  <c r="F12" i="6"/>
  <c r="F13" i="6" s="1"/>
  <c r="M19" i="6"/>
  <c r="J6" i="6"/>
  <c r="H12" i="6"/>
  <c r="K18" i="6"/>
  <c r="E10" i="6"/>
  <c r="K10" i="6"/>
  <c r="O8" i="6"/>
  <c r="E21" i="6"/>
  <c r="M20" i="6"/>
  <c r="E9" i="6"/>
  <c r="E20" i="6"/>
  <c r="E42" i="6" s="1" a="1"/>
  <c r="E42" i="6" s="1"/>
  <c r="L21" i="6"/>
  <c r="I6" i="6"/>
  <c r="I7" i="6" s="1"/>
  <c r="O12" i="6"/>
  <c r="G12" i="6"/>
  <c r="J18" i="6"/>
  <c r="E11" i="6"/>
  <c r="J13" i="6"/>
  <c r="E22" i="6"/>
  <c r="E43" i="6" s="1" a="1"/>
  <c r="E43" i="6" s="1"/>
  <c r="H22" i="6"/>
  <c r="L23" i="6"/>
  <c r="N6" i="6"/>
  <c r="F6" i="6"/>
  <c r="L12" i="6"/>
  <c r="O18" i="6"/>
  <c r="G18" i="6"/>
  <c r="G23" i="6" s="1"/>
  <c r="O10" i="6"/>
  <c r="E16" i="6"/>
  <c r="M22" i="6"/>
  <c r="L19" i="6"/>
  <c r="M6" i="6"/>
  <c r="M7" i="6" s="1"/>
  <c r="E7" i="6"/>
  <c r="K12" i="6"/>
  <c r="N18" i="6"/>
  <c r="F18" i="6"/>
  <c r="E23" i="6"/>
  <c r="O7" i="6"/>
  <c r="G86" i="3"/>
  <c r="I140" i="2"/>
  <c r="I141" i="2"/>
  <c r="I143" i="2"/>
  <c r="I142" i="2"/>
  <c r="H98" i="2"/>
  <c r="I105" i="2"/>
  <c r="I139" i="2"/>
  <c r="H139" i="2"/>
  <c r="I102" i="2"/>
  <c r="G106" i="2"/>
  <c r="H62" i="2"/>
  <c r="F107" i="2"/>
  <c r="H102" i="2"/>
  <c r="F99" i="2"/>
  <c r="I104" i="2"/>
  <c r="H141" i="2"/>
  <c r="F144" i="2"/>
  <c r="F136" i="2"/>
  <c r="E69" i="2"/>
  <c r="I98" i="2"/>
  <c r="I106" i="2"/>
  <c r="G102" i="2"/>
  <c r="F61" i="2"/>
  <c r="F64" i="2"/>
  <c r="H140" i="2"/>
  <c r="G69" i="2"/>
  <c r="H103" i="2"/>
  <c r="H70" i="2"/>
  <c r="I103" i="2"/>
  <c r="E141" i="2"/>
  <c r="F103" i="2"/>
  <c r="I65" i="2"/>
  <c r="H105" i="2"/>
  <c r="F71" i="2"/>
  <c r="G68" i="2"/>
  <c r="I61" i="2"/>
  <c r="H100" i="2"/>
  <c r="G105" i="2"/>
  <c r="E140" i="2"/>
  <c r="F143" i="2"/>
  <c r="E71" i="2"/>
  <c r="F70" i="2"/>
  <c r="G63" i="2"/>
  <c r="I71" i="2"/>
  <c r="I100" i="2"/>
  <c r="F98" i="2"/>
  <c r="F101" i="2"/>
  <c r="G104" i="2"/>
  <c r="E139" i="2"/>
  <c r="F142" i="2"/>
  <c r="E70" i="2"/>
  <c r="F65" i="2"/>
  <c r="H71" i="2"/>
  <c r="I66" i="2"/>
  <c r="F108" i="2"/>
  <c r="F100" i="2"/>
  <c r="E135" i="2"/>
  <c r="E138" i="2"/>
  <c r="E145" i="2"/>
  <c r="E137" i="2"/>
  <c r="E68" i="2"/>
  <c r="F63" i="2"/>
  <c r="H69" i="2"/>
  <c r="I64" i="2"/>
  <c r="I108" i="2"/>
  <c r="F106" i="2"/>
  <c r="G101" i="2"/>
  <c r="E144" i="2"/>
  <c r="E136" i="2"/>
  <c r="H108" i="2"/>
  <c r="E63" i="2"/>
  <c r="F62" i="2"/>
  <c r="H68" i="2"/>
  <c r="I63" i="2"/>
  <c r="I135" i="2"/>
  <c r="E143" i="2"/>
  <c r="F135" i="2"/>
  <c r="F138" i="2"/>
  <c r="E62" i="2"/>
  <c r="H104" i="2"/>
  <c r="G107" i="2"/>
  <c r="G99" i="2"/>
  <c r="E142" i="2"/>
  <c r="F145" i="2"/>
  <c r="F137" i="2"/>
  <c r="H137" i="2"/>
  <c r="H144" i="2"/>
  <c r="I145" i="2"/>
  <c r="H138" i="2"/>
  <c r="H136" i="2"/>
  <c r="I101" i="2"/>
  <c r="H99" i="2"/>
  <c r="H107" i="2"/>
  <c r="G135" i="2"/>
  <c r="G136" i="2"/>
  <c r="G137" i="2"/>
  <c r="G138" i="2"/>
  <c r="G139" i="2"/>
  <c r="G140" i="2"/>
  <c r="G141" i="2"/>
  <c r="G142" i="2"/>
  <c r="G143" i="2"/>
  <c r="G144" i="2"/>
  <c r="G145" i="2"/>
  <c r="E98" i="2"/>
  <c r="E99" i="2"/>
  <c r="E100" i="2"/>
  <c r="E101" i="2"/>
  <c r="E102" i="2"/>
  <c r="E103" i="2"/>
  <c r="E104" i="2"/>
  <c r="E105" i="2"/>
  <c r="E106" i="2"/>
  <c r="E107" i="2"/>
  <c r="E108" i="2"/>
  <c r="G67" i="2"/>
  <c r="G66" i="2"/>
  <c r="E66" i="2"/>
  <c r="F69" i="2"/>
  <c r="G61" i="2"/>
  <c r="G64" i="2"/>
  <c r="H67" i="2"/>
  <c r="I70" i="2"/>
  <c r="I62" i="2"/>
  <c r="E67" i="2"/>
  <c r="E65" i="2"/>
  <c r="H66" i="2"/>
  <c r="F68" i="2"/>
  <c r="E61" i="2"/>
  <c r="E64" i="2"/>
  <c r="F67" i="2"/>
  <c r="H65" i="2"/>
  <c r="F27" i="2"/>
  <c r="F28" i="2"/>
  <c r="F29" i="2"/>
  <c r="F30" i="2"/>
  <c r="F26" i="2"/>
  <c r="D7" i="2"/>
  <c r="D8" i="2"/>
  <c r="D9" i="2"/>
  <c r="D10" i="2"/>
  <c r="D11" i="2"/>
  <c r="Q46" i="1"/>
  <c r="Q41" i="1"/>
  <c r="Q36" i="1"/>
  <c r="M31" i="1"/>
  <c r="M26" i="1"/>
  <c r="M21" i="1"/>
  <c r="I21" i="1" s="1"/>
  <c r="M16" i="1"/>
  <c r="I11" i="1"/>
  <c r="E6" i="1"/>
  <c r="N37" i="6" l="1" a="1"/>
  <c r="N37" i="6" s="1"/>
  <c r="H11" i="6"/>
  <c r="E34" i="6" a="1"/>
  <c r="E34" i="6" s="1"/>
  <c r="E35" i="6" a="1"/>
  <c r="E35" i="6" s="1"/>
  <c r="E36" i="6" a="1"/>
  <c r="E36" i="6" s="1"/>
  <c r="E37" i="6" a="1"/>
  <c r="E37" i="6" s="1"/>
  <c r="E38" i="6" a="1"/>
  <c r="E38" i="6" s="1"/>
  <c r="E39" i="6" a="1"/>
  <c r="E39" i="6" s="1"/>
  <c r="E44" i="6" a="1"/>
  <c r="E44" i="6" s="1"/>
  <c r="M23" i="6"/>
  <c r="E30" i="6" a="1"/>
  <c r="E30" i="6" s="1"/>
  <c r="E29" i="6" a="1"/>
  <c r="E29" i="6" s="1"/>
  <c r="E33" i="6" a="1"/>
  <c r="E33" i="6" s="1"/>
  <c r="E31" i="6" a="1"/>
  <c r="E31" i="6" s="1"/>
  <c r="E28" i="6" a="1"/>
  <c r="E28" i="6" s="1"/>
  <c r="E32" i="6" a="1"/>
  <c r="E32" i="6" s="1"/>
  <c r="J15" i="6"/>
  <c r="J37" i="6" s="1" a="1"/>
  <c r="J37" i="6" s="1"/>
  <c r="J17" i="6"/>
  <c r="E45" i="6" a="1"/>
  <c r="E45" i="6" s="1"/>
  <c r="O29" i="6" a="1"/>
  <c r="O29" i="6" s="1"/>
  <c r="O28" i="6" a="1"/>
  <c r="O28" i="6" s="1"/>
  <c r="O30" i="6" a="1"/>
  <c r="O30" i="6" s="1"/>
  <c r="O31" i="6" a="1"/>
  <c r="O31" i="6" s="1"/>
  <c r="O32" i="6" a="1"/>
  <c r="O32" i="6" s="1"/>
  <c r="O33" i="6" a="1"/>
  <c r="O33" i="6" s="1"/>
  <c r="E40" i="6" a="1"/>
  <c r="E40" i="6" s="1"/>
  <c r="M41" i="6" a="1"/>
  <c r="M41" i="6" s="1"/>
  <c r="M42" i="6" a="1"/>
  <c r="M42" i="6" s="1"/>
  <c r="M43" i="6" a="1"/>
  <c r="M43" i="6" s="1"/>
  <c r="M44" i="6" a="1"/>
  <c r="M44" i="6" s="1"/>
  <c r="M40" i="6" a="1"/>
  <c r="M40" i="6" s="1"/>
  <c r="M45" i="6" a="1"/>
  <c r="M45" i="6" s="1"/>
  <c r="E41" i="6" a="1"/>
  <c r="E41" i="6" s="1"/>
  <c r="G10" i="6"/>
  <c r="I14" i="6"/>
  <c r="L7" i="6"/>
  <c r="H19" i="6"/>
  <c r="L9" i="6"/>
  <c r="I17" i="6"/>
  <c r="L10" i="6"/>
  <c r="L8" i="6"/>
  <c r="H21" i="6"/>
  <c r="G8" i="6"/>
  <c r="G7" i="6"/>
  <c r="L20" i="6"/>
  <c r="L42" i="6" s="1" a="1"/>
  <c r="L42" i="6" s="1"/>
  <c r="H23" i="6"/>
  <c r="G11" i="6"/>
  <c r="H8" i="6"/>
  <c r="F14" i="6"/>
  <c r="F38" i="6" s="1" a="1"/>
  <c r="F38" i="6" s="1"/>
  <c r="M13" i="6"/>
  <c r="M16" i="6"/>
  <c r="M14" i="6"/>
  <c r="M17" i="6"/>
  <c r="N17" i="6"/>
  <c r="I16" i="6"/>
  <c r="I13" i="6"/>
  <c r="F15" i="6"/>
  <c r="F37" i="6" s="1" a="1"/>
  <c r="F37" i="6" s="1"/>
  <c r="N14" i="6"/>
  <c r="N35" i="6" s="1" a="1"/>
  <c r="N35" i="6" s="1"/>
  <c r="K11" i="6"/>
  <c r="K9" i="6"/>
  <c r="K7" i="6"/>
  <c r="M15" i="6"/>
  <c r="N15" i="6"/>
  <c r="H10" i="6"/>
  <c r="F16" i="6"/>
  <c r="F17" i="6"/>
  <c r="F35" i="6" s="1" a="1"/>
  <c r="F35" i="6" s="1"/>
  <c r="I23" i="6"/>
  <c r="H7" i="6"/>
  <c r="I20" i="6"/>
  <c r="I41" i="6" s="1" a="1"/>
  <c r="I41" i="6" s="1"/>
  <c r="I21" i="6"/>
  <c r="N16" i="6"/>
  <c r="I22" i="6"/>
  <c r="H17" i="6"/>
  <c r="H15" i="6"/>
  <c r="H13" i="6"/>
  <c r="H14" i="6"/>
  <c r="H16" i="6"/>
  <c r="F10" i="6"/>
  <c r="F11" i="6"/>
  <c r="F8" i="6"/>
  <c r="F9" i="6"/>
  <c r="F7" i="6"/>
  <c r="J8" i="6"/>
  <c r="J9" i="6"/>
  <c r="J7" i="6"/>
  <c r="J10" i="6"/>
  <c r="J11" i="6"/>
  <c r="O20" i="6"/>
  <c r="O21" i="6"/>
  <c r="O22" i="6"/>
  <c r="O19" i="6"/>
  <c r="L14" i="6"/>
  <c r="L16" i="6"/>
  <c r="L17" i="6"/>
  <c r="L13" i="6"/>
  <c r="F21" i="6"/>
  <c r="F22" i="6"/>
  <c r="F19" i="6"/>
  <c r="F20" i="6"/>
  <c r="F23" i="6"/>
  <c r="N11" i="6"/>
  <c r="N10" i="6"/>
  <c r="N8" i="6"/>
  <c r="N9" i="6"/>
  <c r="N7" i="6"/>
  <c r="J19" i="6"/>
  <c r="J20" i="6"/>
  <c r="J23" i="6"/>
  <c r="J21" i="6"/>
  <c r="J22" i="6"/>
  <c r="I8" i="6"/>
  <c r="I30" i="6" s="1" a="1"/>
  <c r="I30" i="6" s="1"/>
  <c r="I10" i="6"/>
  <c r="I9" i="6"/>
  <c r="I11" i="6"/>
  <c r="N21" i="6"/>
  <c r="N22" i="6"/>
  <c r="N19" i="6"/>
  <c r="N23" i="6"/>
  <c r="N20" i="6"/>
  <c r="G17" i="6"/>
  <c r="G15" i="6"/>
  <c r="G14" i="6"/>
  <c r="G13" i="6"/>
  <c r="G16" i="6"/>
  <c r="K22" i="6"/>
  <c r="K19" i="6"/>
  <c r="K23" i="6"/>
  <c r="K21" i="6"/>
  <c r="K20" i="6"/>
  <c r="L15" i="6"/>
  <c r="K14" i="6"/>
  <c r="K17" i="6"/>
  <c r="K16" i="6"/>
  <c r="K15" i="6"/>
  <c r="K13" i="6"/>
  <c r="O17" i="6"/>
  <c r="O15" i="6"/>
  <c r="O13" i="6"/>
  <c r="O14" i="6"/>
  <c r="O16" i="6"/>
  <c r="M10" i="6"/>
  <c r="M11" i="6"/>
  <c r="M9" i="6"/>
  <c r="M32" i="6" s="1" a="1"/>
  <c r="M32" i="6" s="1"/>
  <c r="M8" i="6"/>
  <c r="M30" i="6" s="1" a="1"/>
  <c r="M30" i="6" s="1"/>
  <c r="G20" i="6"/>
  <c r="G22" i="6"/>
  <c r="G21" i="6"/>
  <c r="G19" i="6"/>
  <c r="O23" i="6"/>
  <c r="H8" i="5" a="1"/>
  <c r="H8" i="5" s="1"/>
  <c r="H9" i="5" a="1"/>
  <c r="H9" i="5" s="1"/>
  <c r="H10" i="5" a="1"/>
  <c r="H10" i="5" s="1"/>
  <c r="G91" i="3"/>
  <c r="H11" i="5" a="1"/>
  <c r="H11" i="5" s="1"/>
  <c r="H7" i="5" a="1"/>
  <c r="H7" i="5" s="1"/>
  <c r="N68" i="2" a="1"/>
  <c r="N68" i="2" s="1"/>
  <c r="K70" i="2" a="1"/>
  <c r="K70" i="2" s="1"/>
  <c r="M71" i="2" a="1"/>
  <c r="M71" i="2" s="1"/>
  <c r="J63" i="2" a="1"/>
  <c r="J63" i="2" s="1"/>
  <c r="J69" i="2" a="1"/>
  <c r="J69" i="2" s="1"/>
  <c r="M62" i="2" a="1"/>
  <c r="M62" i="2" s="1"/>
  <c r="M63" i="2" a="1"/>
  <c r="M63" i="2" s="1"/>
  <c r="K68" i="2" a="1"/>
  <c r="K68" i="2" s="1"/>
  <c r="N62" i="2" a="1"/>
  <c r="N62" i="2" s="1"/>
  <c r="J70" i="2" a="1"/>
  <c r="J70" i="2" s="1"/>
  <c r="K62" i="2" a="1"/>
  <c r="K62" i="2" s="1"/>
  <c r="L63" i="2" a="1"/>
  <c r="L63" i="2" s="1"/>
  <c r="L69" i="2" a="1"/>
  <c r="L69" i="2" s="1"/>
  <c r="L70" i="2" a="1"/>
  <c r="L70" i="2" s="1"/>
  <c r="N63" i="2" a="1"/>
  <c r="N63" i="2" s="1"/>
  <c r="K63" i="2" a="1"/>
  <c r="K63" i="2" s="1"/>
  <c r="L62" i="2" a="1"/>
  <c r="L62" i="2" s="1"/>
  <c r="J68" i="2" a="1"/>
  <c r="J68" i="2" s="1"/>
  <c r="M70" i="2" a="1"/>
  <c r="M70" i="2" s="1"/>
  <c r="L71" i="2" a="1"/>
  <c r="L71" i="2" s="1"/>
  <c r="M68" i="2" a="1"/>
  <c r="M68" i="2" s="1"/>
  <c r="N71" i="2" a="1"/>
  <c r="N71" i="2" s="1"/>
  <c r="L68" i="2" a="1"/>
  <c r="L68" i="2" s="1"/>
  <c r="N70" i="2" a="1"/>
  <c r="N70" i="2" s="1"/>
  <c r="J62" i="2" a="1"/>
  <c r="J62" i="2" s="1"/>
  <c r="J71" i="2" a="1"/>
  <c r="J71" i="2" s="1"/>
  <c r="K71" i="2" a="1"/>
  <c r="K71" i="2" s="1"/>
  <c r="J135" i="2" a="1"/>
  <c r="J135" i="2" s="1"/>
  <c r="N140" i="2" a="1"/>
  <c r="N140" i="2" s="1"/>
  <c r="J140" i="2" a="1"/>
  <c r="J140" i="2" s="1"/>
  <c r="M140" i="2" a="1"/>
  <c r="M140" i="2" s="1"/>
  <c r="K140" i="2" a="1"/>
  <c r="K140" i="2" s="1"/>
  <c r="L140" i="2" a="1"/>
  <c r="L140" i="2" s="1"/>
  <c r="N139" i="2" a="1"/>
  <c r="N139" i="2" s="1"/>
  <c r="J139" i="2" a="1"/>
  <c r="J139" i="2" s="1"/>
  <c r="M139" i="2" a="1"/>
  <c r="M139" i="2" s="1"/>
  <c r="L139" i="2" a="1"/>
  <c r="L139" i="2" s="1"/>
  <c r="K139" i="2" a="1"/>
  <c r="K139" i="2" s="1"/>
  <c r="N138" i="2" a="1"/>
  <c r="N138" i="2" s="1"/>
  <c r="J138" i="2" a="1"/>
  <c r="J138" i="2" s="1"/>
  <c r="M138" i="2" a="1"/>
  <c r="M138" i="2" s="1"/>
  <c r="L138" i="2" a="1"/>
  <c r="L138" i="2" s="1"/>
  <c r="K138" i="2" a="1"/>
  <c r="K138" i="2" s="1"/>
  <c r="N142" i="2" a="1"/>
  <c r="N142" i="2" s="1"/>
  <c r="J142" i="2" a="1"/>
  <c r="J142" i="2" s="1"/>
  <c r="M142" i="2" a="1"/>
  <c r="M142" i="2" s="1"/>
  <c r="L142" i="2" a="1"/>
  <c r="L142" i="2" s="1"/>
  <c r="K142" i="2" a="1"/>
  <c r="K142" i="2" s="1"/>
  <c r="N137" i="2" a="1"/>
  <c r="N137" i="2" s="1"/>
  <c r="J137" i="2" a="1"/>
  <c r="J137" i="2" s="1"/>
  <c r="M137" i="2" a="1"/>
  <c r="M137" i="2" s="1"/>
  <c r="K137" i="2" a="1"/>
  <c r="K137" i="2" s="1"/>
  <c r="L137" i="2" a="1"/>
  <c r="L137" i="2" s="1"/>
  <c r="N141" i="2" a="1"/>
  <c r="N141" i="2" s="1"/>
  <c r="J141" i="2" a="1"/>
  <c r="J141" i="2" s="1"/>
  <c r="M141" i="2" a="1"/>
  <c r="M141" i="2" s="1"/>
  <c r="L141" i="2" a="1"/>
  <c r="L141" i="2" s="1"/>
  <c r="K141" i="2" a="1"/>
  <c r="K141" i="2" s="1"/>
  <c r="N144" i="2" a="1"/>
  <c r="N144" i="2" s="1"/>
  <c r="J144" i="2" a="1"/>
  <c r="J144" i="2" s="1"/>
  <c r="M144" i="2" a="1"/>
  <c r="M144" i="2" s="1"/>
  <c r="K144" i="2" a="1"/>
  <c r="K144" i="2" s="1"/>
  <c r="L144" i="2" a="1"/>
  <c r="L144" i="2" s="1"/>
  <c r="N136" i="2" a="1"/>
  <c r="N136" i="2" s="1"/>
  <c r="J136" i="2" a="1"/>
  <c r="J136" i="2" s="1"/>
  <c r="M136" i="2" a="1"/>
  <c r="M136" i="2" s="1"/>
  <c r="K136" i="2" a="1"/>
  <c r="K136" i="2" s="1"/>
  <c r="L136" i="2" a="1"/>
  <c r="L136" i="2" s="1"/>
  <c r="N145" i="2" a="1"/>
  <c r="N145" i="2" s="1"/>
  <c r="J145" i="2" a="1"/>
  <c r="J145" i="2" s="1"/>
  <c r="M145" i="2" a="1"/>
  <c r="M145" i="2" s="1"/>
  <c r="L145" i="2" a="1"/>
  <c r="L145" i="2" s="1"/>
  <c r="K145" i="2" a="1"/>
  <c r="K145" i="2" s="1"/>
  <c r="N143" i="2" a="1"/>
  <c r="N143" i="2" s="1"/>
  <c r="J143" i="2" a="1"/>
  <c r="J143" i="2" s="1"/>
  <c r="M143" i="2" a="1"/>
  <c r="M143" i="2" s="1"/>
  <c r="K143" i="2" a="1"/>
  <c r="K143" i="2" s="1"/>
  <c r="L143" i="2" a="1"/>
  <c r="L143" i="2" s="1"/>
  <c r="M135" i="2" a="1"/>
  <c r="M135" i="2" s="1"/>
  <c r="L135" i="2" a="1"/>
  <c r="L135" i="2" s="1"/>
  <c r="K135" i="2" a="1"/>
  <c r="K135" i="2" s="1"/>
  <c r="N135" i="2" a="1"/>
  <c r="N135" i="2" s="1"/>
  <c r="M105" i="2" a="1"/>
  <c r="M105" i="2" s="1"/>
  <c r="J105" i="2" a="1"/>
  <c r="J105" i="2" s="1"/>
  <c r="L105" i="2" a="1"/>
  <c r="L105" i="2" s="1"/>
  <c r="K105" i="2" a="1"/>
  <c r="K105" i="2" s="1"/>
  <c r="N105" i="2" a="1"/>
  <c r="N105" i="2" s="1"/>
  <c r="M104" i="2" a="1"/>
  <c r="M104" i="2" s="1"/>
  <c r="N104" i="2" a="1"/>
  <c r="N104" i="2" s="1"/>
  <c r="K104" i="2" a="1"/>
  <c r="K104" i="2" s="1"/>
  <c r="L104" i="2" a="1"/>
  <c r="L104" i="2" s="1"/>
  <c r="J104" i="2" a="1"/>
  <c r="J104" i="2" s="1"/>
  <c r="M102" i="2" a="1"/>
  <c r="M102" i="2" s="1"/>
  <c r="J102" i="2" a="1"/>
  <c r="J102" i="2" s="1"/>
  <c r="L102" i="2" a="1"/>
  <c r="L102" i="2" s="1"/>
  <c r="N102" i="2" a="1"/>
  <c r="N102" i="2" s="1"/>
  <c r="K102" i="2" a="1"/>
  <c r="K102" i="2" s="1"/>
  <c r="M101" i="2" a="1"/>
  <c r="M101" i="2" s="1"/>
  <c r="N101" i="2" a="1"/>
  <c r="N101" i="2" s="1"/>
  <c r="K101" i="2" a="1"/>
  <c r="K101" i="2" s="1"/>
  <c r="J101" i="2" a="1"/>
  <c r="J101" i="2" s="1"/>
  <c r="L101" i="2" a="1"/>
  <c r="L101" i="2" s="1"/>
  <c r="M100" i="2" a="1"/>
  <c r="M100" i="2" s="1"/>
  <c r="N100" i="2" a="1"/>
  <c r="N100" i="2" s="1"/>
  <c r="L100" i="2" a="1"/>
  <c r="L100" i="2" s="1"/>
  <c r="K100" i="2" a="1"/>
  <c r="K100" i="2" s="1"/>
  <c r="J100" i="2" a="1"/>
  <c r="J100" i="2" s="1"/>
  <c r="M107" i="2" a="1"/>
  <c r="M107" i="2" s="1"/>
  <c r="L107" i="2" a="1"/>
  <c r="L107" i="2" s="1"/>
  <c r="N107" i="2" a="1"/>
  <c r="N107" i="2" s="1"/>
  <c r="J107" i="2" a="1"/>
  <c r="J107" i="2" s="1"/>
  <c r="K107" i="2" a="1"/>
  <c r="K107" i="2" s="1"/>
  <c r="M99" i="2" a="1"/>
  <c r="M99" i="2" s="1"/>
  <c r="J99" i="2" a="1"/>
  <c r="J99" i="2" s="1"/>
  <c r="N99" i="2" a="1"/>
  <c r="N99" i="2" s="1"/>
  <c r="L99" i="2" a="1"/>
  <c r="L99" i="2" s="1"/>
  <c r="K99" i="2" a="1"/>
  <c r="K99" i="2" s="1"/>
  <c r="M103" i="2" a="1"/>
  <c r="M103" i="2" s="1"/>
  <c r="J103" i="2" a="1"/>
  <c r="J103" i="2" s="1"/>
  <c r="N103" i="2" a="1"/>
  <c r="N103" i="2" s="1"/>
  <c r="L103" i="2" a="1"/>
  <c r="L103" i="2" s="1"/>
  <c r="K103" i="2" a="1"/>
  <c r="K103" i="2" s="1"/>
  <c r="M108" i="2" a="1"/>
  <c r="M108" i="2" s="1"/>
  <c r="J108" i="2" a="1"/>
  <c r="J108" i="2" s="1"/>
  <c r="N108" i="2" a="1"/>
  <c r="N108" i="2" s="1"/>
  <c r="L108" i="2" a="1"/>
  <c r="L108" i="2" s="1"/>
  <c r="K108" i="2" a="1"/>
  <c r="K108" i="2" s="1"/>
  <c r="M106" i="2" a="1"/>
  <c r="M106" i="2" s="1"/>
  <c r="J106" i="2" a="1"/>
  <c r="J106" i="2" s="1"/>
  <c r="K106" i="2" a="1"/>
  <c r="K106" i="2" s="1"/>
  <c r="N106" i="2" a="1"/>
  <c r="N106" i="2" s="1"/>
  <c r="L106" i="2" a="1"/>
  <c r="L106" i="2" s="1"/>
  <c r="M98" i="2" a="1"/>
  <c r="M98" i="2" s="1"/>
  <c r="L98" i="2" a="1"/>
  <c r="L98" i="2" s="1"/>
  <c r="K98" i="2" a="1"/>
  <c r="K98" i="2" s="1"/>
  <c r="J98" i="2" a="1"/>
  <c r="J98" i="2" s="1"/>
  <c r="N98" i="2" a="1"/>
  <c r="N98" i="2" s="1"/>
  <c r="N69" i="2" a="1"/>
  <c r="N69" i="2" s="1"/>
  <c r="N64" i="2" a="1"/>
  <c r="N64" i="2" s="1"/>
  <c r="J64" i="2" a="1"/>
  <c r="J64" i="2" s="1"/>
  <c r="K64" i="2" a="1"/>
  <c r="K64" i="2" s="1"/>
  <c r="L64" i="2" a="1"/>
  <c r="L64" i="2" s="1"/>
  <c r="M64" i="2" a="1"/>
  <c r="M64" i="2" s="1"/>
  <c r="M67" i="2" a="1"/>
  <c r="M67" i="2" s="1"/>
  <c r="N67" i="2" a="1"/>
  <c r="N67" i="2" s="1"/>
  <c r="J67" i="2" a="1"/>
  <c r="J67" i="2" s="1"/>
  <c r="K67" i="2" a="1"/>
  <c r="K67" i="2" s="1"/>
  <c r="L67" i="2" a="1"/>
  <c r="L67" i="2" s="1"/>
  <c r="K69" i="2" a="1"/>
  <c r="K69" i="2" s="1"/>
  <c r="L66" i="2" a="1"/>
  <c r="L66" i="2" s="1"/>
  <c r="N66" i="2" a="1"/>
  <c r="N66" i="2" s="1"/>
  <c r="J66" i="2" a="1"/>
  <c r="J66" i="2" s="1"/>
  <c r="K66" i="2" a="1"/>
  <c r="K66" i="2" s="1"/>
  <c r="M66" i="2" a="1"/>
  <c r="M66" i="2" s="1"/>
  <c r="N61" i="2" a="1"/>
  <c r="N61" i="2" s="1"/>
  <c r="J61" i="2" a="1"/>
  <c r="J61" i="2" s="1"/>
  <c r="K61" i="2" a="1"/>
  <c r="K61" i="2" s="1"/>
  <c r="L61" i="2" a="1"/>
  <c r="L61" i="2" s="1"/>
  <c r="M61" i="2" a="1"/>
  <c r="M61" i="2" s="1"/>
  <c r="N65" i="2" a="1"/>
  <c r="N65" i="2" s="1"/>
  <c r="L65" i="2" a="1"/>
  <c r="L65" i="2" s="1"/>
  <c r="J65" i="2" a="1"/>
  <c r="J65" i="2" s="1"/>
  <c r="K65" i="2" a="1"/>
  <c r="K65" i="2" s="1"/>
  <c r="M65" i="2" a="1"/>
  <c r="M65" i="2" s="1"/>
  <c r="M69" i="2" a="1"/>
  <c r="M69" i="2" s="1"/>
  <c r="D21" i="2"/>
  <c r="C21" i="2"/>
  <c r="G21" i="2"/>
  <c r="F21" i="2"/>
  <c r="E21" i="2"/>
  <c r="M41" i="1"/>
  <c r="I36" i="1" s="1"/>
  <c r="E23" i="1" s="1"/>
  <c r="A14" i="1" s="1"/>
  <c r="E15" i="5" l="1"/>
  <c r="G15" i="5" s="1"/>
  <c r="K35" i="6" a="1"/>
  <c r="K35" i="6" s="1"/>
  <c r="K34" i="6" a="1"/>
  <c r="K34" i="6" s="1"/>
  <c r="K36" i="6" a="1"/>
  <c r="K36" i="6" s="1"/>
  <c r="K37" i="6" a="1"/>
  <c r="K37" i="6" s="1"/>
  <c r="K38" i="6" a="1"/>
  <c r="K38" i="6" s="1"/>
  <c r="K39" i="6" a="1"/>
  <c r="K39" i="6" s="1"/>
  <c r="L34" i="6" a="1"/>
  <c r="L34" i="6" s="1"/>
  <c r="L35" i="6" a="1"/>
  <c r="L35" i="6" s="1"/>
  <c r="L36" i="6" a="1"/>
  <c r="L36" i="6" s="1"/>
  <c r="L37" i="6" a="1"/>
  <c r="L37" i="6" s="1"/>
  <c r="L38" i="6" a="1"/>
  <c r="L38" i="6" s="1"/>
  <c r="L39" i="6" a="1"/>
  <c r="L39" i="6" s="1"/>
  <c r="F36" i="6" a="1"/>
  <c r="F36" i="6" s="1"/>
  <c r="I29" i="6" a="1"/>
  <c r="I29" i="6" s="1"/>
  <c r="L41" i="6" a="1"/>
  <c r="L41" i="6" s="1"/>
  <c r="M29" i="6" a="1"/>
  <c r="M29" i="6" s="1"/>
  <c r="N39" i="6" a="1"/>
  <c r="N39" i="6" s="1"/>
  <c r="J36" i="6" a="1"/>
  <c r="J36" i="6" s="1"/>
  <c r="N41" i="6" a="1"/>
  <c r="N41" i="6" s="1"/>
  <c r="N42" i="6" a="1"/>
  <c r="N42" i="6" s="1"/>
  <c r="N43" i="6" a="1"/>
  <c r="N43" i="6" s="1"/>
  <c r="N44" i="6" a="1"/>
  <c r="N44" i="6" s="1"/>
  <c r="N45" i="6" a="1"/>
  <c r="N45" i="6" s="1"/>
  <c r="N40" i="6" a="1"/>
  <c r="N40" i="6" s="1"/>
  <c r="K33" i="6" a="1"/>
  <c r="K33" i="6" s="1"/>
  <c r="K31" i="6" a="1"/>
  <c r="K31" i="6" s="1"/>
  <c r="K29" i="6" a="1"/>
  <c r="K29" i="6" s="1"/>
  <c r="K32" i="6" a="1"/>
  <c r="K32" i="6" s="1"/>
  <c r="K28" i="6" a="1"/>
  <c r="K28" i="6" s="1"/>
  <c r="K30" i="6" a="1"/>
  <c r="K30" i="6" s="1"/>
  <c r="K41" i="6" a="1"/>
  <c r="K41" i="6" s="1"/>
  <c r="K42" i="6" a="1"/>
  <c r="K42" i="6" s="1"/>
  <c r="K43" i="6" a="1"/>
  <c r="K43" i="6" s="1"/>
  <c r="K44" i="6" a="1"/>
  <c r="K44" i="6" s="1"/>
  <c r="K40" i="6" a="1"/>
  <c r="K40" i="6" s="1"/>
  <c r="K45" i="6" a="1"/>
  <c r="K45" i="6" s="1"/>
  <c r="M33" i="6" a="1"/>
  <c r="M33" i="6" s="1"/>
  <c r="N38" i="6" a="1"/>
  <c r="N38" i="6" s="1"/>
  <c r="J35" i="6" a="1"/>
  <c r="J35" i="6" s="1"/>
  <c r="J29" i="6" a="1"/>
  <c r="J29" i="6" s="1"/>
  <c r="J30" i="6" a="1"/>
  <c r="J30" i="6" s="1"/>
  <c r="J33" i="6" a="1"/>
  <c r="J33" i="6" s="1"/>
  <c r="J31" i="6" a="1"/>
  <c r="J31" i="6" s="1"/>
  <c r="J28" i="6" a="1"/>
  <c r="J28" i="6" s="1"/>
  <c r="J32" i="6" a="1"/>
  <c r="J32" i="6" s="1"/>
  <c r="H41" i="6" a="1"/>
  <c r="H41" i="6" s="1"/>
  <c r="H40" i="6" a="1"/>
  <c r="H40" i="6" s="1"/>
  <c r="H42" i="6" a="1"/>
  <c r="H42" i="6" s="1"/>
  <c r="H43" i="6" a="1"/>
  <c r="H43" i="6" s="1"/>
  <c r="H44" i="6" a="1"/>
  <c r="H44" i="6" s="1"/>
  <c r="H45" i="6" a="1"/>
  <c r="H45" i="6" s="1"/>
  <c r="I45" i="6" a="1"/>
  <c r="I45" i="6" s="1"/>
  <c r="G41" i="6" a="1"/>
  <c r="G41" i="6" s="1"/>
  <c r="G42" i="6" a="1"/>
  <c r="G42" i="6" s="1"/>
  <c r="G40" i="6" a="1"/>
  <c r="G40" i="6" s="1"/>
  <c r="G43" i="6" a="1"/>
  <c r="G43" i="6" s="1"/>
  <c r="G44" i="6" a="1"/>
  <c r="G44" i="6" s="1"/>
  <c r="G45" i="6" a="1"/>
  <c r="G45" i="6" s="1"/>
  <c r="H30" i="6" a="1"/>
  <c r="H30" i="6" s="1"/>
  <c r="H28" i="6" a="1"/>
  <c r="H28" i="6" s="1"/>
  <c r="H31" i="6" a="1"/>
  <c r="H31" i="6" s="1"/>
  <c r="H32" i="6" a="1"/>
  <c r="H32" i="6" s="1"/>
  <c r="H33" i="6" a="1"/>
  <c r="H33" i="6" s="1"/>
  <c r="H29" i="6" a="1"/>
  <c r="H29" i="6" s="1"/>
  <c r="G32" i="6" a="1"/>
  <c r="G32" i="6" s="1"/>
  <c r="G33" i="6" a="1"/>
  <c r="G33" i="6" s="1"/>
  <c r="G28" i="6" a="1"/>
  <c r="G28" i="6" s="1"/>
  <c r="G30" i="6" a="1"/>
  <c r="G30" i="6" s="1"/>
  <c r="G29" i="6" a="1"/>
  <c r="G29" i="6" s="1"/>
  <c r="G31" i="6" a="1"/>
  <c r="G31" i="6" s="1"/>
  <c r="L33" i="6" a="1"/>
  <c r="L33" i="6" s="1"/>
  <c r="L31" i="6" a="1"/>
  <c r="L31" i="6" s="1"/>
  <c r="L32" i="6" a="1"/>
  <c r="L32" i="6" s="1"/>
  <c r="L29" i="6" a="1"/>
  <c r="L29" i="6" s="1"/>
  <c r="L28" i="6" a="1"/>
  <c r="L28" i="6" s="1"/>
  <c r="L30" i="6" a="1"/>
  <c r="L30" i="6" s="1"/>
  <c r="I32" i="6" a="1"/>
  <c r="I32" i="6" s="1"/>
  <c r="L45" i="6" a="1"/>
  <c r="L45" i="6" s="1"/>
  <c r="M28" i="6" a="1"/>
  <c r="M28" i="6" s="1"/>
  <c r="N36" i="6" a="1"/>
  <c r="N36" i="6" s="1"/>
  <c r="I44" i="6" a="1"/>
  <c r="I44" i="6" s="1"/>
  <c r="G35" i="6" a="1"/>
  <c r="G35" i="6" s="1"/>
  <c r="G36" i="6" a="1"/>
  <c r="G36" i="6" s="1"/>
  <c r="G34" i="6" a="1"/>
  <c r="G34" i="6" s="1"/>
  <c r="G37" i="6" a="1"/>
  <c r="G37" i="6" s="1"/>
  <c r="G38" i="6" a="1"/>
  <c r="G38" i="6" s="1"/>
  <c r="G39" i="6" a="1"/>
  <c r="G39" i="6" s="1"/>
  <c r="O40" i="6" a="1"/>
  <c r="O40" i="6" s="1"/>
  <c r="O44" i="6" a="1"/>
  <c r="O44" i="6" s="1"/>
  <c r="O45" i="6" a="1"/>
  <c r="O45" i="6" s="1"/>
  <c r="O41" i="6" a="1"/>
  <c r="O41" i="6" s="1"/>
  <c r="O42" i="6" a="1"/>
  <c r="O42" i="6" s="1"/>
  <c r="O43" i="6" a="1"/>
  <c r="O43" i="6" s="1"/>
  <c r="H38" i="6" a="1"/>
  <c r="H38" i="6" s="1"/>
  <c r="H39" i="6" a="1"/>
  <c r="H39" i="6" s="1"/>
  <c r="H35" i="6" a="1"/>
  <c r="H35" i="6" s="1"/>
  <c r="H36" i="6" a="1"/>
  <c r="H36" i="6" s="1"/>
  <c r="H34" i="6" a="1"/>
  <c r="H34" i="6" s="1"/>
  <c r="H37" i="6" a="1"/>
  <c r="H37" i="6" s="1"/>
  <c r="F39" i="6" a="1"/>
  <c r="F39" i="6" s="1"/>
  <c r="I31" i="6" a="1"/>
  <c r="I31" i="6" s="1"/>
  <c r="L44" i="6" a="1"/>
  <c r="L44" i="6" s="1"/>
  <c r="M31" i="6" a="1"/>
  <c r="M31" i="6" s="1"/>
  <c r="J39" i="6" a="1"/>
  <c r="J39" i="6" s="1"/>
  <c r="I43" i="6" a="1"/>
  <c r="I43" i="6" s="1"/>
  <c r="M39" i="6" a="1"/>
  <c r="M39" i="6" s="1"/>
  <c r="M34" i="6" a="1"/>
  <c r="M34" i="6" s="1"/>
  <c r="M38" i="6" a="1"/>
  <c r="M38" i="6" s="1"/>
  <c r="M35" i="6" a="1"/>
  <c r="M35" i="6" s="1"/>
  <c r="M36" i="6" a="1"/>
  <c r="M36" i="6" s="1"/>
  <c r="M37" i="6" a="1"/>
  <c r="M37" i="6" s="1"/>
  <c r="F34" i="6" a="1"/>
  <c r="F34" i="6" s="1"/>
  <c r="I33" i="6" a="1"/>
  <c r="I33" i="6" s="1"/>
  <c r="L40" i="6" a="1"/>
  <c r="L40" i="6" s="1"/>
  <c r="J34" i="6" a="1"/>
  <c r="J34" i="6" s="1"/>
  <c r="I40" i="6" a="1"/>
  <c r="I40" i="6" s="1"/>
  <c r="F41" i="6" a="1"/>
  <c r="F41" i="6" s="1"/>
  <c r="F40" i="6" a="1"/>
  <c r="F40" i="6" s="1"/>
  <c r="F42" i="6" a="1"/>
  <c r="F42" i="6" s="1"/>
  <c r="F43" i="6" a="1"/>
  <c r="F43" i="6" s="1"/>
  <c r="F44" i="6" a="1"/>
  <c r="F44" i="6" s="1"/>
  <c r="F45" i="6" a="1"/>
  <c r="F45" i="6" s="1"/>
  <c r="F32" i="6" a="1"/>
  <c r="F32" i="6" s="1"/>
  <c r="F28" i="6" a="1"/>
  <c r="F28" i="6" s="1"/>
  <c r="F29" i="6" a="1"/>
  <c r="F29" i="6" s="1"/>
  <c r="F31" i="6" a="1"/>
  <c r="F31" i="6" s="1"/>
  <c r="F33" i="6" a="1"/>
  <c r="F33" i="6" s="1"/>
  <c r="F30" i="6" a="1"/>
  <c r="F30" i="6" s="1"/>
  <c r="N29" i="6" a="1"/>
  <c r="N29" i="6" s="1"/>
  <c r="N30" i="6" a="1"/>
  <c r="N30" i="6" s="1"/>
  <c r="N31" i="6" a="1"/>
  <c r="N31" i="6" s="1"/>
  <c r="N28" i="6" a="1"/>
  <c r="N28" i="6" s="1"/>
  <c r="N32" i="6" a="1"/>
  <c r="N32" i="6" s="1"/>
  <c r="N33" i="6" a="1"/>
  <c r="N33" i="6" s="1"/>
  <c r="I28" i="6" a="1"/>
  <c r="I28" i="6" s="1"/>
  <c r="L43" i="6" a="1"/>
  <c r="L43" i="6" s="1"/>
  <c r="N34" i="6" a="1"/>
  <c r="N34" i="6" s="1"/>
  <c r="J38" i="6" a="1"/>
  <c r="J38" i="6" s="1"/>
  <c r="I42" i="6" a="1"/>
  <c r="I42" i="6" s="1"/>
  <c r="O35" i="6" a="1"/>
  <c r="O35" i="6" s="1"/>
  <c r="O36" i="6" a="1"/>
  <c r="O36" i="6" s="1"/>
  <c r="O37" i="6" a="1"/>
  <c r="O37" i="6" s="1"/>
  <c r="O38" i="6" a="1"/>
  <c r="O38" i="6" s="1"/>
  <c r="O39" i="6" a="1"/>
  <c r="O39" i="6" s="1"/>
  <c r="O34" i="6" a="1"/>
  <c r="O34" i="6" s="1"/>
  <c r="J44" i="6" a="1"/>
  <c r="J44" i="6" s="1"/>
  <c r="J45" i="6" a="1"/>
  <c r="J45" i="6" s="1"/>
  <c r="J40" i="6" a="1"/>
  <c r="J40" i="6" s="1"/>
  <c r="J42" i="6" a="1"/>
  <c r="J42" i="6" s="1"/>
  <c r="J43" i="6" a="1"/>
  <c r="J43" i="6" s="1"/>
  <c r="J41" i="6" a="1"/>
  <c r="J41" i="6" s="1"/>
  <c r="I35" i="6" a="1"/>
  <c r="I35" i="6" s="1"/>
  <c r="I36" i="6" a="1"/>
  <c r="I36" i="6" s="1"/>
  <c r="I37" i="6" a="1"/>
  <c r="I37" i="6" s="1"/>
  <c r="I38" i="6" a="1"/>
  <c r="I38" i="6" s="1"/>
  <c r="I39" i="6" a="1"/>
  <c r="I39" i="6" s="1"/>
  <c r="I34" i="6" a="1"/>
  <c r="I3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<sst xmlns="http://schemas.openxmlformats.org/spreadsheetml/2006/main" count="314" uniqueCount="153">
  <si>
    <t>ID</t>
  </si>
  <si>
    <t>PARENT</t>
  </si>
  <si>
    <t>TYPE</t>
  </si>
  <si>
    <t>ROW</t>
  </si>
  <si>
    <t>COL</t>
  </si>
  <si>
    <t>LABEL</t>
  </si>
  <si>
    <t>VALUE</t>
  </si>
  <si>
    <t>PROP</t>
  </si>
  <si>
    <t>T</t>
  </si>
  <si>
    <t>D</t>
  </si>
  <si>
    <t>Event 3</t>
  </si>
  <si>
    <t>E</t>
  </si>
  <si>
    <t>accept settlement</t>
  </si>
  <si>
    <t>plaintiff accepts</t>
  </si>
  <si>
    <t>plaintiff rejects</t>
  </si>
  <si>
    <t>counter-offer $400K</t>
  </si>
  <si>
    <t>plaintiff counter-offers $600K</t>
  </si>
  <si>
    <t>reject and go to trial</t>
  </si>
  <si>
    <t>no damages</t>
  </si>
  <si>
    <t>$750K damages</t>
  </si>
  <si>
    <t>$1.5M damages</t>
  </si>
  <si>
    <t>Cost ($/1000)</t>
  </si>
  <si>
    <t>min</t>
  </si>
  <si>
    <t>TASK 1</t>
  </si>
  <si>
    <t>TASK 2</t>
  </si>
  <si>
    <t>Closeness to Customers</t>
  </si>
  <si>
    <t>Size of Site</t>
  </si>
  <si>
    <t>Visibility</t>
  </si>
  <si>
    <t>Working Environment</t>
  </si>
  <si>
    <t>Attribute Weights</t>
  </si>
  <si>
    <t>Benefit Values</t>
  </si>
  <si>
    <t>Queanbeyan</t>
  </si>
  <si>
    <t>Bungendore Dr</t>
  </si>
  <si>
    <t>Isabella St</t>
  </si>
  <si>
    <t>Jerabomberra</t>
  </si>
  <si>
    <t>Karabar</t>
  </si>
  <si>
    <t>Raw</t>
  </si>
  <si>
    <t>Normalised</t>
  </si>
  <si>
    <t>Aggregate Benefit</t>
  </si>
  <si>
    <t>Costs</t>
  </si>
  <si>
    <t>Bungendore Drive</t>
  </si>
  <si>
    <t>Isabella Street</t>
  </si>
  <si>
    <t>Rates ($)</t>
  </si>
  <si>
    <t>Power ($)</t>
  </si>
  <si>
    <t>Efficient Frontier</t>
  </si>
  <si>
    <t>SMART Analysis</t>
  </si>
  <si>
    <t>Total ($)</t>
  </si>
  <si>
    <t>Closeness</t>
  </si>
  <si>
    <t>Size</t>
  </si>
  <si>
    <t>Raw Weight</t>
  </si>
  <si>
    <t>Maint ($)</t>
  </si>
  <si>
    <t>Work Env</t>
  </si>
  <si>
    <t>New Normalised Weights</t>
  </si>
  <si>
    <t>New Benefit Values</t>
  </si>
  <si>
    <t>Que.</t>
  </si>
  <si>
    <t>Bun.</t>
  </si>
  <si>
    <t>Isa.</t>
  </si>
  <si>
    <t>Jer.</t>
  </si>
  <si>
    <t>Kar.</t>
  </si>
  <si>
    <t>New Raw Sum</t>
  </si>
  <si>
    <t>Sensitivity Analyses</t>
  </si>
  <si>
    <t>1: Size of Site</t>
  </si>
  <si>
    <t>3: Closeness</t>
  </si>
  <si>
    <t>Car Parking</t>
  </si>
  <si>
    <t xml:space="preserve"> </t>
  </si>
  <si>
    <t xml:space="preserve">  </t>
  </si>
  <si>
    <t>2: Car Parking</t>
  </si>
  <si>
    <t>Car Parking Facilities</t>
  </si>
  <si>
    <t>TASK 3 - Data on Shortlisted Locations</t>
  </si>
  <si>
    <t>Locations</t>
  </si>
  <si>
    <t>Node ID</t>
  </si>
  <si>
    <t>Latitude</t>
  </si>
  <si>
    <t>Longitude</t>
  </si>
  <si>
    <t>Address</t>
  </si>
  <si>
    <t>Suburb</t>
  </si>
  <si>
    <t>A</t>
  </si>
  <si>
    <t>cnr Lygon St, Princes St</t>
  </si>
  <si>
    <t>Carlton Nth</t>
  </si>
  <si>
    <t>B</t>
  </si>
  <si>
    <t>cnr Springvale Rd, Police Rd, Princes Hwy</t>
  </si>
  <si>
    <t>Springvale</t>
  </si>
  <si>
    <t>C</t>
  </si>
  <si>
    <t>cnr Wellington Rd, Berwick Rd</t>
  </si>
  <si>
    <t>Belgrave Sth</t>
  </si>
  <si>
    <t>cnr Boundary Rd, Derrimut Rd</t>
  </si>
  <si>
    <t>Derrimut</t>
  </si>
  <si>
    <t>cnr Canning St, Richardson St</t>
  </si>
  <si>
    <t>F</t>
  </si>
  <si>
    <t>cnr Nepean Hwy, Warrigal Rd</t>
  </si>
  <si>
    <t>Mentone</t>
  </si>
  <si>
    <t>Accidents</t>
  </si>
  <si>
    <t>Proximity to Vulnerable Populations</t>
  </si>
  <si>
    <t>Total</t>
  </si>
  <si>
    <t>Fatal</t>
  </si>
  <si>
    <t>Serious</t>
  </si>
  <si>
    <t>Other</t>
  </si>
  <si>
    <t>School</t>
  </si>
  <si>
    <t>Hospital</t>
  </si>
  <si>
    <t>Aged Care</t>
  </si>
  <si>
    <t>Peak-Hour Congestion</t>
  </si>
  <si>
    <t>Local Population</t>
  </si>
  <si>
    <t>Congestion Factor</t>
  </si>
  <si>
    <t>LGA</t>
  </si>
  <si>
    <t>Population</t>
  </si>
  <si>
    <t>borders Yarra and Melbourne</t>
  </si>
  <si>
    <t>borders Monash and Greater Dandenong</t>
  </si>
  <si>
    <t>Yarra Ranges</t>
  </si>
  <si>
    <t>borders Wyndham and Melton</t>
  </si>
  <si>
    <t>Yarra</t>
  </si>
  <si>
    <t>Kingston</t>
  </si>
  <si>
    <t>Serious Accidents</t>
  </si>
  <si>
    <t>Other Accidents</t>
  </si>
  <si>
    <t>Congestion</t>
  </si>
  <si>
    <t>Proximity</t>
  </si>
  <si>
    <t>Cong.</t>
  </si>
  <si>
    <t>Prox.</t>
  </si>
  <si>
    <t>Pop.</t>
  </si>
  <si>
    <t>Proximity Weights</t>
  </si>
  <si>
    <t>Value</t>
  </si>
  <si>
    <t>Proximity To Vulnerable Populations</t>
  </si>
  <si>
    <t>All Attributes</t>
  </si>
  <si>
    <t>Weighted Sum</t>
  </si>
  <si>
    <t>Population (1000s)</t>
  </si>
  <si>
    <t>Task 3 - Analysis</t>
  </si>
  <si>
    <t>TASK 3 - Value Functions and Weights</t>
  </si>
  <si>
    <t>Value Functions</t>
  </si>
  <si>
    <t>Weights</t>
  </si>
  <si>
    <t>Norm. Weight</t>
  </si>
  <si>
    <t>Sum of Weights</t>
  </si>
  <si>
    <t>Bottom-Level Attributes</t>
  </si>
  <si>
    <t>Top-Level Attributes</t>
  </si>
  <si>
    <t>Danger</t>
  </si>
  <si>
    <t>Benefaction</t>
  </si>
  <si>
    <t>Weight</t>
  </si>
  <si>
    <t>Evaluate performance of alternatives</t>
  </si>
  <si>
    <t>Decision</t>
  </si>
  <si>
    <t>Sensitivity Analysis</t>
  </si>
  <si>
    <t>Location with most exigency:</t>
  </si>
  <si>
    <t>serious</t>
  </si>
  <si>
    <t>other</t>
  </si>
  <si>
    <t>cong.</t>
  </si>
  <si>
    <t>prox.</t>
  </si>
  <si>
    <t>pop.</t>
  </si>
  <si>
    <t>serious accidents</t>
  </si>
  <si>
    <t>congestion</t>
  </si>
  <si>
    <t>population</t>
  </si>
  <si>
    <t>new norm. weights</t>
  </si>
  <si>
    <t>new raw weights</t>
  </si>
  <si>
    <t>new raw sum</t>
  </si>
  <si>
    <t>Task 3 - Calculations for Sensitivity Analysis</t>
  </si>
  <si>
    <t>Recomputed Benefit Values</t>
  </si>
  <si>
    <t>Recomputed Weights</t>
  </si>
  <si>
    <t>new weighted sums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</si>
</sst>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_ ;\-0\ "/>
    <numFmt numFmtId="166" formatCode="0.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4"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/>
      <right style="thin">
        <color rgb="FF7F7F7F"/>
      </right>
      <top/>
      <bottom/>
      <diagonal/>
    </border>
    <border>
      <left/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 style="thin">
        <color rgb="FF7F7F7F"/>
      </left>
      <right/>
      <top/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7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3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center"/>
    </xf>
    <xf numFmtId="12" fontId="0" fillId="0" borderId="0" xfId="0" applyNumberFormat="1" applyAlignment="1">
      <alignment horizontal="center"/>
    </xf>
    <xf numFmtId="0" fontId="3" fillId="0" borderId="0" xfId="0" applyFont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5" xfId="0" applyFont="1" applyBorder="1"/>
    <xf numFmtId="0" fontId="0" fillId="0" borderId="15" xfId="0" applyBorder="1"/>
    <xf numFmtId="166" fontId="0" fillId="0" borderId="16" xfId="0" applyNumberFormat="1" applyBorder="1"/>
    <xf numFmtId="166" fontId="0" fillId="0" borderId="17" xfId="0" applyNumberFormat="1" applyBorder="1"/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17" xfId="0" applyBorder="1"/>
    <xf numFmtId="0" fontId="1" fillId="0" borderId="21" xfId="0" applyFont="1" applyBorder="1"/>
    <xf numFmtId="0" fontId="0" fillId="0" borderId="21" xfId="0" applyBorder="1"/>
    <xf numFmtId="166" fontId="0" fillId="0" borderId="22" xfId="0" applyNumberFormat="1" applyBorder="1"/>
    <xf numFmtId="166" fontId="0" fillId="0" borderId="23" xfId="0" applyNumberFormat="1" applyBorder="1"/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23" xfId="0" applyBorder="1"/>
    <xf numFmtId="0" fontId="1" fillId="0" borderId="26" xfId="0" applyFont="1" applyBorder="1"/>
    <xf numFmtId="0" fontId="0" fillId="0" borderId="26" xfId="0" applyBorder="1"/>
    <xf numFmtId="166" fontId="0" fillId="0" borderId="27" xfId="0" applyNumberFormat="1" applyBorder="1"/>
    <xf numFmtId="166" fontId="0" fillId="0" borderId="28" xfId="0" applyNumberFormat="1" applyBorder="1"/>
    <xf numFmtId="0" fontId="0" fillId="0" borderId="29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31" xfId="0" applyBorder="1" applyAlignment="1">
      <alignment horizontal="left"/>
    </xf>
    <xf numFmtId="0" fontId="0" fillId="0" borderId="28" xfId="0" applyBorder="1"/>
    <xf numFmtId="0" fontId="1" fillId="0" borderId="32" xfId="0" applyFont="1" applyBorder="1" applyAlignment="1">
      <alignment horizontal="center"/>
    </xf>
    <xf numFmtId="0" fontId="0" fillId="0" borderId="33" xfId="0" applyBorder="1"/>
    <xf numFmtId="0" fontId="0" fillId="0" borderId="22" xfId="0" applyBorder="1"/>
    <xf numFmtId="0" fontId="0" fillId="0" borderId="30" xfId="0" applyBorder="1"/>
    <xf numFmtId="0" fontId="0" fillId="0" borderId="34" xfId="0" applyBorder="1"/>
    <xf numFmtId="0" fontId="0" fillId="0" borderId="27" xfId="0" applyBorder="1"/>
    <xf numFmtId="164" fontId="0" fillId="0" borderId="23" xfId="0" applyNumberFormat="1" applyBorder="1"/>
    <xf numFmtId="164" fontId="0" fillId="0" borderId="28" xfId="0" applyNumberFormat="1" applyBorder="1"/>
    <xf numFmtId="0" fontId="1" fillId="0" borderId="36" xfId="0" applyFont="1" applyBorder="1" applyAlignment="1">
      <alignment horizontal="center"/>
    </xf>
    <xf numFmtId="0" fontId="0" fillId="0" borderId="37" xfId="0" applyBorder="1"/>
    <xf numFmtId="0" fontId="0" fillId="0" borderId="38" xfId="0" applyBorder="1"/>
    <xf numFmtId="164" fontId="0" fillId="0" borderId="21" xfId="0" applyNumberFormat="1" applyBorder="1"/>
    <xf numFmtId="164" fontId="0" fillId="0" borderId="26" xfId="0" applyNumberFormat="1" applyBorder="1"/>
    <xf numFmtId="1" fontId="0" fillId="0" borderId="17" xfId="0" applyNumberFormat="1" applyBorder="1"/>
    <xf numFmtId="1" fontId="0" fillId="0" borderId="23" xfId="0" applyNumberFormat="1" applyBorder="1"/>
    <xf numFmtId="1" fontId="0" fillId="0" borderId="28" xfId="0" applyNumberFormat="1" applyBorder="1"/>
    <xf numFmtId="0" fontId="0" fillId="0" borderId="18" xfId="0" applyBorder="1"/>
    <xf numFmtId="0" fontId="0" fillId="0" borderId="19" xfId="0" applyBorder="1"/>
    <xf numFmtId="0" fontId="0" fillId="0" borderId="24" xfId="0" applyBorder="1"/>
    <xf numFmtId="0" fontId="0" fillId="0" borderId="29" xfId="0" applyBorder="1"/>
    <xf numFmtId="0" fontId="0" fillId="0" borderId="12" xfId="0" applyBorder="1"/>
    <xf numFmtId="0" fontId="0" fillId="0" borderId="13" xfId="0" applyBorder="1"/>
    <xf numFmtId="1" fontId="0" fillId="0" borderId="11" xfId="0" applyNumberFormat="1" applyBorder="1"/>
    <xf numFmtId="0" fontId="0" fillId="0" borderId="16" xfId="0" applyBorder="1"/>
    <xf numFmtId="0" fontId="0" fillId="0" borderId="10" xfId="0" applyBorder="1"/>
    <xf numFmtId="0" fontId="0" fillId="0" borderId="25" xfId="0" applyBorder="1"/>
    <xf numFmtId="1" fontId="0" fillId="0" borderId="25" xfId="0" applyNumberFormat="1" applyBorder="1"/>
    <xf numFmtId="1" fontId="0" fillId="0" borderId="30" xfId="0" applyNumberFormat="1" applyBorder="1"/>
    <xf numFmtId="0" fontId="0" fillId="0" borderId="40" xfId="0" applyBorder="1"/>
    <xf numFmtId="0" fontId="0" fillId="0" borderId="41" xfId="0" applyBorder="1"/>
    <xf numFmtId="1" fontId="0" fillId="0" borderId="44" xfId="0" applyNumberFormat="1" applyBorder="1"/>
    <xf numFmtId="1" fontId="0" fillId="0" borderId="45" xfId="0" applyNumberFormat="1" applyBorder="1"/>
    <xf numFmtId="1" fontId="0" fillId="0" borderId="46" xfId="0" applyNumberFormat="1" applyBorder="1"/>
    <xf numFmtId="0" fontId="0" fillId="0" borderId="47" xfId="0" applyBorder="1"/>
    <xf numFmtId="1" fontId="0" fillId="0" borderId="43" xfId="0" applyNumberFormat="1" applyBorder="1"/>
    <xf numFmtId="1" fontId="0" fillId="0" borderId="33" xfId="0" applyNumberFormat="1" applyBorder="1"/>
    <xf numFmtId="1" fontId="0" fillId="0" borderId="34" xfId="0" applyNumberFormat="1" applyBorder="1"/>
    <xf numFmtId="0" fontId="0" fillId="0" borderId="48" xfId="0" applyBorder="1"/>
    <xf numFmtId="1" fontId="0" fillId="0" borderId="22" xfId="0" applyNumberFormat="1" applyBorder="1"/>
    <xf numFmtId="1" fontId="0" fillId="0" borderId="27" xfId="0" applyNumberFormat="1" applyBorder="1"/>
    <xf numFmtId="0" fontId="0" fillId="0" borderId="49" xfId="0" applyBorder="1"/>
    <xf numFmtId="1" fontId="0" fillId="0" borderId="50" xfId="0" applyNumberFormat="1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0" borderId="42" xfId="0" applyBorder="1"/>
    <xf numFmtId="164" fontId="0" fillId="0" borderId="17" xfId="0" applyNumberFormat="1" applyBorder="1"/>
    <xf numFmtId="164" fontId="0" fillId="0" borderId="20" xfId="0" applyNumberFormat="1" applyBorder="1"/>
    <xf numFmtId="164" fontId="0" fillId="0" borderId="25" xfId="0" applyNumberFormat="1" applyBorder="1"/>
    <xf numFmtId="164" fontId="0" fillId="0" borderId="31" xfId="0" applyNumberFormat="1" applyBorder="1"/>
    <xf numFmtId="0" fontId="0" fillId="0" borderId="31" xfId="0" applyBorder="1"/>
    <xf numFmtId="0" fontId="1" fillId="0" borderId="12" xfId="0" applyFont="1" applyBorder="1" applyAlignment="1">
      <alignment horizontal="left"/>
    </xf>
    <xf numFmtId="0" fontId="0" fillId="0" borderId="11" xfId="0" applyBorder="1"/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1" xfId="0" applyBorder="1" applyAlignment="1">
      <alignment horizontal="left"/>
    </xf>
    <xf numFmtId="12" fontId="0" fillId="0" borderId="21" xfId="0" applyNumberFormat="1" applyBorder="1" applyAlignment="1">
      <alignment horizontal="left"/>
    </xf>
    <xf numFmtId="0" fontId="0" fillId="0" borderId="26" xfId="0" applyBorder="1" applyAlignment="1">
      <alignment horizontal="left"/>
    </xf>
    <xf numFmtId="0" fontId="1" fillId="0" borderId="9" xfId="0" applyFont="1" applyBorder="1"/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0" xfId="0" applyBorder="1"/>
    <xf numFmtId="0" fontId="1" fillId="0" borderId="12" xfId="0" applyFont="1" applyBorder="1"/>
    <xf numFmtId="164" fontId="0" fillId="0" borderId="11" xfId="0" applyNumberFormat="1" applyBorder="1"/>
    <xf numFmtId="165" fontId="0" fillId="0" borderId="0" xfId="1" applyNumberFormat="1" applyFont="1" applyBorder="1"/>
    <xf numFmtId="165" fontId="0" fillId="0" borderId="30" xfId="1" applyNumberFormat="1" applyFont="1" applyBorder="1"/>
    <xf numFmtId="165" fontId="0" fillId="0" borderId="19" xfId="1" applyNumberFormat="1" applyFont="1" applyBorder="1"/>
    <xf numFmtId="0" fontId="1" fillId="0" borderId="15" xfId="0" applyFont="1" applyBorder="1" applyAlignment="1">
      <alignment horizontal="center"/>
    </xf>
    <xf numFmtId="165" fontId="0" fillId="0" borderId="15" xfId="0" applyNumberFormat="1" applyBorder="1"/>
    <xf numFmtId="165" fontId="0" fillId="0" borderId="21" xfId="0" applyNumberFormat="1" applyBorder="1"/>
    <xf numFmtId="165" fontId="0" fillId="0" borderId="26" xfId="0" applyNumberFormat="1" applyBorder="1"/>
    <xf numFmtId="164" fontId="0" fillId="0" borderId="10" xfId="0" applyNumberFormat="1" applyBorder="1"/>
    <xf numFmtId="164" fontId="0" fillId="0" borderId="14" xfId="0" applyNumberFormat="1" applyBorder="1"/>
    <xf numFmtId="165" fontId="0" fillId="0" borderId="16" xfId="1" applyNumberFormat="1" applyFont="1" applyBorder="1"/>
    <xf numFmtId="165" fontId="0" fillId="0" borderId="22" xfId="1" applyNumberFormat="1" applyFont="1" applyBorder="1"/>
    <xf numFmtId="165" fontId="0" fillId="0" borderId="27" xfId="1" applyNumberFormat="1" applyFont="1" applyBorder="1"/>
    <xf numFmtId="165" fontId="0" fillId="0" borderId="20" xfId="1" applyNumberFormat="1" applyFont="1" applyBorder="1"/>
    <xf numFmtId="165" fontId="0" fillId="0" borderId="25" xfId="1" applyNumberFormat="1" applyFont="1" applyBorder="1"/>
    <xf numFmtId="165" fontId="0" fillId="0" borderId="31" xfId="1" applyNumberFormat="1" applyFont="1" applyBorder="1"/>
    <xf numFmtId="0" fontId="0" fillId="0" borderId="28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52" xfId="0" applyBorder="1" applyAlignment="1">
      <alignment horizontal="center"/>
    </xf>
    <xf numFmtId="1" fontId="0" fillId="0" borderId="31" xfId="0" applyNumberFormat="1" applyBorder="1"/>
    <xf numFmtId="164" fontId="0" fillId="0" borderId="22" xfId="0" applyNumberFormat="1" applyBorder="1"/>
    <xf numFmtId="164" fontId="0" fillId="0" borderId="27" xfId="0" applyNumberFormat="1" applyBorder="1"/>
    <xf numFmtId="0" fontId="0" fillId="0" borderId="1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2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5" xfId="0" applyBorder="1" applyAlignment="1">
      <alignment horizontal="left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1" fillId="0" borderId="1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0" fillId="0" borderId="29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31" xfId="0" applyBorder="1" applyAlignment="1">
      <alignment horizontal="left"/>
    </xf>
    <xf numFmtId="18" fontId="1" fillId="0" borderId="16" xfId="0" applyNumberFormat="1" applyFont="1" applyBorder="1" applyAlignment="1">
      <alignment horizontal="center" vertical="center"/>
    </xf>
    <xf numFmtId="18" fontId="1" fillId="0" borderId="27" xfId="0" applyNumberFormat="1" applyFont="1" applyBorder="1" applyAlignment="1">
      <alignment horizontal="center" vertical="center"/>
    </xf>
    <xf numFmtId="18" fontId="1" fillId="0" borderId="35" xfId="0" applyNumberFormat="1" applyFont="1" applyBorder="1" applyAlignment="1">
      <alignment horizontal="center" vertical="center"/>
    </xf>
    <xf numFmtId="18" fontId="1" fillId="0" borderId="34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 wrapText="1"/>
    </xf>
    <xf numFmtId="0" fontId="1" fillId="0" borderId="27" xfId="0" applyFont="1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31" xfId="0" applyBorder="1" applyAlignment="1">
      <alignment horizontal="left" vertical="center" wrapText="1"/>
    </xf>
    <xf numFmtId="0" fontId="0" fillId="0" borderId="43" xfId="0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40" xfId="0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AU"/>
              <a:t>Benefit Value vs Total Cost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492441609355793"/>
          <c:y val="0.12623029017599696"/>
          <c:w val="0.83849330542542944"/>
          <c:h val="0.72993111575361158"/>
        </c:manualLayout>
      </c:layout>
      <c:scatterChart>
        <c:scatterStyle val="lineMarker"/>
        <c:varyColors val="0"/>
        <c:ser>
          <c:idx val="0"/>
          <c:order val="0"/>
          <c:tx>
            <c:v>all benefits and costs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78CC19C4-BBDB-41FB-A742-CD2702BC4AE0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705-4A3C-8F03-CF4AF037059A}"/>
                </c:ext>
              </c:extLst>
            </c:dLbl>
            <c:dLbl>
              <c:idx val="1"/>
              <c:layout>
                <c:manualLayout>
                  <c:x val="-1.6933110633898102E-2"/>
                  <c:y val="-3.8796766528444299E-2"/>
                </c:manualLayout>
              </c:layout>
              <c:tx>
                <c:rich>
                  <a:bodyPr/>
                  <a:lstStyle/>
                  <a:p>
                    <a:fld id="{50A63FBE-F169-47AE-82B5-AAFB5428543F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705-4A3C-8F03-CF4AF037059A}"/>
                </c:ext>
              </c:extLst>
            </c:dLbl>
            <c:dLbl>
              <c:idx val="2"/>
              <c:layout>
                <c:manualLayout>
                  <c:x val="-0.10569503192266257"/>
                  <c:y val="-3.249615617574441E-2"/>
                </c:manualLayout>
              </c:layout>
              <c:tx>
                <c:rich>
                  <a:bodyPr/>
                  <a:lstStyle/>
                  <a:p>
                    <a:fld id="{36DB4AC7-82CA-44DE-A53A-F619DA8AC527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705-4A3C-8F03-CF4AF037059A}"/>
                </c:ext>
              </c:extLst>
            </c:dLbl>
            <c:dLbl>
              <c:idx val="3"/>
              <c:layout>
                <c:manualLayout>
                  <c:x val="-0.10167660860574246"/>
                  <c:y val="2.7552066346736244E-2"/>
                </c:manualLayout>
              </c:layout>
              <c:tx>
                <c:rich>
                  <a:bodyPr/>
                  <a:lstStyle/>
                  <a:p>
                    <a:fld id="{DBF320CD-5B32-4918-93F9-525897AE86CF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E705-4A3C-8F03-CF4AF037059A}"/>
                </c:ext>
              </c:extLst>
            </c:dLbl>
            <c:dLbl>
              <c:idx val="4"/>
              <c:layout>
                <c:manualLayout>
                  <c:x val="-2.0725508484993094E-2"/>
                  <c:y val="-3.7721893491124259E-2"/>
                </c:manualLayout>
              </c:layout>
              <c:tx>
                <c:rich>
                  <a:bodyPr/>
                  <a:lstStyle/>
                  <a:p>
                    <a:fld id="{1C204F2B-5C2A-4174-B2EF-99C4D31A8CB7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E705-4A3C-8F03-CF4AF037059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>
                      <a:softEdge rad="0"/>
                    </a:effectLst>
                  </c:spPr>
                </c15:leaderLines>
              </c:ext>
            </c:extLst>
          </c:dLbls>
          <c:xVal>
            <c:numRef>
              <c:f>Task2!$F$26:$F$30</c:f>
              <c:numCache>
                <c:formatCode>0_ ;\-0\ </c:formatCode>
                <c:ptCount val="5"/>
                <c:pt idx="0">
                  <c:v>180000</c:v>
                </c:pt>
                <c:pt idx="1">
                  <c:v>140000</c:v>
                </c:pt>
                <c:pt idx="2">
                  <c:v>125000</c:v>
                </c:pt>
                <c:pt idx="3">
                  <c:v>130000</c:v>
                </c:pt>
                <c:pt idx="4">
                  <c:v>165000</c:v>
                </c:pt>
              </c:numCache>
            </c:numRef>
          </c:xVal>
          <c:yVal>
            <c:numRef>
              <c:f>Task2!$C$21:$G$21</c:f>
              <c:numCache>
                <c:formatCode>0.0</c:formatCode>
                <c:ptCount val="5"/>
                <c:pt idx="0">
                  <c:v>55.483870967741943</c:v>
                </c:pt>
                <c:pt idx="1">
                  <c:v>57.41935483870968</c:v>
                </c:pt>
                <c:pt idx="2">
                  <c:v>58.387096774193544</c:v>
                </c:pt>
                <c:pt idx="3">
                  <c:v>56.451612903225808</c:v>
                </c:pt>
                <c:pt idx="4">
                  <c:v>89.354838709677423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Task2!$C$15:$G$15</c15:f>
                <c15:dlblRangeCache>
                  <c:ptCount val="5"/>
                  <c:pt idx="0">
                    <c:v>Queanbeyan</c:v>
                  </c:pt>
                  <c:pt idx="1">
                    <c:v>Bungendore Dr</c:v>
                  </c:pt>
                  <c:pt idx="2">
                    <c:v>Isabella St</c:v>
                  </c:pt>
                  <c:pt idx="3">
                    <c:v>Jerabomberra</c:v>
                  </c:pt>
                  <c:pt idx="4">
                    <c:v>Karabar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5-E705-4A3C-8F03-CF4AF037059A}"/>
            </c:ext>
          </c:extLst>
        </c:ser>
        <c:ser>
          <c:idx val="1"/>
          <c:order val="1"/>
          <c:tx>
            <c:v>efficient frontier</c:v>
          </c:tx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(Task2!$F$28,Task2!$F$30)</c:f>
              <c:numCache>
                <c:formatCode>0_ ;\-0\ </c:formatCode>
                <c:ptCount val="2"/>
                <c:pt idx="0">
                  <c:v>125000</c:v>
                </c:pt>
                <c:pt idx="1">
                  <c:v>165000</c:v>
                </c:pt>
              </c:numCache>
            </c:numRef>
          </c:xVal>
          <c:yVal>
            <c:numRef>
              <c:f>(Task2!$E$21,Task2!$G$21)</c:f>
              <c:numCache>
                <c:formatCode>0.0</c:formatCode>
                <c:ptCount val="2"/>
                <c:pt idx="0">
                  <c:v>58.387096774193544</c:v>
                </c:pt>
                <c:pt idx="1">
                  <c:v>89.354838709677423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98-4FD6-A0E1-832E0C9EB5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1512032"/>
        <c:axId val="1641512864"/>
      </c:scatterChart>
      <c:valAx>
        <c:axId val="1641512032"/>
        <c:scaling>
          <c:orientation val="minMax"/>
          <c:max val="200000"/>
          <c:min val="1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Total Cost ($/1000)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#,##0_ ;\-#,##0\ 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641512864"/>
        <c:crosses val="autoZero"/>
        <c:crossBetween val="midCat"/>
        <c:dispUnits>
          <c:builtInUnit val="thousands"/>
        </c:dispUnits>
      </c:valAx>
      <c:valAx>
        <c:axId val="1641512864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Benefit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641512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AU"/>
              <a:t>Benefit</a:t>
            </a:r>
            <a:r>
              <a:rPr lang="en-AU" baseline="0"/>
              <a:t> Value vs Weight of Size Attribute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421449063053164"/>
          <c:y val="0.13317773788150808"/>
          <c:w val="0.74328853079411594"/>
          <c:h val="0.7073848937644015"/>
        </c:manualLayout>
      </c:layout>
      <c:scatterChart>
        <c:scatterStyle val="lineMarker"/>
        <c:varyColors val="0"/>
        <c:ser>
          <c:idx val="0"/>
          <c:order val="0"/>
          <c:tx>
            <c:strRef>
              <c:f>Task2!$B$26</c:f>
              <c:strCache>
                <c:ptCount val="1"/>
                <c:pt idx="0">
                  <c:v>Queanbeyan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Task2!$C$61:$C$71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Task2!$J$61:$J$71</c:f>
              <c:numCache>
                <c:formatCode>0.0</c:formatCode>
                <c:ptCount val="11"/>
                <c:pt idx="0">
                  <c:v>48.571428571428569</c:v>
                </c:pt>
                <c:pt idx="1">
                  <c:v>49.545454545454547</c:v>
                </c:pt>
                <c:pt idx="2">
                  <c:v>50.434782608695649</c:v>
                </c:pt>
                <c:pt idx="3">
                  <c:v>51.25</c:v>
                </c:pt>
                <c:pt idx="4">
                  <c:v>52</c:v>
                </c:pt>
                <c:pt idx="5">
                  <c:v>52.692307692307693</c:v>
                </c:pt>
                <c:pt idx="6">
                  <c:v>53.333333333333329</c:v>
                </c:pt>
                <c:pt idx="7">
                  <c:v>53.928571428571431</c:v>
                </c:pt>
                <c:pt idx="8">
                  <c:v>54.482758620689658</c:v>
                </c:pt>
                <c:pt idx="9">
                  <c:v>55</c:v>
                </c:pt>
                <c:pt idx="10">
                  <c:v>55.483870967741943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C7-4DB7-BFF9-FED0485D3280}"/>
            </c:ext>
          </c:extLst>
        </c:ser>
        <c:ser>
          <c:idx val="1"/>
          <c:order val="1"/>
          <c:tx>
            <c:strRef>
              <c:f>Task2!$B$27</c:f>
              <c:strCache>
                <c:ptCount val="1"/>
                <c:pt idx="0">
                  <c:v>Bungendore Drive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Task2!$C$61:$C$71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Task2!$K$61:$K$71</c:f>
              <c:numCache>
                <c:formatCode>0.0</c:formatCode>
                <c:ptCount val="11"/>
                <c:pt idx="0">
                  <c:v>84.761904761904759</c:v>
                </c:pt>
                <c:pt idx="1">
                  <c:v>80.909090909090907</c:v>
                </c:pt>
                <c:pt idx="2">
                  <c:v>77.391304347826093</c:v>
                </c:pt>
                <c:pt idx="3">
                  <c:v>74.166666666666671</c:v>
                </c:pt>
                <c:pt idx="4">
                  <c:v>71.2</c:v>
                </c:pt>
                <c:pt idx="5">
                  <c:v>68.461538461538453</c:v>
                </c:pt>
                <c:pt idx="6">
                  <c:v>65.925925925925924</c:v>
                </c:pt>
                <c:pt idx="7">
                  <c:v>63.571428571428569</c:v>
                </c:pt>
                <c:pt idx="8">
                  <c:v>61.379310344827587</c:v>
                </c:pt>
                <c:pt idx="9">
                  <c:v>59.333333333333329</c:v>
                </c:pt>
                <c:pt idx="10">
                  <c:v>57.41935483870968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9C7-4DB7-BFF9-FED0485D3280}"/>
            </c:ext>
          </c:extLst>
        </c:ser>
        <c:ser>
          <c:idx val="2"/>
          <c:order val="2"/>
          <c:tx>
            <c:strRef>
              <c:f>Task2!$B$28</c:f>
              <c:strCache>
                <c:ptCount val="1"/>
                <c:pt idx="0">
                  <c:v>Isabella Street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Task2!$C$61:$C$71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Task2!$L$61:$L$71</c:f>
              <c:numCache>
                <c:formatCode>0.0</c:formatCode>
                <c:ptCount val="11"/>
                <c:pt idx="0">
                  <c:v>38.571428571428569</c:v>
                </c:pt>
                <c:pt idx="1">
                  <c:v>41.363636363636367</c:v>
                </c:pt>
                <c:pt idx="2">
                  <c:v>43.913043478260867</c:v>
                </c:pt>
                <c:pt idx="3">
                  <c:v>46.25</c:v>
                </c:pt>
                <c:pt idx="4">
                  <c:v>48.4</c:v>
                </c:pt>
                <c:pt idx="5">
                  <c:v>50.384615384615387</c:v>
                </c:pt>
                <c:pt idx="6">
                  <c:v>52.222222222222229</c:v>
                </c:pt>
                <c:pt idx="7">
                  <c:v>53.928571428571431</c:v>
                </c:pt>
                <c:pt idx="8">
                  <c:v>55.517241379310342</c:v>
                </c:pt>
                <c:pt idx="9">
                  <c:v>57</c:v>
                </c:pt>
                <c:pt idx="10">
                  <c:v>58.387096774193544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9C7-4DB7-BFF9-FED0485D3280}"/>
            </c:ext>
          </c:extLst>
        </c:ser>
        <c:ser>
          <c:idx val="3"/>
          <c:order val="3"/>
          <c:tx>
            <c:strRef>
              <c:f>Task2!$B$29</c:f>
              <c:strCache>
                <c:ptCount val="1"/>
                <c:pt idx="0">
                  <c:v>Jerabomberra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Task2!$C$61:$C$71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Task2!$M$61:$M$71</c:f>
              <c:numCache>
                <c:formatCode>0.0</c:formatCode>
                <c:ptCount val="11"/>
                <c:pt idx="0">
                  <c:v>45.238095238095227</c:v>
                </c:pt>
                <c:pt idx="1">
                  <c:v>46.818181818181813</c:v>
                </c:pt>
                <c:pt idx="2">
                  <c:v>48.260869565217398</c:v>
                </c:pt>
                <c:pt idx="3">
                  <c:v>49.583333333333343</c:v>
                </c:pt>
                <c:pt idx="4">
                  <c:v>50.8</c:v>
                </c:pt>
                <c:pt idx="5">
                  <c:v>51.923076923076927</c:v>
                </c:pt>
                <c:pt idx="6">
                  <c:v>52.962962962962955</c:v>
                </c:pt>
                <c:pt idx="7">
                  <c:v>53.928571428571431</c:v>
                </c:pt>
                <c:pt idx="8">
                  <c:v>54.827586206896548</c:v>
                </c:pt>
                <c:pt idx="9">
                  <c:v>55.666666666666657</c:v>
                </c:pt>
                <c:pt idx="10">
                  <c:v>56.451612903225808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9C7-4DB7-BFF9-FED0485D3280}"/>
            </c:ext>
          </c:extLst>
        </c:ser>
        <c:ser>
          <c:idx val="4"/>
          <c:order val="4"/>
          <c:tx>
            <c:strRef>
              <c:f>Task2!$B$30</c:f>
              <c:strCache>
                <c:ptCount val="1"/>
                <c:pt idx="0">
                  <c:v>Karabar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Task2!$C$61:$C$71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Task2!$N$61:$N$71</c:f>
              <c:numCache>
                <c:formatCode>0.0</c:formatCode>
                <c:ptCount val="11"/>
                <c:pt idx="0">
                  <c:v>84.285714285714278</c:v>
                </c:pt>
                <c:pt idx="1">
                  <c:v>85</c:v>
                </c:pt>
                <c:pt idx="2">
                  <c:v>85.652173913043455</c:v>
                </c:pt>
                <c:pt idx="3">
                  <c:v>86.25</c:v>
                </c:pt>
                <c:pt idx="4">
                  <c:v>86.8</c:v>
                </c:pt>
                <c:pt idx="5">
                  <c:v>87.307692307692307</c:v>
                </c:pt>
                <c:pt idx="6">
                  <c:v>87.777777777777757</c:v>
                </c:pt>
                <c:pt idx="7">
                  <c:v>88.214285714285722</c:v>
                </c:pt>
                <c:pt idx="8">
                  <c:v>88.620689655172413</c:v>
                </c:pt>
                <c:pt idx="9">
                  <c:v>89</c:v>
                </c:pt>
                <c:pt idx="10">
                  <c:v>89.354838709677423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9C7-4DB7-BFF9-FED0485D3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9658752"/>
        <c:axId val="1439652512"/>
      </c:scatterChart>
      <c:valAx>
        <c:axId val="143965875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Weight of</a:t>
                </a:r>
                <a:r>
                  <a:rPr lang="en-AU" baseline="0"/>
                  <a:t> Size Attribute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39652512"/>
        <c:crosses val="autoZero"/>
        <c:crossBetween val="midCat"/>
      </c:valAx>
      <c:valAx>
        <c:axId val="143965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Benefit</a:t>
                </a:r>
                <a:r>
                  <a:rPr lang="en-AU" baseline="0"/>
                  <a:t> Value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39658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668362573099428"/>
          <c:y val="0.57590023148148151"/>
          <c:w val="0.19038947368421053"/>
          <c:h val="0.234443287037037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AU"/>
              <a:t>Benefit</a:t>
            </a:r>
            <a:r>
              <a:rPr lang="en-AU" baseline="0"/>
              <a:t> Value vs Weight of Car Parking Attribute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421449063053164"/>
          <c:y val="0.13317773788150808"/>
          <c:w val="0.74328853079411594"/>
          <c:h val="0.7073848937644015"/>
        </c:manualLayout>
      </c:layout>
      <c:scatterChart>
        <c:scatterStyle val="lineMarker"/>
        <c:varyColors val="0"/>
        <c:ser>
          <c:idx val="0"/>
          <c:order val="0"/>
          <c:tx>
            <c:strRef>
              <c:f>Task2!$B$26</c:f>
              <c:strCache>
                <c:ptCount val="1"/>
                <c:pt idx="0">
                  <c:v>Queanbeyan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Task2!$C$61:$C$71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Task2!$J$98:$J$108</c:f>
              <c:numCache>
                <c:formatCode>0.0</c:formatCode>
                <c:ptCount val="11"/>
                <c:pt idx="0">
                  <c:v>45.454545454545453</c:v>
                </c:pt>
                <c:pt idx="1">
                  <c:v>46.95652173913043</c:v>
                </c:pt>
                <c:pt idx="2">
                  <c:v>48.333333333333329</c:v>
                </c:pt>
                <c:pt idx="3">
                  <c:v>49.6</c:v>
                </c:pt>
                <c:pt idx="4">
                  <c:v>50.769230769230781</c:v>
                </c:pt>
                <c:pt idx="5">
                  <c:v>51.851851851851855</c:v>
                </c:pt>
                <c:pt idx="6">
                  <c:v>52.857142857142847</c:v>
                </c:pt>
                <c:pt idx="7">
                  <c:v>53.793103448275872</c:v>
                </c:pt>
                <c:pt idx="8">
                  <c:v>54.666666666666657</c:v>
                </c:pt>
                <c:pt idx="9">
                  <c:v>55.483870967741943</c:v>
                </c:pt>
                <c:pt idx="10">
                  <c:v>56.25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98-4A9B-A0E4-958C982802F2}"/>
            </c:ext>
          </c:extLst>
        </c:ser>
        <c:ser>
          <c:idx val="1"/>
          <c:order val="1"/>
          <c:tx>
            <c:strRef>
              <c:f>Task2!$B$27</c:f>
              <c:strCache>
                <c:ptCount val="1"/>
                <c:pt idx="0">
                  <c:v>Bungendore Drive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Task2!$C$61:$C$71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Task2!$K$98:$K$108</c:f>
              <c:numCache>
                <c:formatCode>0.0</c:formatCode>
                <c:ptCount val="11"/>
                <c:pt idx="0">
                  <c:v>40</c:v>
                </c:pt>
                <c:pt idx="1">
                  <c:v>42.608695652173907</c:v>
                </c:pt>
                <c:pt idx="2">
                  <c:v>45</c:v>
                </c:pt>
                <c:pt idx="3">
                  <c:v>47.2</c:v>
                </c:pt>
                <c:pt idx="4">
                  <c:v>49.230769230769226</c:v>
                </c:pt>
                <c:pt idx="5">
                  <c:v>51.111111111111114</c:v>
                </c:pt>
                <c:pt idx="6">
                  <c:v>52.857142857142854</c:v>
                </c:pt>
                <c:pt idx="7">
                  <c:v>54.482758620689658</c:v>
                </c:pt>
                <c:pt idx="8">
                  <c:v>56</c:v>
                </c:pt>
                <c:pt idx="9">
                  <c:v>57.41935483870968</c:v>
                </c:pt>
                <c:pt idx="10">
                  <c:v>58.75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E98-4A9B-A0E4-958C982802F2}"/>
            </c:ext>
          </c:extLst>
        </c:ser>
        <c:ser>
          <c:idx val="2"/>
          <c:order val="2"/>
          <c:tx>
            <c:strRef>
              <c:f>Task2!$B$28</c:f>
              <c:strCache>
                <c:ptCount val="1"/>
                <c:pt idx="0">
                  <c:v>Isabella Street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Task2!$C$61:$C$71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Task2!$L$98:$L$108</c:f>
              <c:numCache>
                <c:formatCode>0.0</c:formatCode>
                <c:ptCount val="11"/>
                <c:pt idx="0">
                  <c:v>70</c:v>
                </c:pt>
                <c:pt idx="1">
                  <c:v>68.260869565217405</c:v>
                </c:pt>
                <c:pt idx="2">
                  <c:v>66.666666666666657</c:v>
                </c:pt>
                <c:pt idx="3">
                  <c:v>65.2</c:v>
                </c:pt>
                <c:pt idx="4">
                  <c:v>63.846153846153854</c:v>
                </c:pt>
                <c:pt idx="5">
                  <c:v>62.592592592592588</c:v>
                </c:pt>
                <c:pt idx="6">
                  <c:v>61.428571428571431</c:v>
                </c:pt>
                <c:pt idx="7">
                  <c:v>60.344827586206904</c:v>
                </c:pt>
                <c:pt idx="8">
                  <c:v>59.333333333333329</c:v>
                </c:pt>
                <c:pt idx="9">
                  <c:v>58.387096774193544</c:v>
                </c:pt>
                <c:pt idx="10">
                  <c:v>57.5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E98-4A9B-A0E4-958C982802F2}"/>
            </c:ext>
          </c:extLst>
        </c:ser>
        <c:ser>
          <c:idx val="3"/>
          <c:order val="3"/>
          <c:tx>
            <c:strRef>
              <c:f>Task2!$B$29</c:f>
              <c:strCache>
                <c:ptCount val="1"/>
                <c:pt idx="0">
                  <c:v>Jerabomberra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Task2!$C$61:$C$71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Task2!$M$98:$M$108</c:f>
              <c:numCache>
                <c:formatCode>0.0</c:formatCode>
                <c:ptCount val="11"/>
                <c:pt idx="0">
                  <c:v>71.36363636363636</c:v>
                </c:pt>
                <c:pt idx="1">
                  <c:v>69.130434782608702</c:v>
                </c:pt>
                <c:pt idx="2">
                  <c:v>67.083333333333343</c:v>
                </c:pt>
                <c:pt idx="3">
                  <c:v>65.2</c:v>
                </c:pt>
                <c:pt idx="4">
                  <c:v>63.461538461538467</c:v>
                </c:pt>
                <c:pt idx="5">
                  <c:v>61.851851851851841</c:v>
                </c:pt>
                <c:pt idx="6">
                  <c:v>60.357142857142854</c:v>
                </c:pt>
                <c:pt idx="7">
                  <c:v>58.96551724137931</c:v>
                </c:pt>
                <c:pt idx="8">
                  <c:v>57.66666666666665</c:v>
                </c:pt>
                <c:pt idx="9">
                  <c:v>56.451612903225808</c:v>
                </c:pt>
                <c:pt idx="10">
                  <c:v>55.3125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E98-4A9B-A0E4-958C982802F2}"/>
            </c:ext>
          </c:extLst>
        </c:ser>
        <c:ser>
          <c:idx val="4"/>
          <c:order val="4"/>
          <c:tx>
            <c:strRef>
              <c:f>Task2!$B$30</c:f>
              <c:strCache>
                <c:ptCount val="1"/>
                <c:pt idx="0">
                  <c:v>Karabar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Task2!$C$61:$C$71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Task2!$N$98:$N$108</c:f>
              <c:numCache>
                <c:formatCode>0.0</c:formatCode>
                <c:ptCount val="11"/>
                <c:pt idx="0">
                  <c:v>93.181818181818187</c:v>
                </c:pt>
                <c:pt idx="1">
                  <c:v>92.608695652173921</c:v>
                </c:pt>
                <c:pt idx="2">
                  <c:v>92.083333333333343</c:v>
                </c:pt>
                <c:pt idx="3">
                  <c:v>91.6</c:v>
                </c:pt>
                <c:pt idx="4">
                  <c:v>91.153846153846146</c:v>
                </c:pt>
                <c:pt idx="5">
                  <c:v>90.740740740740733</c:v>
                </c:pt>
                <c:pt idx="6">
                  <c:v>90.357142857142861</c:v>
                </c:pt>
                <c:pt idx="7">
                  <c:v>90</c:v>
                </c:pt>
                <c:pt idx="8">
                  <c:v>89.666666666666657</c:v>
                </c:pt>
                <c:pt idx="9">
                  <c:v>89.354838709677423</c:v>
                </c:pt>
                <c:pt idx="10">
                  <c:v>89.0625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E98-4A9B-A0E4-958C982802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9658752"/>
        <c:axId val="1439652512"/>
      </c:scatterChart>
      <c:valAx>
        <c:axId val="143965875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Weight of</a:t>
                </a:r>
                <a:r>
                  <a:rPr lang="en-AU" baseline="0"/>
                  <a:t> Car Parking Attribute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39652512"/>
        <c:crosses val="autoZero"/>
        <c:crossBetween val="midCat"/>
      </c:valAx>
      <c:valAx>
        <c:axId val="143965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Benefit</a:t>
                </a:r>
                <a:r>
                  <a:rPr lang="en-AU" baseline="0"/>
                  <a:t> Value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39658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668362573099428"/>
          <c:y val="0.57590023148148151"/>
          <c:w val="0.19038947368421053"/>
          <c:h val="0.234443287037037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AU"/>
              <a:t>Benefit</a:t>
            </a:r>
            <a:r>
              <a:rPr lang="en-AU" baseline="0"/>
              <a:t> Value vs Weight of Closeness Attribute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421449063053164"/>
          <c:y val="0.13317773788150808"/>
          <c:w val="0.74328853079411594"/>
          <c:h val="0.7073848937644015"/>
        </c:manualLayout>
      </c:layout>
      <c:scatterChart>
        <c:scatterStyle val="lineMarker"/>
        <c:varyColors val="0"/>
        <c:ser>
          <c:idx val="0"/>
          <c:order val="0"/>
          <c:tx>
            <c:strRef>
              <c:f>Task2!$B$26</c:f>
              <c:strCache>
                <c:ptCount val="1"/>
                <c:pt idx="0">
                  <c:v>Queanbeyan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Task2!$C$61:$C$71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Task2!$J$135:$J$145</c:f>
              <c:numCache>
                <c:formatCode>0.0</c:formatCode>
                <c:ptCount val="11"/>
                <c:pt idx="0">
                  <c:v>71.666666666666671</c:v>
                </c:pt>
                <c:pt idx="1">
                  <c:v>68.8</c:v>
                </c:pt>
                <c:pt idx="2">
                  <c:v>66.15384615384616</c:v>
                </c:pt>
                <c:pt idx="3">
                  <c:v>63.703703703703702</c:v>
                </c:pt>
                <c:pt idx="4">
                  <c:v>61.428571428571431</c:v>
                </c:pt>
                <c:pt idx="5">
                  <c:v>59.310344827586214</c:v>
                </c:pt>
                <c:pt idx="6">
                  <c:v>57.333333333333329</c:v>
                </c:pt>
                <c:pt idx="7">
                  <c:v>55.483870967741943</c:v>
                </c:pt>
                <c:pt idx="8">
                  <c:v>53.75</c:v>
                </c:pt>
                <c:pt idx="9">
                  <c:v>52.121212121212118</c:v>
                </c:pt>
                <c:pt idx="10">
                  <c:v>50.588235294117652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EA-444C-988F-A7071B4ECF0E}"/>
            </c:ext>
          </c:extLst>
        </c:ser>
        <c:ser>
          <c:idx val="1"/>
          <c:order val="1"/>
          <c:tx>
            <c:strRef>
              <c:f>Task2!$B$27</c:f>
              <c:strCache>
                <c:ptCount val="1"/>
                <c:pt idx="0">
                  <c:v>Bungendore Drive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Task2!$C$61:$C$71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Task2!$K$135:$K$145</c:f>
              <c:numCache>
                <c:formatCode>0.0</c:formatCode>
                <c:ptCount val="11"/>
                <c:pt idx="0">
                  <c:v>53.75</c:v>
                </c:pt>
                <c:pt idx="1">
                  <c:v>54.4</c:v>
                </c:pt>
                <c:pt idx="2">
                  <c:v>55</c:v>
                </c:pt>
                <c:pt idx="3">
                  <c:v>55.55555555555555</c:v>
                </c:pt>
                <c:pt idx="4">
                  <c:v>56.071428571428569</c:v>
                </c:pt>
                <c:pt idx="5">
                  <c:v>56.551724137931032</c:v>
                </c:pt>
                <c:pt idx="6">
                  <c:v>57</c:v>
                </c:pt>
                <c:pt idx="7">
                  <c:v>57.41935483870968</c:v>
                </c:pt>
                <c:pt idx="8">
                  <c:v>57.8125</c:v>
                </c:pt>
                <c:pt idx="9">
                  <c:v>58.18181818181818</c:v>
                </c:pt>
                <c:pt idx="10">
                  <c:v>58.529411764705884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8EA-444C-988F-A7071B4ECF0E}"/>
            </c:ext>
          </c:extLst>
        </c:ser>
        <c:ser>
          <c:idx val="2"/>
          <c:order val="2"/>
          <c:tx>
            <c:strRef>
              <c:f>Task2!$B$28</c:f>
              <c:strCache>
                <c:ptCount val="1"/>
                <c:pt idx="0">
                  <c:v>Isabella Street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Task2!$C$61:$C$71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Task2!$L$135:$L$145</c:f>
              <c:numCache>
                <c:formatCode>0.0</c:formatCode>
                <c:ptCount val="11"/>
                <c:pt idx="0">
                  <c:v>66.666666666666657</c:v>
                </c:pt>
                <c:pt idx="1">
                  <c:v>65.2</c:v>
                </c:pt>
                <c:pt idx="2">
                  <c:v>63.846153846153854</c:v>
                </c:pt>
                <c:pt idx="3">
                  <c:v>62.592592592592588</c:v>
                </c:pt>
                <c:pt idx="4">
                  <c:v>61.428571428571431</c:v>
                </c:pt>
                <c:pt idx="5">
                  <c:v>60.344827586206904</c:v>
                </c:pt>
                <c:pt idx="6">
                  <c:v>59.333333333333329</c:v>
                </c:pt>
                <c:pt idx="7">
                  <c:v>58.387096774193544</c:v>
                </c:pt>
                <c:pt idx="8">
                  <c:v>57.5</c:v>
                </c:pt>
                <c:pt idx="9">
                  <c:v>56.666666666666657</c:v>
                </c:pt>
                <c:pt idx="10">
                  <c:v>55.882352941176471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8EA-444C-988F-A7071B4ECF0E}"/>
            </c:ext>
          </c:extLst>
        </c:ser>
        <c:ser>
          <c:idx val="3"/>
          <c:order val="3"/>
          <c:tx>
            <c:strRef>
              <c:f>Task2!$B$29</c:f>
              <c:strCache>
                <c:ptCount val="1"/>
                <c:pt idx="0">
                  <c:v>Jerabomberra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Task2!$C$61:$C$71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Task2!$M$135:$M$145</c:f>
              <c:numCache>
                <c:formatCode>0.0</c:formatCode>
                <c:ptCount val="11"/>
                <c:pt idx="0">
                  <c:v>43.750000000000007</c:v>
                </c:pt>
                <c:pt idx="1">
                  <c:v>46</c:v>
                </c:pt>
                <c:pt idx="2">
                  <c:v>48.076923076923087</c:v>
                </c:pt>
                <c:pt idx="3">
                  <c:v>50</c:v>
                </c:pt>
                <c:pt idx="4">
                  <c:v>51.785714285714292</c:v>
                </c:pt>
                <c:pt idx="5">
                  <c:v>53.448275862068975</c:v>
                </c:pt>
                <c:pt idx="6">
                  <c:v>54.999999999999993</c:v>
                </c:pt>
                <c:pt idx="7">
                  <c:v>56.451612903225808</c:v>
                </c:pt>
                <c:pt idx="8">
                  <c:v>57.8125</c:v>
                </c:pt>
                <c:pt idx="9">
                  <c:v>59.090909090909093</c:v>
                </c:pt>
                <c:pt idx="10">
                  <c:v>60.294117647058826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8EA-444C-988F-A7071B4ECF0E}"/>
            </c:ext>
          </c:extLst>
        </c:ser>
        <c:ser>
          <c:idx val="4"/>
          <c:order val="4"/>
          <c:tx>
            <c:strRef>
              <c:f>Task2!$B$30</c:f>
              <c:strCache>
                <c:ptCount val="1"/>
                <c:pt idx="0">
                  <c:v>Karabar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Task2!$C$61:$C$71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Task2!$N$135:$N$145</c:f>
              <c:numCache>
                <c:formatCode>0.0</c:formatCode>
                <c:ptCount val="11"/>
                <c:pt idx="0">
                  <c:v>89.166666666666657</c:v>
                </c:pt>
                <c:pt idx="1">
                  <c:v>89.2</c:v>
                </c:pt>
                <c:pt idx="2">
                  <c:v>89.230769230769241</c:v>
                </c:pt>
                <c:pt idx="3">
                  <c:v>89.259259259259252</c:v>
                </c:pt>
                <c:pt idx="4">
                  <c:v>89.285714285714278</c:v>
                </c:pt>
                <c:pt idx="5">
                  <c:v>89.310344827586221</c:v>
                </c:pt>
                <c:pt idx="6">
                  <c:v>89.333333333333343</c:v>
                </c:pt>
                <c:pt idx="7">
                  <c:v>89.354838709677423</c:v>
                </c:pt>
                <c:pt idx="8">
                  <c:v>89.375</c:v>
                </c:pt>
                <c:pt idx="9">
                  <c:v>89.393939393939405</c:v>
                </c:pt>
                <c:pt idx="10">
                  <c:v>89.411764705882362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8EA-444C-988F-A7071B4ECF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9658752"/>
        <c:axId val="1439652512"/>
      </c:scatterChart>
      <c:valAx>
        <c:axId val="143965875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Weight of</a:t>
                </a:r>
                <a:r>
                  <a:rPr lang="en-AU" baseline="0"/>
                  <a:t> Closeness Attribute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39652512"/>
        <c:crosses val="autoZero"/>
        <c:crossBetween val="midCat"/>
      </c:valAx>
      <c:valAx>
        <c:axId val="143965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Benefit</a:t>
                </a:r>
                <a:r>
                  <a:rPr lang="en-AU" baseline="0"/>
                  <a:t> Value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39658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668362573099428"/>
          <c:y val="0.57590023148148151"/>
          <c:w val="0.19038947368421053"/>
          <c:h val="0.234443287037037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AU"/>
              <a:t>Value vs Serious</a:t>
            </a:r>
            <a:r>
              <a:rPr lang="en-AU" baseline="0"/>
              <a:t> Accidents</a:t>
            </a:r>
            <a:endParaRPr lang="en-AU"/>
          </a:p>
        </c:rich>
      </c:tx>
      <c:layout>
        <c:manualLayout>
          <c:xMode val="edge"/>
          <c:yMode val="edge"/>
          <c:x val="0.26719999999999999"/>
          <c:y val="3.64630811303555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6350">
                <a:solidFill>
                  <a:schemeClr val="accent1"/>
                </a:solidFill>
              </a:ln>
              <a:effectLst/>
            </c:spPr>
          </c:marker>
          <c:xVal>
            <c:numRef>
              <c:f>'Task3 - Value Funcs and Weights'!$C$18:$C$22</c:f>
              <c:numCache>
                <c:formatCode>General</c:formatCode>
                <c:ptCount val="5"/>
                <c:pt idx="0">
                  <c:v>7</c:v>
                </c:pt>
                <c:pt idx="1">
                  <c:v>8.5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</c:numCache>
            </c:numRef>
          </c:xVal>
          <c:yVal>
            <c:numRef>
              <c:f>'Task3 - Value Funcs and Weights'!$B$18:$B$22</c:f>
              <c:numCache>
                <c:formatCode>#\ ?/?</c:formatCode>
                <c:ptCount val="5"/>
                <c:pt idx="0" formatCode="General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 formatCode="General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E64-4C95-B393-C6F1576191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435216"/>
        <c:axId val="182433136"/>
      </c:scatterChart>
      <c:valAx>
        <c:axId val="182435216"/>
        <c:scaling>
          <c:orientation val="minMax"/>
          <c:max val="14"/>
          <c:min val="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Serious Accidents</a:t>
                </a:r>
              </a:p>
            </c:rich>
          </c:tx>
          <c:layout>
            <c:manualLayout>
              <c:xMode val="edge"/>
              <c:yMode val="edge"/>
              <c:x val="0.38958992125984254"/>
              <c:y val="0.907468471637034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82433136"/>
        <c:crosses val="autoZero"/>
        <c:crossBetween val="midCat"/>
      </c:valAx>
      <c:valAx>
        <c:axId val="182433136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82435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AU"/>
              <a:t>Value vs</a:t>
            </a:r>
            <a:r>
              <a:rPr lang="en-AU" baseline="0"/>
              <a:t> </a:t>
            </a:r>
            <a:r>
              <a:rPr lang="en-AU"/>
              <a:t>Other</a:t>
            </a:r>
            <a:r>
              <a:rPr lang="en-AU" baseline="0"/>
              <a:t> Accidents</a:t>
            </a:r>
            <a:endParaRPr lang="en-AU"/>
          </a:p>
        </c:rich>
      </c:tx>
      <c:layout>
        <c:manualLayout>
          <c:xMode val="edge"/>
          <c:yMode val="edge"/>
          <c:x val="0.2928"/>
          <c:y val="4.010938924339106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6350">
                <a:solidFill>
                  <a:schemeClr val="accent1"/>
                </a:solidFill>
              </a:ln>
              <a:effectLst/>
            </c:spPr>
          </c:marker>
          <c:xVal>
            <c:numRef>
              <c:f>'Task3 - Value Funcs and Weights'!$D$18:$D$22</c:f>
              <c:numCache>
                <c:formatCode>General</c:formatCode>
                <c:ptCount val="5"/>
                <c:pt idx="0">
                  <c:v>9</c:v>
                </c:pt>
                <c:pt idx="1">
                  <c:v>10.5</c:v>
                </c:pt>
                <c:pt idx="2">
                  <c:v>12</c:v>
                </c:pt>
                <c:pt idx="3">
                  <c:v>13.5</c:v>
                </c:pt>
                <c:pt idx="4">
                  <c:v>15</c:v>
                </c:pt>
              </c:numCache>
            </c:numRef>
          </c:xVal>
          <c:yVal>
            <c:numRef>
              <c:f>'Task3 - Value Funcs and Weights'!$B$18:$B$22</c:f>
              <c:numCache>
                <c:formatCode>#\ ?/?</c:formatCode>
                <c:ptCount val="5"/>
                <c:pt idx="0" formatCode="General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 formatCode="General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1F-4316-9F2E-12958AF1FA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435216"/>
        <c:axId val="182433136"/>
      </c:scatterChart>
      <c:valAx>
        <c:axId val="182435216"/>
        <c:scaling>
          <c:orientation val="minMax"/>
          <c:max val="15"/>
          <c:min val="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Other Accidents</a:t>
                </a:r>
              </a:p>
            </c:rich>
          </c:tx>
          <c:layout>
            <c:manualLayout>
              <c:xMode val="edge"/>
              <c:yMode val="edge"/>
              <c:x val="0.38958992125984254"/>
              <c:y val="0.9074684716370345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82433136"/>
        <c:crosses val="autoZero"/>
        <c:crossBetween val="midCat"/>
      </c:valAx>
      <c:valAx>
        <c:axId val="182433136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82435216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AU"/>
              <a:t>Value vs Congestion</a:t>
            </a:r>
          </a:p>
        </c:rich>
      </c:tx>
      <c:layout>
        <c:manualLayout>
          <c:xMode val="edge"/>
          <c:yMode val="edge"/>
          <c:x val="0.32479999999999998"/>
          <c:y val="4.010938924339106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circle"/>
            <c:size val="3"/>
          </c:marker>
          <c:xVal>
            <c:numRef>
              <c:f>'Task3 - Value Funcs and Weights'!$E$18:$E$22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3.75</c:v>
                </c:pt>
                <c:pt idx="4">
                  <c:v>4.5</c:v>
                </c:pt>
              </c:numCache>
            </c:numRef>
          </c:xVal>
          <c:yVal>
            <c:numRef>
              <c:f>'Task3 - Value Funcs and Weights'!$B$18:$B$22</c:f>
              <c:numCache>
                <c:formatCode>#\ ?/?</c:formatCode>
                <c:ptCount val="5"/>
                <c:pt idx="0" formatCode="General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 formatCode="General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E81-4E0B-9E55-1416BDAA2D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435216"/>
        <c:axId val="182433136"/>
      </c:scatterChart>
      <c:valAx>
        <c:axId val="182435216"/>
        <c:scaling>
          <c:orientation val="minMax"/>
          <c:max val="4.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Congestion Factor</a:t>
                </a:r>
              </a:p>
            </c:rich>
          </c:tx>
          <c:layout>
            <c:manualLayout>
              <c:xMode val="edge"/>
              <c:yMode val="edge"/>
              <c:x val="0.38958992125984254"/>
              <c:y val="0.9074684716370345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82433136"/>
        <c:crosses val="autoZero"/>
        <c:crossBetween val="midCat"/>
      </c:valAx>
      <c:valAx>
        <c:axId val="182433136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82435216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AU"/>
              <a:t>Value vs Proximity</a:t>
            </a:r>
          </a:p>
        </c:rich>
      </c:tx>
      <c:layout>
        <c:manualLayout>
          <c:xMode val="edge"/>
          <c:yMode val="edge"/>
          <c:x val="0.33760000000000001"/>
          <c:y val="3.6463081130355512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circle"/>
            <c:size val="3"/>
          </c:marker>
          <c:xVal>
            <c:numRef>
              <c:f>'Task3 - Value Funcs and Weights'!$F$18:$F$22</c:f>
              <c:numCache>
                <c:formatCode>General</c:formatCode>
                <c:ptCount val="5"/>
                <c:pt idx="0">
                  <c:v>7.1</c:v>
                </c:pt>
                <c:pt idx="1">
                  <c:v>5.05</c:v>
                </c:pt>
                <c:pt idx="2">
                  <c:v>3</c:v>
                </c:pt>
                <c:pt idx="3">
                  <c:v>1.9500000000000002</c:v>
                </c:pt>
                <c:pt idx="4">
                  <c:v>0.9</c:v>
                </c:pt>
              </c:numCache>
            </c:numRef>
          </c:xVal>
          <c:yVal>
            <c:numRef>
              <c:f>'Task3 - Value Funcs and Weights'!$B$18:$B$22</c:f>
              <c:numCache>
                <c:formatCode>#\ ?/?</c:formatCode>
                <c:ptCount val="5"/>
                <c:pt idx="0" formatCode="General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 formatCode="General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30-421A-8DF9-C39724089A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435216"/>
        <c:axId val="182433136"/>
      </c:scatterChart>
      <c:valAx>
        <c:axId val="182435216"/>
        <c:scaling>
          <c:orientation val="minMax"/>
          <c:max val="7.1"/>
          <c:min val="0.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Proximity to Vulnerable</a:t>
                </a:r>
                <a:r>
                  <a:rPr lang="en-AU" baseline="0"/>
                  <a:t> Populations</a:t>
                </a:r>
                <a:endParaRPr lang="en-AU"/>
              </a:p>
            </c:rich>
          </c:tx>
          <c:layout>
            <c:manualLayout>
              <c:xMode val="edge"/>
              <c:yMode val="edge"/>
              <c:x val="0.28398992125984251"/>
              <c:y val="0.9074684716370345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82433136"/>
        <c:crosses val="autoZero"/>
        <c:crossBetween val="midCat"/>
      </c:valAx>
      <c:valAx>
        <c:axId val="182433136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82435216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AU"/>
              <a:t>Value vs Local</a:t>
            </a:r>
            <a:r>
              <a:rPr lang="en-AU" baseline="0"/>
              <a:t> Population</a:t>
            </a:r>
            <a:endParaRPr lang="en-AU"/>
          </a:p>
        </c:rich>
      </c:tx>
      <c:layout>
        <c:manualLayout>
          <c:xMode val="edge"/>
          <c:yMode val="edge"/>
          <c:x val="0.27360000000000001"/>
          <c:y val="3.6463081130355512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circle"/>
            <c:size val="3"/>
          </c:marker>
          <c:xVal>
            <c:numRef>
              <c:f>'Task3 - Value Funcs and Weights'!$G$18:$G$22</c:f>
              <c:numCache>
                <c:formatCode>General</c:formatCode>
                <c:ptCount val="5"/>
                <c:pt idx="0">
                  <c:v>103</c:v>
                </c:pt>
                <c:pt idx="1">
                  <c:v>150</c:v>
                </c:pt>
                <c:pt idx="2">
                  <c:v>200</c:v>
                </c:pt>
                <c:pt idx="3">
                  <c:v>300</c:v>
                </c:pt>
                <c:pt idx="4">
                  <c:v>456</c:v>
                </c:pt>
              </c:numCache>
            </c:numRef>
          </c:xVal>
          <c:yVal>
            <c:numRef>
              <c:f>'Task3 - Value Funcs and Weights'!$B$18:$B$22</c:f>
              <c:numCache>
                <c:formatCode>#\ ?/?</c:formatCode>
                <c:ptCount val="5"/>
                <c:pt idx="0" formatCode="General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 formatCode="General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02-4659-9C4B-C0E79345EB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435216"/>
        <c:axId val="182433136"/>
      </c:scatterChart>
      <c:valAx>
        <c:axId val="182435216"/>
        <c:scaling>
          <c:orientation val="minMax"/>
          <c:max val="456"/>
          <c:min val="10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Local Population</a:t>
                </a:r>
              </a:p>
            </c:rich>
          </c:tx>
          <c:layout>
            <c:manualLayout>
              <c:xMode val="edge"/>
              <c:yMode val="edge"/>
              <c:x val="0.38958992125984254"/>
              <c:y val="0.9074684716370345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82433136"/>
        <c:crosses val="autoZero"/>
        <c:crossBetween val="midCat"/>
      </c:valAx>
      <c:valAx>
        <c:axId val="182433136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82435216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AU"/>
              <a:t>Benefit</a:t>
            </a:r>
            <a:r>
              <a:rPr lang="en-AU" baseline="0"/>
              <a:t> Value vs Weight of Local Population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421449063053164"/>
          <c:y val="0.13317773788150808"/>
          <c:w val="0.74328853079411594"/>
          <c:h val="0.7073848937644015"/>
        </c:manualLayout>
      </c:layout>
      <c:scatterChart>
        <c:scatterStyle val="lineMarker"/>
        <c:varyColors val="0"/>
        <c:ser>
          <c:idx val="0"/>
          <c:order val="0"/>
          <c:tx>
            <c:v>Location 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'Task3 - Calcs for Sensitivity'!$E$27:$O$27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'Task3 - Calcs for Sensitivity'!$E$40:$O$40</c:f>
              <c:numCache>
                <c:formatCode>0.0</c:formatCode>
                <c:ptCount val="11"/>
                <c:pt idx="0">
                  <c:v>84.375</c:v>
                </c:pt>
                <c:pt idx="1">
                  <c:v>84</c:v>
                </c:pt>
                <c:pt idx="2">
                  <c:v>83.647058823529406</c:v>
                </c:pt>
                <c:pt idx="3">
                  <c:v>83.314285714285703</c:v>
                </c:pt>
                <c:pt idx="4">
                  <c:v>83</c:v>
                </c:pt>
                <c:pt idx="5">
                  <c:v>82.702702702702695</c:v>
                </c:pt>
                <c:pt idx="6">
                  <c:v>82.421052631578931</c:v>
                </c:pt>
                <c:pt idx="7">
                  <c:v>82.153846153846175</c:v>
                </c:pt>
                <c:pt idx="8">
                  <c:v>81.900000000000006</c:v>
                </c:pt>
                <c:pt idx="9">
                  <c:v>81.658536585365852</c:v>
                </c:pt>
                <c:pt idx="10">
                  <c:v>81.428571428571416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B78D-4152-A2D3-50A11F54DF44}"/>
            </c:ext>
          </c:extLst>
        </c:ser>
        <c:ser>
          <c:idx val="1"/>
          <c:order val="1"/>
          <c:tx>
            <c:v>Location B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'Task3 - Calcs for Sensitivity'!$E$27:$O$27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'Task3 - Calcs for Sensitivity'!$E$41:$O$41</c:f>
              <c:numCache>
                <c:formatCode>0.0</c:formatCode>
                <c:ptCount val="11"/>
                <c:pt idx="0">
                  <c:v>55.3125</c:v>
                </c:pt>
                <c:pt idx="1">
                  <c:v>56.27272727272728</c:v>
                </c:pt>
                <c:pt idx="2">
                  <c:v>57.176470588235297</c:v>
                </c:pt>
                <c:pt idx="3">
                  <c:v>58.028571428571425</c:v>
                </c:pt>
                <c:pt idx="4">
                  <c:v>58.833333333333329</c:v>
                </c:pt>
                <c:pt idx="5">
                  <c:v>59.594594594594604</c:v>
                </c:pt>
                <c:pt idx="6">
                  <c:v>60.315789473684205</c:v>
                </c:pt>
                <c:pt idx="7">
                  <c:v>61</c:v>
                </c:pt>
                <c:pt idx="8">
                  <c:v>61.65</c:v>
                </c:pt>
                <c:pt idx="9">
                  <c:v>62.268292682926834</c:v>
                </c:pt>
                <c:pt idx="10">
                  <c:v>62.857142857142847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B78D-4152-A2D3-50A11F54DF44}"/>
            </c:ext>
          </c:extLst>
        </c:ser>
        <c:ser>
          <c:idx val="2"/>
          <c:order val="2"/>
          <c:tx>
            <c:v>Location C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'Task3 - Calcs for Sensitivity'!$E$27:$O$27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'Task3 - Calcs for Sensitivity'!$E$42:$O$42</c:f>
              <c:numCache>
                <c:formatCode>0.0</c:formatCode>
                <c:ptCount val="11"/>
                <c:pt idx="0">
                  <c:v>27.0625</c:v>
                </c:pt>
                <c:pt idx="1">
                  <c:v>27.121212121212121</c:v>
                </c:pt>
                <c:pt idx="2">
                  <c:v>27.176470588235293</c:v>
                </c:pt>
                <c:pt idx="3">
                  <c:v>27.228571428571428</c:v>
                </c:pt>
                <c:pt idx="4">
                  <c:v>27.277777777777779</c:v>
                </c:pt>
                <c:pt idx="5">
                  <c:v>27.324324324324326</c:v>
                </c:pt>
                <c:pt idx="6">
                  <c:v>27.368421052631579</c:v>
                </c:pt>
                <c:pt idx="7">
                  <c:v>27.410256410256405</c:v>
                </c:pt>
                <c:pt idx="8">
                  <c:v>27.45</c:v>
                </c:pt>
                <c:pt idx="9">
                  <c:v>27.487804878048777</c:v>
                </c:pt>
                <c:pt idx="10">
                  <c:v>27.523809523809522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B78D-4152-A2D3-50A11F54DF44}"/>
            </c:ext>
          </c:extLst>
        </c:ser>
        <c:ser>
          <c:idx val="3"/>
          <c:order val="3"/>
          <c:tx>
            <c:v>Location D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'Task3 - Calcs for Sensitivity'!$E$27:$O$27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'Task3 - Calcs for Sensitivity'!$E$43:$O$43</c:f>
              <c:numCache>
                <c:formatCode>0.0</c:formatCode>
                <c:ptCount val="11"/>
                <c:pt idx="0">
                  <c:v>38.875</c:v>
                </c:pt>
                <c:pt idx="1">
                  <c:v>40.727272727272727</c:v>
                </c:pt>
                <c:pt idx="2">
                  <c:v>42.470588235294116</c:v>
                </c:pt>
                <c:pt idx="3">
                  <c:v>44.114285714285714</c:v>
                </c:pt>
                <c:pt idx="4">
                  <c:v>45.666666666666671</c:v>
                </c:pt>
                <c:pt idx="5">
                  <c:v>47.13513513513513</c:v>
                </c:pt>
                <c:pt idx="6">
                  <c:v>48.526315789473685</c:v>
                </c:pt>
                <c:pt idx="7">
                  <c:v>49.846153846153847</c:v>
                </c:pt>
                <c:pt idx="8">
                  <c:v>51.1</c:v>
                </c:pt>
                <c:pt idx="9">
                  <c:v>52.292682926829272</c:v>
                </c:pt>
                <c:pt idx="10">
                  <c:v>53.428571428571431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B78D-4152-A2D3-50A11F54DF44}"/>
            </c:ext>
          </c:extLst>
        </c:ser>
        <c:ser>
          <c:idx val="4"/>
          <c:order val="4"/>
          <c:tx>
            <c:v>Location 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'Task3 - Calcs for Sensitivity'!$E$27:$O$27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'Task3 - Calcs for Sensitivity'!$E$44:$O$44</c:f>
              <c:numCache>
                <c:formatCode>0.0</c:formatCode>
                <c:ptCount val="11"/>
                <c:pt idx="0">
                  <c:v>44.625</c:v>
                </c:pt>
                <c:pt idx="1">
                  <c:v>43.27272727272728</c:v>
                </c:pt>
                <c:pt idx="2">
                  <c:v>42</c:v>
                </c:pt>
                <c:pt idx="3">
                  <c:v>40.799999999999997</c:v>
                </c:pt>
                <c:pt idx="4">
                  <c:v>39.666666666666657</c:v>
                </c:pt>
                <c:pt idx="5">
                  <c:v>38.594594594594604</c:v>
                </c:pt>
                <c:pt idx="6">
                  <c:v>37.578947368421048</c:v>
                </c:pt>
                <c:pt idx="7">
                  <c:v>36.615384615384613</c:v>
                </c:pt>
                <c:pt idx="8">
                  <c:v>35.700000000000003</c:v>
                </c:pt>
                <c:pt idx="9">
                  <c:v>34.829268292682926</c:v>
                </c:pt>
                <c:pt idx="10">
                  <c:v>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B78D-4152-A2D3-50A11F54DF44}"/>
            </c:ext>
          </c:extLst>
        </c:ser>
        <c:ser>
          <c:idx val="5"/>
          <c:order val="5"/>
          <c:tx>
            <c:v>Location F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'Task3 - Calcs for Sensitivity'!$E$27:$O$27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'Task3 - Calcs for Sensitivity'!$E$45:$O$45</c:f>
              <c:numCache>
                <c:formatCode>0.0</c:formatCode>
                <c:ptCount val="11"/>
                <c:pt idx="0">
                  <c:v>47.8125</c:v>
                </c:pt>
                <c:pt idx="1">
                  <c:v>47.36363636363636</c:v>
                </c:pt>
                <c:pt idx="2">
                  <c:v>46.941176470588232</c:v>
                </c:pt>
                <c:pt idx="3">
                  <c:v>46.542857142857144</c:v>
                </c:pt>
                <c:pt idx="4">
                  <c:v>46.166666666666671</c:v>
                </c:pt>
                <c:pt idx="5">
                  <c:v>45.810810810810807</c:v>
                </c:pt>
                <c:pt idx="6">
                  <c:v>45.473684210526308</c:v>
                </c:pt>
                <c:pt idx="7">
                  <c:v>45.153846153846153</c:v>
                </c:pt>
                <c:pt idx="8">
                  <c:v>44.85</c:v>
                </c:pt>
                <c:pt idx="9">
                  <c:v>44.560975609756099</c:v>
                </c:pt>
                <c:pt idx="10">
                  <c:v>44.285714285714285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B78D-4152-A2D3-50A11F54DF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9658752"/>
        <c:axId val="1439652512"/>
      </c:scatterChart>
      <c:valAx>
        <c:axId val="143965875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Weight of</a:t>
                </a:r>
                <a:r>
                  <a:rPr lang="en-AU" baseline="0"/>
                  <a:t> Local Population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39652512"/>
        <c:crosses val="autoZero"/>
        <c:crossBetween val="midCat"/>
      </c:valAx>
      <c:valAx>
        <c:axId val="143965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Benefit</a:t>
                </a:r>
                <a:r>
                  <a:rPr lang="en-AU" baseline="0"/>
                  <a:t> Value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39658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5944678362573099"/>
          <c:y val="0.7081918981481482"/>
          <c:w val="0.43823391812865498"/>
          <c:h val="0.1284615740740740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AU"/>
              <a:t>Benefit</a:t>
            </a:r>
            <a:r>
              <a:rPr lang="en-AU" baseline="0"/>
              <a:t> Value vs Weight of Serious Accidents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421449063053164"/>
          <c:y val="0.13317773788150808"/>
          <c:w val="0.74328853079411594"/>
          <c:h val="0.7073848937644015"/>
        </c:manualLayout>
      </c:layout>
      <c:scatterChart>
        <c:scatterStyle val="lineMarker"/>
        <c:varyColors val="0"/>
        <c:ser>
          <c:idx val="0"/>
          <c:order val="0"/>
          <c:tx>
            <c:v>Location 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'Task3 - Calcs for Sensitivity'!$E$27:$O$27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'Task3 - Calcs for Sensitivity'!$E$28:$O$28</c:f>
              <c:numCache>
                <c:formatCode>0.0</c:formatCode>
                <c:ptCount val="11"/>
                <c:pt idx="0">
                  <c:v>94.814814814814824</c:v>
                </c:pt>
                <c:pt idx="1">
                  <c:v>93.214285714285708</c:v>
                </c:pt>
                <c:pt idx="2">
                  <c:v>91.724137931034477</c:v>
                </c:pt>
                <c:pt idx="3">
                  <c:v>90.333333333333343</c:v>
                </c:pt>
                <c:pt idx="4">
                  <c:v>89.032258064516142</c:v>
                </c:pt>
                <c:pt idx="5">
                  <c:v>87.8125</c:v>
                </c:pt>
                <c:pt idx="6">
                  <c:v>86.666666666666657</c:v>
                </c:pt>
                <c:pt idx="7">
                  <c:v>85.588235294117638</c:v>
                </c:pt>
                <c:pt idx="8">
                  <c:v>84.571428571428555</c:v>
                </c:pt>
                <c:pt idx="9">
                  <c:v>83.611111111111114</c:v>
                </c:pt>
                <c:pt idx="10">
                  <c:v>82.702702702702695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C6-4743-A25D-0DCF3B712BF5}"/>
            </c:ext>
          </c:extLst>
        </c:ser>
        <c:ser>
          <c:idx val="1"/>
          <c:order val="1"/>
          <c:tx>
            <c:v>Location B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'Task3 - Calcs for Sensitivity'!$E$27:$O$27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'Task3 - Calcs for Sensitivity'!$E$29:$O$29</c:f>
              <c:numCache>
                <c:formatCode>0.0</c:formatCode>
                <c:ptCount val="11"/>
                <c:pt idx="0">
                  <c:v>44.629629629629626</c:v>
                </c:pt>
                <c:pt idx="1">
                  <c:v>46.607142857142854</c:v>
                </c:pt>
                <c:pt idx="2">
                  <c:v>48.448275862068968</c:v>
                </c:pt>
                <c:pt idx="3">
                  <c:v>50.166666666666671</c:v>
                </c:pt>
                <c:pt idx="4">
                  <c:v>51.774193548387096</c:v>
                </c:pt>
                <c:pt idx="5">
                  <c:v>53.28125</c:v>
                </c:pt>
                <c:pt idx="6">
                  <c:v>54.696969696969703</c:v>
                </c:pt>
                <c:pt idx="7">
                  <c:v>56.029411764705877</c:v>
                </c:pt>
                <c:pt idx="8">
                  <c:v>57.285714285714292</c:v>
                </c:pt>
                <c:pt idx="9">
                  <c:v>58.472222222222214</c:v>
                </c:pt>
                <c:pt idx="10">
                  <c:v>59.594594594594604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DC6-4743-A25D-0DCF3B712BF5}"/>
            </c:ext>
          </c:extLst>
        </c:ser>
        <c:ser>
          <c:idx val="2"/>
          <c:order val="2"/>
          <c:tx>
            <c:v>Location C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'Task3 - Calcs for Sensitivity'!$E$27:$O$27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'Task3 - Calcs for Sensitivity'!$E$30:$O$30</c:f>
              <c:numCache>
                <c:formatCode>0.0</c:formatCode>
                <c:ptCount val="11"/>
                <c:pt idx="0">
                  <c:v>25.222222222222221</c:v>
                </c:pt>
                <c:pt idx="1">
                  <c:v>25.5</c:v>
                </c:pt>
                <c:pt idx="2">
                  <c:v>25.758620689655171</c:v>
                </c:pt>
                <c:pt idx="3">
                  <c:v>26</c:v>
                </c:pt>
                <c:pt idx="4">
                  <c:v>26.225806451612907</c:v>
                </c:pt>
                <c:pt idx="5">
                  <c:v>26.4375</c:v>
                </c:pt>
                <c:pt idx="6">
                  <c:v>26.636363636363637</c:v>
                </c:pt>
                <c:pt idx="7">
                  <c:v>26.823529411764703</c:v>
                </c:pt>
                <c:pt idx="8">
                  <c:v>27</c:v>
                </c:pt>
                <c:pt idx="9">
                  <c:v>27.166666666666664</c:v>
                </c:pt>
                <c:pt idx="10">
                  <c:v>27.324324324324326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DC6-4743-A25D-0DCF3B712BF5}"/>
            </c:ext>
          </c:extLst>
        </c:ser>
        <c:ser>
          <c:idx val="3"/>
          <c:order val="3"/>
          <c:tx>
            <c:v>Location D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'Task3 - Calcs for Sensitivity'!$E$27:$O$27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'Task3 - Calcs for Sensitivity'!$E$31:$O$31</c:f>
              <c:numCache>
                <c:formatCode>0.0</c:formatCode>
                <c:ptCount val="11"/>
                <c:pt idx="0">
                  <c:v>58.296296296296298</c:v>
                </c:pt>
                <c:pt idx="1">
                  <c:v>56.821428571428569</c:v>
                </c:pt>
                <c:pt idx="2">
                  <c:v>55.448275862068968</c:v>
                </c:pt>
                <c:pt idx="3">
                  <c:v>54.166666666666657</c:v>
                </c:pt>
                <c:pt idx="4">
                  <c:v>52.967741935483872</c:v>
                </c:pt>
                <c:pt idx="5">
                  <c:v>51.84375</c:v>
                </c:pt>
                <c:pt idx="6">
                  <c:v>50.787878787878789</c:v>
                </c:pt>
                <c:pt idx="7">
                  <c:v>49.794117647058819</c:v>
                </c:pt>
                <c:pt idx="8">
                  <c:v>48.857142857142861</c:v>
                </c:pt>
                <c:pt idx="9">
                  <c:v>47.972222222222214</c:v>
                </c:pt>
                <c:pt idx="10">
                  <c:v>47.13513513513513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DC6-4743-A25D-0DCF3B712BF5}"/>
            </c:ext>
          </c:extLst>
        </c:ser>
        <c:ser>
          <c:idx val="4"/>
          <c:order val="4"/>
          <c:tx>
            <c:v>Location 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'Task3 - Calcs for Sensitivity'!$E$27:$O$27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'Task3 - Calcs for Sensitivity'!$E$32:$O$32</c:f>
              <c:numCache>
                <c:formatCode>0.0</c:formatCode>
                <c:ptCount val="11"/>
                <c:pt idx="0">
                  <c:v>52.888888888888886</c:v>
                </c:pt>
                <c:pt idx="1">
                  <c:v>51</c:v>
                </c:pt>
                <c:pt idx="2">
                  <c:v>49.241379310344826</c:v>
                </c:pt>
                <c:pt idx="3">
                  <c:v>47.6</c:v>
                </c:pt>
                <c:pt idx="4">
                  <c:v>46.064516129032263</c:v>
                </c:pt>
                <c:pt idx="5">
                  <c:v>44.625</c:v>
                </c:pt>
                <c:pt idx="6">
                  <c:v>43.27272727272728</c:v>
                </c:pt>
                <c:pt idx="7">
                  <c:v>42</c:v>
                </c:pt>
                <c:pt idx="8">
                  <c:v>40.799999999999997</c:v>
                </c:pt>
                <c:pt idx="9">
                  <c:v>39.666666666666657</c:v>
                </c:pt>
                <c:pt idx="10">
                  <c:v>38.594594594594604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DC6-4743-A25D-0DCF3B712BF5}"/>
            </c:ext>
          </c:extLst>
        </c:ser>
        <c:ser>
          <c:idx val="5"/>
          <c:order val="5"/>
          <c:tx>
            <c:v>Location F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'Task3 - Calcs for Sensitivity'!$E$27:$O$27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'Task3 - Calcs for Sensitivity'!$E$33:$O$33</c:f>
              <c:numCache>
                <c:formatCode>0.0</c:formatCode>
                <c:ptCount val="11"/>
                <c:pt idx="0">
                  <c:v>50.55555555555555</c:v>
                </c:pt>
                <c:pt idx="1">
                  <c:v>49.928571428571423</c:v>
                </c:pt>
                <c:pt idx="2">
                  <c:v>49.34482758620689</c:v>
                </c:pt>
                <c:pt idx="3">
                  <c:v>48.8</c:v>
                </c:pt>
                <c:pt idx="4">
                  <c:v>48.290322580645153</c:v>
                </c:pt>
                <c:pt idx="5">
                  <c:v>47.8125</c:v>
                </c:pt>
                <c:pt idx="6">
                  <c:v>47.36363636363636</c:v>
                </c:pt>
                <c:pt idx="7">
                  <c:v>46.941176470588225</c:v>
                </c:pt>
                <c:pt idx="8">
                  <c:v>46.542857142857144</c:v>
                </c:pt>
                <c:pt idx="9">
                  <c:v>46.166666666666657</c:v>
                </c:pt>
                <c:pt idx="10">
                  <c:v>45.810810810810807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DC6-4743-A25D-0DCF3B712B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9658752"/>
        <c:axId val="1439652512"/>
      </c:scatterChart>
      <c:valAx>
        <c:axId val="143965875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Weight of</a:t>
                </a:r>
                <a:r>
                  <a:rPr lang="en-AU" baseline="0"/>
                  <a:t> Serious Accidents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39652512"/>
        <c:crosses val="autoZero"/>
        <c:crossBetween val="midCat"/>
      </c:valAx>
      <c:valAx>
        <c:axId val="143965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Benefit</a:t>
                </a:r>
                <a:r>
                  <a:rPr lang="en-AU" baseline="0"/>
                  <a:t> Value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39658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5944678362573099"/>
          <c:y val="0.7081918981481482"/>
          <c:w val="0.43637719298245614"/>
          <c:h val="0.1284615740740740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AU"/>
              <a:t>Benefit</a:t>
            </a:r>
            <a:r>
              <a:rPr lang="en-AU" baseline="0"/>
              <a:t> Value vs Weight of Congestion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421449063053164"/>
          <c:y val="0.13317773788150808"/>
          <c:w val="0.74328853079411594"/>
          <c:h val="0.7073848937644015"/>
        </c:manualLayout>
      </c:layout>
      <c:scatterChart>
        <c:scatterStyle val="lineMarker"/>
        <c:varyColors val="0"/>
        <c:ser>
          <c:idx val="0"/>
          <c:order val="0"/>
          <c:tx>
            <c:v>Location 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'Task3 - Calcs for Sensitivity'!$E$27:$O$27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'Task3 - Calcs for Sensitivity'!$E$34:$O$34</c:f>
              <c:numCache>
                <c:formatCode>0.0</c:formatCode>
                <c:ptCount val="11"/>
                <c:pt idx="0">
                  <c:v>77.931034482758619</c:v>
                </c:pt>
                <c:pt idx="1">
                  <c:v>78.666666666666671</c:v>
                </c:pt>
                <c:pt idx="2">
                  <c:v>79.354838709677409</c:v>
                </c:pt>
                <c:pt idx="3">
                  <c:v>80</c:v>
                </c:pt>
                <c:pt idx="4">
                  <c:v>80.606060606060595</c:v>
                </c:pt>
                <c:pt idx="5">
                  <c:v>81.176470588235304</c:v>
                </c:pt>
                <c:pt idx="6">
                  <c:v>81.714285714285722</c:v>
                </c:pt>
                <c:pt idx="7">
                  <c:v>82.222222222222229</c:v>
                </c:pt>
                <c:pt idx="8">
                  <c:v>82.702702702702695</c:v>
                </c:pt>
                <c:pt idx="9">
                  <c:v>83.157894736842096</c:v>
                </c:pt>
                <c:pt idx="10">
                  <c:v>83.589743589743591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B0-475D-9BF1-0CD9FA76E0C9}"/>
            </c:ext>
          </c:extLst>
        </c:ser>
        <c:ser>
          <c:idx val="1"/>
          <c:order val="1"/>
          <c:tx>
            <c:v>Location B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'Task3 - Calcs for Sensitivity'!$E$27:$O$27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'Task3 - Calcs for Sensitivity'!$E$35:$O$35</c:f>
              <c:numCache>
                <c:formatCode>0.0</c:formatCode>
                <c:ptCount val="11"/>
                <c:pt idx="0">
                  <c:v>69.137931034482762</c:v>
                </c:pt>
                <c:pt idx="1">
                  <c:v>67.666666666666657</c:v>
                </c:pt>
                <c:pt idx="2">
                  <c:v>66.290322580645167</c:v>
                </c:pt>
                <c:pt idx="3">
                  <c:v>65</c:v>
                </c:pt>
                <c:pt idx="4">
                  <c:v>63.787878787878789</c:v>
                </c:pt>
                <c:pt idx="5">
                  <c:v>62.64705882352942</c:v>
                </c:pt>
                <c:pt idx="6">
                  <c:v>61.571428571428569</c:v>
                </c:pt>
                <c:pt idx="7">
                  <c:v>60.555555555555557</c:v>
                </c:pt>
                <c:pt idx="8">
                  <c:v>59.594594594594604</c:v>
                </c:pt>
                <c:pt idx="9">
                  <c:v>58.68421052631578</c:v>
                </c:pt>
                <c:pt idx="10">
                  <c:v>57.820512820512825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FB0-475D-9BF1-0CD9FA76E0C9}"/>
            </c:ext>
          </c:extLst>
        </c:ser>
        <c:ser>
          <c:idx val="2"/>
          <c:order val="2"/>
          <c:tx>
            <c:v>Location C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'Task3 - Calcs for Sensitivity'!$E$27:$O$27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'Task3 - Calcs for Sensitivity'!$E$36:$O$36</c:f>
              <c:numCache>
                <c:formatCode>0.0</c:formatCode>
                <c:ptCount val="11"/>
                <c:pt idx="0">
                  <c:v>34.862068965517238</c:v>
                </c:pt>
                <c:pt idx="1">
                  <c:v>33.700000000000003</c:v>
                </c:pt>
                <c:pt idx="2">
                  <c:v>32.612903225806448</c:v>
                </c:pt>
                <c:pt idx="3">
                  <c:v>31.59375</c:v>
                </c:pt>
                <c:pt idx="4">
                  <c:v>30.636363636363637</c:v>
                </c:pt>
                <c:pt idx="5">
                  <c:v>29.735294117647058</c:v>
                </c:pt>
                <c:pt idx="6">
                  <c:v>28.885714285714286</c:v>
                </c:pt>
                <c:pt idx="7">
                  <c:v>28.083333333333336</c:v>
                </c:pt>
                <c:pt idx="8">
                  <c:v>27.324324324324326</c:v>
                </c:pt>
                <c:pt idx="9">
                  <c:v>26.605263157894733</c:v>
                </c:pt>
                <c:pt idx="10">
                  <c:v>25.92307692307692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FB0-475D-9BF1-0CD9FA76E0C9}"/>
            </c:ext>
          </c:extLst>
        </c:ser>
        <c:ser>
          <c:idx val="3"/>
          <c:order val="3"/>
          <c:tx>
            <c:v>Location D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'Task3 - Calcs for Sensitivity'!$E$27:$O$27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'Task3 - Calcs for Sensitivity'!$E$37:$O$37</c:f>
              <c:numCache>
                <c:formatCode>0.0</c:formatCode>
                <c:ptCount val="11"/>
                <c:pt idx="0">
                  <c:v>53.241379310344826</c:v>
                </c:pt>
                <c:pt idx="1">
                  <c:v>52.3</c:v>
                </c:pt>
                <c:pt idx="2">
                  <c:v>51.41935483870968</c:v>
                </c:pt>
                <c:pt idx="3">
                  <c:v>50.59375</c:v>
                </c:pt>
                <c:pt idx="4">
                  <c:v>49.81818181818182</c:v>
                </c:pt>
                <c:pt idx="5">
                  <c:v>49.088235294117652</c:v>
                </c:pt>
                <c:pt idx="6">
                  <c:v>48.4</c:v>
                </c:pt>
                <c:pt idx="7">
                  <c:v>47.75</c:v>
                </c:pt>
                <c:pt idx="8">
                  <c:v>47.13513513513513</c:v>
                </c:pt>
                <c:pt idx="9">
                  <c:v>46.55263157894737</c:v>
                </c:pt>
                <c:pt idx="10">
                  <c:v>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FB0-475D-9BF1-0CD9FA76E0C9}"/>
            </c:ext>
          </c:extLst>
        </c:ser>
        <c:ser>
          <c:idx val="4"/>
          <c:order val="4"/>
          <c:tx>
            <c:v>Location 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'Task3 - Calcs for Sensitivity'!$E$27:$O$27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'Task3 - Calcs for Sensitivity'!$E$38:$O$38</c:f>
              <c:numCache>
                <c:formatCode>0.0</c:formatCode>
                <c:ptCount val="11"/>
                <c:pt idx="0">
                  <c:v>43.172413793103452</c:v>
                </c:pt>
                <c:pt idx="1">
                  <c:v>42.466666666666669</c:v>
                </c:pt>
                <c:pt idx="2">
                  <c:v>41.806451612903231</c:v>
                </c:pt>
                <c:pt idx="3">
                  <c:v>41.1875</c:v>
                </c:pt>
                <c:pt idx="4">
                  <c:v>40.606060606060602</c:v>
                </c:pt>
                <c:pt idx="5">
                  <c:v>40.058823529411768</c:v>
                </c:pt>
                <c:pt idx="6">
                  <c:v>39.542857142857144</c:v>
                </c:pt>
                <c:pt idx="7">
                  <c:v>39.05555555555555</c:v>
                </c:pt>
                <c:pt idx="8">
                  <c:v>38.594594594594604</c:v>
                </c:pt>
                <c:pt idx="9">
                  <c:v>38.157894736842103</c:v>
                </c:pt>
                <c:pt idx="10">
                  <c:v>37.743589743589745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FB0-475D-9BF1-0CD9FA76E0C9}"/>
            </c:ext>
          </c:extLst>
        </c:ser>
        <c:ser>
          <c:idx val="5"/>
          <c:order val="5"/>
          <c:tx>
            <c:v>Location F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'Task3 - Calcs for Sensitivity'!$E$27:$O$27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'Task3 - Calcs for Sensitivity'!$E$39:$O$39</c:f>
              <c:numCache>
                <c:formatCode>0.0</c:formatCode>
                <c:ptCount val="11"/>
                <c:pt idx="0">
                  <c:v>51.551724137931039</c:v>
                </c:pt>
                <c:pt idx="1">
                  <c:v>50.666666666666657</c:v>
                </c:pt>
                <c:pt idx="2">
                  <c:v>49.838709677419359</c:v>
                </c:pt>
                <c:pt idx="3">
                  <c:v>49.0625</c:v>
                </c:pt>
                <c:pt idx="4">
                  <c:v>48.333333333333329</c:v>
                </c:pt>
                <c:pt idx="5">
                  <c:v>47.647058823529406</c:v>
                </c:pt>
                <c:pt idx="6">
                  <c:v>47</c:v>
                </c:pt>
                <c:pt idx="7">
                  <c:v>46.388888888888886</c:v>
                </c:pt>
                <c:pt idx="8">
                  <c:v>45.810810810810807</c:v>
                </c:pt>
                <c:pt idx="9">
                  <c:v>45.263157894736835</c:v>
                </c:pt>
                <c:pt idx="10">
                  <c:v>44.743589743589745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FB0-475D-9BF1-0CD9FA76E0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9658752"/>
        <c:axId val="1439652512"/>
      </c:scatterChart>
      <c:valAx>
        <c:axId val="143965875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Weight of</a:t>
                </a:r>
                <a:r>
                  <a:rPr lang="en-AU" baseline="0"/>
                  <a:t> Congestion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39652512"/>
        <c:crosses val="autoZero"/>
        <c:crossBetween val="midCat"/>
      </c:valAx>
      <c:valAx>
        <c:axId val="143965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Benefit</a:t>
                </a:r>
                <a:r>
                  <a:rPr lang="en-AU" baseline="0"/>
                  <a:t> Value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39658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5944678362573099"/>
          <c:y val="0.7081918981481482"/>
          <c:w val="0.43637719298245614"/>
          <c:h val="0.1284615740740740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19685</xdr:rowOff>
    </xdr:from>
    <xdr:to>
      <xdr:col>5</xdr:col>
      <xdr:colOff>0</xdr:colOff>
      <xdr:row>4</xdr:row>
      <xdr:rowOff>177165</xdr:rowOff>
    </xdr:to>
    <xdr:cxnSp macro="">
      <xdr:nvCxnSpPr>
        <xdr:cNvPr id="137" name="Straight Connector 136">
          <a:extLst>
            <a:ext uri="{FF2B5EF4-FFF2-40B4-BE49-F238E27FC236}">
              <a16:creationId xmlns:a16="http://schemas.microsoft.com/office/drawing/2014/main" id="{96DE1A22-B969-B626-0319-E56BFDAB72A1}"/>
            </a:ext>
          </a:extLst>
        </xdr:cNvPr>
        <xdr:cNvCxnSpPr/>
      </xdr:nvCxnSpPr>
      <xdr:spPr>
        <a:xfrm>
          <a:off x="2552700" y="610235"/>
          <a:ext cx="0" cy="15748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</xdr:row>
      <xdr:rowOff>98425</xdr:rowOff>
    </xdr:from>
    <xdr:to>
      <xdr:col>17</xdr:col>
      <xdr:colOff>0</xdr:colOff>
      <xdr:row>4</xdr:row>
      <xdr:rowOff>98425</xdr:rowOff>
    </xdr:to>
    <xdr:cxnSp macro="">
      <xdr:nvCxnSpPr>
        <xdr:cNvPr id="138" name="Straight Connector 137">
          <a:extLst>
            <a:ext uri="{FF2B5EF4-FFF2-40B4-BE49-F238E27FC236}">
              <a16:creationId xmlns:a16="http://schemas.microsoft.com/office/drawing/2014/main" id="{0F53EA6E-9402-7D51-54C1-2E51C3FCEFC3}"/>
            </a:ext>
          </a:extLst>
        </xdr:cNvPr>
        <xdr:cNvCxnSpPr/>
      </xdr:nvCxnSpPr>
      <xdr:spPr>
        <a:xfrm>
          <a:off x="2736850" y="688975"/>
          <a:ext cx="6496050" cy="0"/>
        </a:xfrm>
        <a:prstGeom prst="line">
          <a:avLst/>
        </a:prstGeom>
        <a:ln w="9525">
          <a:solidFill>
            <a:srgbClr val="7F7F7F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</xdr:row>
      <xdr:rowOff>98425</xdr:rowOff>
    </xdr:from>
    <xdr:to>
      <xdr:col>3</xdr:col>
      <xdr:colOff>0</xdr:colOff>
      <xdr:row>12</xdr:row>
      <xdr:rowOff>98425</xdr:rowOff>
    </xdr:to>
    <xdr:cxnSp macro="">
      <xdr:nvCxnSpPr>
        <xdr:cNvPr id="139" name="Straight Connector 138">
          <a:extLst>
            <a:ext uri="{FF2B5EF4-FFF2-40B4-BE49-F238E27FC236}">
              <a16:creationId xmlns:a16="http://schemas.microsoft.com/office/drawing/2014/main" id="{1DC474DC-B50D-9EEE-8F82-186638329903}"/>
            </a:ext>
          </a:extLst>
        </xdr:cNvPr>
        <xdr:cNvCxnSpPr/>
      </xdr:nvCxnSpPr>
      <xdr:spPr>
        <a:xfrm flipV="1">
          <a:off x="844550" y="688975"/>
          <a:ext cx="387350" cy="157480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</xdr:row>
      <xdr:rowOff>98425</xdr:rowOff>
    </xdr:from>
    <xdr:to>
      <xdr:col>5</xdr:col>
      <xdr:colOff>0</xdr:colOff>
      <xdr:row>4</xdr:row>
      <xdr:rowOff>98425</xdr:rowOff>
    </xdr:to>
    <xdr:cxnSp macro="">
      <xdr:nvCxnSpPr>
        <xdr:cNvPr id="140" name="Straight Connector 139">
          <a:extLst>
            <a:ext uri="{FF2B5EF4-FFF2-40B4-BE49-F238E27FC236}">
              <a16:creationId xmlns:a16="http://schemas.microsoft.com/office/drawing/2014/main" id="{9E227ACE-334C-B673-8690-50B53D360287}"/>
            </a:ext>
          </a:extLst>
        </xdr:cNvPr>
        <xdr:cNvCxnSpPr/>
      </xdr:nvCxnSpPr>
      <xdr:spPr>
        <a:xfrm>
          <a:off x="1231900" y="688975"/>
          <a:ext cx="132080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9</xdr:row>
      <xdr:rowOff>19685</xdr:rowOff>
    </xdr:from>
    <xdr:to>
      <xdr:col>9</xdr:col>
      <xdr:colOff>0</xdr:colOff>
      <xdr:row>9</xdr:row>
      <xdr:rowOff>177165</xdr:rowOff>
    </xdr:to>
    <xdr:cxnSp macro="">
      <xdr:nvCxnSpPr>
        <xdr:cNvPr id="141" name="Straight Connector 140">
          <a:extLst>
            <a:ext uri="{FF2B5EF4-FFF2-40B4-BE49-F238E27FC236}">
              <a16:creationId xmlns:a16="http://schemas.microsoft.com/office/drawing/2014/main" id="{EB58A5D6-2420-9F02-A6AB-DE5C326B1A7E}"/>
            </a:ext>
          </a:extLst>
        </xdr:cNvPr>
        <xdr:cNvCxnSpPr/>
      </xdr:nvCxnSpPr>
      <xdr:spPr>
        <a:xfrm>
          <a:off x="5295900" y="1594485"/>
          <a:ext cx="0" cy="15748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9</xdr:row>
      <xdr:rowOff>98425</xdr:rowOff>
    </xdr:from>
    <xdr:to>
      <xdr:col>17</xdr:col>
      <xdr:colOff>0</xdr:colOff>
      <xdr:row>9</xdr:row>
      <xdr:rowOff>98425</xdr:rowOff>
    </xdr:to>
    <xdr:cxnSp macro="">
      <xdr:nvCxnSpPr>
        <xdr:cNvPr id="142" name="Straight Connector 141">
          <a:extLst>
            <a:ext uri="{FF2B5EF4-FFF2-40B4-BE49-F238E27FC236}">
              <a16:creationId xmlns:a16="http://schemas.microsoft.com/office/drawing/2014/main" id="{6732CD23-2046-3C47-F221-BD6F396E8088}"/>
            </a:ext>
          </a:extLst>
        </xdr:cNvPr>
        <xdr:cNvCxnSpPr/>
      </xdr:nvCxnSpPr>
      <xdr:spPr>
        <a:xfrm>
          <a:off x="5480050" y="1673225"/>
          <a:ext cx="3752850" cy="0"/>
        </a:xfrm>
        <a:prstGeom prst="line">
          <a:avLst/>
        </a:prstGeom>
        <a:ln w="9525">
          <a:solidFill>
            <a:srgbClr val="7F7F7F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9</xdr:row>
      <xdr:rowOff>98425</xdr:rowOff>
    </xdr:from>
    <xdr:to>
      <xdr:col>7</xdr:col>
      <xdr:colOff>0</xdr:colOff>
      <xdr:row>21</xdr:row>
      <xdr:rowOff>98425</xdr:rowOff>
    </xdr:to>
    <xdr:cxnSp macro="">
      <xdr:nvCxnSpPr>
        <xdr:cNvPr id="143" name="Straight Connector 142">
          <a:extLst>
            <a:ext uri="{FF2B5EF4-FFF2-40B4-BE49-F238E27FC236}">
              <a16:creationId xmlns:a16="http://schemas.microsoft.com/office/drawing/2014/main" id="{C3BA7D26-99D8-8774-9BC3-78B64EF31147}"/>
            </a:ext>
          </a:extLst>
        </xdr:cNvPr>
        <xdr:cNvCxnSpPr/>
      </xdr:nvCxnSpPr>
      <xdr:spPr>
        <a:xfrm flipV="1">
          <a:off x="2736850" y="1673225"/>
          <a:ext cx="387350" cy="236220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9</xdr:row>
      <xdr:rowOff>98425</xdr:rowOff>
    </xdr:from>
    <xdr:to>
      <xdr:col>9</xdr:col>
      <xdr:colOff>0</xdr:colOff>
      <xdr:row>9</xdr:row>
      <xdr:rowOff>98425</xdr:rowOff>
    </xdr:to>
    <xdr:cxnSp macro="">
      <xdr:nvCxnSpPr>
        <xdr:cNvPr id="144" name="Straight Connector 143">
          <a:extLst>
            <a:ext uri="{FF2B5EF4-FFF2-40B4-BE49-F238E27FC236}">
              <a16:creationId xmlns:a16="http://schemas.microsoft.com/office/drawing/2014/main" id="{974B45ED-9CE1-9E19-54C5-CE8604CFA026}"/>
            </a:ext>
          </a:extLst>
        </xdr:cNvPr>
        <xdr:cNvCxnSpPr/>
      </xdr:nvCxnSpPr>
      <xdr:spPr>
        <a:xfrm>
          <a:off x="3124200" y="1673225"/>
          <a:ext cx="217170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14</xdr:row>
      <xdr:rowOff>19685</xdr:rowOff>
    </xdr:from>
    <xdr:to>
      <xdr:col>13</xdr:col>
      <xdr:colOff>0</xdr:colOff>
      <xdr:row>14</xdr:row>
      <xdr:rowOff>177165</xdr:rowOff>
    </xdr:to>
    <xdr:cxnSp macro="">
      <xdr:nvCxnSpPr>
        <xdr:cNvPr id="145" name="Straight Connector 144">
          <a:extLst>
            <a:ext uri="{FF2B5EF4-FFF2-40B4-BE49-F238E27FC236}">
              <a16:creationId xmlns:a16="http://schemas.microsoft.com/office/drawing/2014/main" id="{BD393F8C-0435-1D93-8EC9-5A4AFFA3CC9C}"/>
            </a:ext>
          </a:extLst>
        </xdr:cNvPr>
        <xdr:cNvCxnSpPr/>
      </xdr:nvCxnSpPr>
      <xdr:spPr>
        <a:xfrm>
          <a:off x="7340600" y="2578735"/>
          <a:ext cx="0" cy="15748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14</xdr:row>
      <xdr:rowOff>98425</xdr:rowOff>
    </xdr:from>
    <xdr:to>
      <xdr:col>17</xdr:col>
      <xdr:colOff>0</xdr:colOff>
      <xdr:row>14</xdr:row>
      <xdr:rowOff>98425</xdr:rowOff>
    </xdr:to>
    <xdr:cxnSp macro="">
      <xdr:nvCxnSpPr>
        <xdr:cNvPr id="146" name="Straight Connector 145">
          <a:extLst>
            <a:ext uri="{FF2B5EF4-FFF2-40B4-BE49-F238E27FC236}">
              <a16:creationId xmlns:a16="http://schemas.microsoft.com/office/drawing/2014/main" id="{C0169C15-0A94-F95E-072A-71549B268CA8}"/>
            </a:ext>
          </a:extLst>
        </xdr:cNvPr>
        <xdr:cNvCxnSpPr/>
      </xdr:nvCxnSpPr>
      <xdr:spPr>
        <a:xfrm>
          <a:off x="7524750" y="2657475"/>
          <a:ext cx="1708150" cy="0"/>
        </a:xfrm>
        <a:prstGeom prst="line">
          <a:avLst/>
        </a:prstGeom>
        <a:ln w="9525">
          <a:solidFill>
            <a:srgbClr val="7F7F7F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14</xdr:row>
      <xdr:rowOff>98425</xdr:rowOff>
    </xdr:from>
    <xdr:to>
      <xdr:col>11</xdr:col>
      <xdr:colOff>0</xdr:colOff>
      <xdr:row>19</xdr:row>
      <xdr:rowOff>98425</xdr:rowOff>
    </xdr:to>
    <xdr:cxnSp macro="">
      <xdr:nvCxnSpPr>
        <xdr:cNvPr id="147" name="Straight Connector 146">
          <a:extLst>
            <a:ext uri="{FF2B5EF4-FFF2-40B4-BE49-F238E27FC236}">
              <a16:creationId xmlns:a16="http://schemas.microsoft.com/office/drawing/2014/main" id="{7DEC7C11-FD3D-418D-4CE6-15CF087CF415}"/>
            </a:ext>
          </a:extLst>
        </xdr:cNvPr>
        <xdr:cNvCxnSpPr/>
      </xdr:nvCxnSpPr>
      <xdr:spPr>
        <a:xfrm flipV="1">
          <a:off x="5480050" y="2657475"/>
          <a:ext cx="387350" cy="98425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14</xdr:row>
      <xdr:rowOff>98425</xdr:rowOff>
    </xdr:from>
    <xdr:to>
      <xdr:col>13</xdr:col>
      <xdr:colOff>0</xdr:colOff>
      <xdr:row>14</xdr:row>
      <xdr:rowOff>98425</xdr:rowOff>
    </xdr:to>
    <xdr:cxnSp macro="">
      <xdr:nvCxnSpPr>
        <xdr:cNvPr id="148" name="Straight Connector 147">
          <a:extLst>
            <a:ext uri="{FF2B5EF4-FFF2-40B4-BE49-F238E27FC236}">
              <a16:creationId xmlns:a16="http://schemas.microsoft.com/office/drawing/2014/main" id="{98E998AC-62B6-C4AA-549A-D00A47DA2F54}"/>
            </a:ext>
          </a:extLst>
        </xdr:cNvPr>
        <xdr:cNvCxnSpPr/>
      </xdr:nvCxnSpPr>
      <xdr:spPr>
        <a:xfrm>
          <a:off x="5867400" y="2657475"/>
          <a:ext cx="147320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19</xdr:row>
      <xdr:rowOff>19685</xdr:rowOff>
    </xdr:from>
    <xdr:to>
      <xdr:col>13</xdr:col>
      <xdr:colOff>0</xdr:colOff>
      <xdr:row>19</xdr:row>
      <xdr:rowOff>177165</xdr:rowOff>
    </xdr:to>
    <xdr:cxnSp macro="">
      <xdr:nvCxnSpPr>
        <xdr:cNvPr id="149" name="Straight Connector 148">
          <a:extLst>
            <a:ext uri="{FF2B5EF4-FFF2-40B4-BE49-F238E27FC236}">
              <a16:creationId xmlns:a16="http://schemas.microsoft.com/office/drawing/2014/main" id="{7A6F7B66-E74D-18C9-F24A-7DB48DBDA2F3}"/>
            </a:ext>
          </a:extLst>
        </xdr:cNvPr>
        <xdr:cNvCxnSpPr/>
      </xdr:nvCxnSpPr>
      <xdr:spPr>
        <a:xfrm>
          <a:off x="7340600" y="3562985"/>
          <a:ext cx="0" cy="15748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19</xdr:row>
      <xdr:rowOff>98425</xdr:rowOff>
    </xdr:from>
    <xdr:to>
      <xdr:col>17</xdr:col>
      <xdr:colOff>0</xdr:colOff>
      <xdr:row>19</xdr:row>
      <xdr:rowOff>98425</xdr:rowOff>
    </xdr:to>
    <xdr:cxnSp macro="">
      <xdr:nvCxnSpPr>
        <xdr:cNvPr id="150" name="Straight Connector 149">
          <a:extLst>
            <a:ext uri="{FF2B5EF4-FFF2-40B4-BE49-F238E27FC236}">
              <a16:creationId xmlns:a16="http://schemas.microsoft.com/office/drawing/2014/main" id="{763A91CD-A9B6-8263-5E3C-286E36153F7A}"/>
            </a:ext>
          </a:extLst>
        </xdr:cNvPr>
        <xdr:cNvCxnSpPr/>
      </xdr:nvCxnSpPr>
      <xdr:spPr>
        <a:xfrm>
          <a:off x="7524750" y="3641725"/>
          <a:ext cx="1708150" cy="0"/>
        </a:xfrm>
        <a:prstGeom prst="line">
          <a:avLst/>
        </a:prstGeom>
        <a:ln w="9525">
          <a:solidFill>
            <a:srgbClr val="7F7F7F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19</xdr:row>
      <xdr:rowOff>98425</xdr:rowOff>
    </xdr:from>
    <xdr:to>
      <xdr:col>11</xdr:col>
      <xdr:colOff>0</xdr:colOff>
      <xdr:row>19</xdr:row>
      <xdr:rowOff>98425</xdr:rowOff>
    </xdr:to>
    <xdr:cxnSp macro="">
      <xdr:nvCxnSpPr>
        <xdr:cNvPr id="151" name="Straight Connector 150">
          <a:extLst>
            <a:ext uri="{FF2B5EF4-FFF2-40B4-BE49-F238E27FC236}">
              <a16:creationId xmlns:a16="http://schemas.microsoft.com/office/drawing/2014/main" id="{C6BDC950-43E4-543C-95F9-9F74BF5F66C6}"/>
            </a:ext>
          </a:extLst>
        </xdr:cNvPr>
        <xdr:cNvCxnSpPr/>
      </xdr:nvCxnSpPr>
      <xdr:spPr>
        <a:xfrm>
          <a:off x="5480050" y="3641725"/>
          <a:ext cx="38735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19</xdr:row>
      <xdr:rowOff>98425</xdr:rowOff>
    </xdr:from>
    <xdr:to>
      <xdr:col>13</xdr:col>
      <xdr:colOff>0</xdr:colOff>
      <xdr:row>19</xdr:row>
      <xdr:rowOff>98425</xdr:rowOff>
    </xdr:to>
    <xdr:cxnSp macro="">
      <xdr:nvCxnSpPr>
        <xdr:cNvPr id="152" name="Straight Connector 151">
          <a:extLst>
            <a:ext uri="{FF2B5EF4-FFF2-40B4-BE49-F238E27FC236}">
              <a16:creationId xmlns:a16="http://schemas.microsoft.com/office/drawing/2014/main" id="{A1878272-0F7A-1E85-9BB4-AD9A1C465E19}"/>
            </a:ext>
          </a:extLst>
        </xdr:cNvPr>
        <xdr:cNvCxnSpPr/>
      </xdr:nvCxnSpPr>
      <xdr:spPr>
        <a:xfrm>
          <a:off x="5867400" y="3641725"/>
          <a:ext cx="147320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24</xdr:row>
      <xdr:rowOff>19685</xdr:rowOff>
    </xdr:from>
    <xdr:to>
      <xdr:col>13</xdr:col>
      <xdr:colOff>0</xdr:colOff>
      <xdr:row>24</xdr:row>
      <xdr:rowOff>177165</xdr:rowOff>
    </xdr:to>
    <xdr:cxnSp macro="">
      <xdr:nvCxnSpPr>
        <xdr:cNvPr id="153" name="Straight Connector 152">
          <a:extLst>
            <a:ext uri="{FF2B5EF4-FFF2-40B4-BE49-F238E27FC236}">
              <a16:creationId xmlns:a16="http://schemas.microsoft.com/office/drawing/2014/main" id="{B0C9DACA-200A-CF94-F624-AF81F1E94E6E}"/>
            </a:ext>
          </a:extLst>
        </xdr:cNvPr>
        <xdr:cNvCxnSpPr/>
      </xdr:nvCxnSpPr>
      <xdr:spPr>
        <a:xfrm>
          <a:off x="7340600" y="4547235"/>
          <a:ext cx="0" cy="15748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24</xdr:row>
      <xdr:rowOff>98425</xdr:rowOff>
    </xdr:from>
    <xdr:to>
      <xdr:col>17</xdr:col>
      <xdr:colOff>0</xdr:colOff>
      <xdr:row>24</xdr:row>
      <xdr:rowOff>98425</xdr:rowOff>
    </xdr:to>
    <xdr:cxnSp macro="">
      <xdr:nvCxnSpPr>
        <xdr:cNvPr id="154" name="Straight Connector 153">
          <a:extLst>
            <a:ext uri="{FF2B5EF4-FFF2-40B4-BE49-F238E27FC236}">
              <a16:creationId xmlns:a16="http://schemas.microsoft.com/office/drawing/2014/main" id="{345512D3-4C62-7516-4F10-3AA61C1FA6A7}"/>
            </a:ext>
          </a:extLst>
        </xdr:cNvPr>
        <xdr:cNvCxnSpPr/>
      </xdr:nvCxnSpPr>
      <xdr:spPr>
        <a:xfrm>
          <a:off x="7524750" y="4625975"/>
          <a:ext cx="1708150" cy="0"/>
        </a:xfrm>
        <a:prstGeom prst="line">
          <a:avLst/>
        </a:prstGeom>
        <a:ln w="9525">
          <a:solidFill>
            <a:srgbClr val="7F7F7F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19</xdr:row>
      <xdr:rowOff>98425</xdr:rowOff>
    </xdr:from>
    <xdr:to>
      <xdr:col>11</xdr:col>
      <xdr:colOff>0</xdr:colOff>
      <xdr:row>24</xdr:row>
      <xdr:rowOff>98425</xdr:rowOff>
    </xdr:to>
    <xdr:cxnSp macro="">
      <xdr:nvCxnSpPr>
        <xdr:cNvPr id="155" name="Straight Connector 154">
          <a:extLst>
            <a:ext uri="{FF2B5EF4-FFF2-40B4-BE49-F238E27FC236}">
              <a16:creationId xmlns:a16="http://schemas.microsoft.com/office/drawing/2014/main" id="{74318CD8-2C97-379D-215A-A9ADDAAFFEA4}"/>
            </a:ext>
          </a:extLst>
        </xdr:cNvPr>
        <xdr:cNvCxnSpPr/>
      </xdr:nvCxnSpPr>
      <xdr:spPr>
        <a:xfrm>
          <a:off x="5480050" y="3641725"/>
          <a:ext cx="387350" cy="98425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24</xdr:row>
      <xdr:rowOff>98425</xdr:rowOff>
    </xdr:from>
    <xdr:to>
      <xdr:col>13</xdr:col>
      <xdr:colOff>0</xdr:colOff>
      <xdr:row>24</xdr:row>
      <xdr:rowOff>98425</xdr:rowOff>
    </xdr:to>
    <xdr:cxnSp macro="">
      <xdr:nvCxnSpPr>
        <xdr:cNvPr id="156" name="Straight Connector 155">
          <a:extLst>
            <a:ext uri="{FF2B5EF4-FFF2-40B4-BE49-F238E27FC236}">
              <a16:creationId xmlns:a16="http://schemas.microsoft.com/office/drawing/2014/main" id="{93B3FF2A-8A94-358F-2466-49070E2289C3}"/>
            </a:ext>
          </a:extLst>
        </xdr:cNvPr>
        <xdr:cNvCxnSpPr/>
      </xdr:nvCxnSpPr>
      <xdr:spPr>
        <a:xfrm>
          <a:off x="5867400" y="4625975"/>
          <a:ext cx="147320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12700</xdr:colOff>
      <xdr:row>19</xdr:row>
      <xdr:rowOff>12700</xdr:rowOff>
    </xdr:from>
    <xdr:to>
      <xdr:col>10</xdr:col>
      <xdr:colOff>0</xdr:colOff>
      <xdr:row>19</xdr:row>
      <xdr:rowOff>184150</xdr:rowOff>
    </xdr:to>
    <xdr:sp macro="" textlink="">
      <xdr:nvSpPr>
        <xdr:cNvPr id="157" name="Oval 156">
          <a:extLst>
            <a:ext uri="{FF2B5EF4-FFF2-40B4-BE49-F238E27FC236}">
              <a16:creationId xmlns:a16="http://schemas.microsoft.com/office/drawing/2014/main" id="{D79277AC-862C-E77A-2052-0874D5463085}"/>
            </a:ext>
          </a:extLst>
        </xdr:cNvPr>
        <xdr:cNvSpPr/>
      </xdr:nvSpPr>
      <xdr:spPr>
        <a:xfrm>
          <a:off x="5308600" y="3556000"/>
          <a:ext cx="171450" cy="171450"/>
        </a:xfrm>
        <a:prstGeom prst="ellipse">
          <a:avLst/>
        </a:prstGeom>
        <a:ln w="12700">
          <a:solidFill>
            <a:srgbClr val="7F7F7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6</xdr:col>
      <xdr:colOff>0</xdr:colOff>
      <xdr:row>19</xdr:row>
      <xdr:rowOff>98425</xdr:rowOff>
    </xdr:from>
    <xdr:to>
      <xdr:col>7</xdr:col>
      <xdr:colOff>0</xdr:colOff>
      <xdr:row>21</xdr:row>
      <xdr:rowOff>98425</xdr:rowOff>
    </xdr:to>
    <xdr:cxnSp macro="">
      <xdr:nvCxnSpPr>
        <xdr:cNvPr id="158" name="Straight Connector 157">
          <a:extLst>
            <a:ext uri="{FF2B5EF4-FFF2-40B4-BE49-F238E27FC236}">
              <a16:creationId xmlns:a16="http://schemas.microsoft.com/office/drawing/2014/main" id="{A59F1E5E-21E2-5523-1A24-40937A990623}"/>
            </a:ext>
          </a:extLst>
        </xdr:cNvPr>
        <xdr:cNvCxnSpPr/>
      </xdr:nvCxnSpPr>
      <xdr:spPr>
        <a:xfrm flipV="1">
          <a:off x="2736850" y="3641725"/>
          <a:ext cx="387350" cy="39370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19</xdr:row>
      <xdr:rowOff>98425</xdr:rowOff>
    </xdr:from>
    <xdr:to>
      <xdr:col>9</xdr:col>
      <xdr:colOff>0</xdr:colOff>
      <xdr:row>19</xdr:row>
      <xdr:rowOff>98425</xdr:rowOff>
    </xdr:to>
    <xdr:cxnSp macro="">
      <xdr:nvCxnSpPr>
        <xdr:cNvPr id="159" name="Straight Connector 158">
          <a:extLst>
            <a:ext uri="{FF2B5EF4-FFF2-40B4-BE49-F238E27FC236}">
              <a16:creationId xmlns:a16="http://schemas.microsoft.com/office/drawing/2014/main" id="{6A915EA1-EE5A-5D5C-1009-EB89290E19AB}"/>
            </a:ext>
          </a:extLst>
        </xdr:cNvPr>
        <xdr:cNvCxnSpPr/>
      </xdr:nvCxnSpPr>
      <xdr:spPr>
        <a:xfrm>
          <a:off x="3124200" y="3641725"/>
          <a:ext cx="217170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29</xdr:row>
      <xdr:rowOff>19685</xdr:rowOff>
    </xdr:from>
    <xdr:to>
      <xdr:col>13</xdr:col>
      <xdr:colOff>0</xdr:colOff>
      <xdr:row>29</xdr:row>
      <xdr:rowOff>177165</xdr:rowOff>
    </xdr:to>
    <xdr:cxnSp macro="">
      <xdr:nvCxnSpPr>
        <xdr:cNvPr id="160" name="Straight Connector 159">
          <a:extLst>
            <a:ext uri="{FF2B5EF4-FFF2-40B4-BE49-F238E27FC236}">
              <a16:creationId xmlns:a16="http://schemas.microsoft.com/office/drawing/2014/main" id="{E6D030B6-6AD4-1444-121E-D8BEF7AE3684}"/>
            </a:ext>
          </a:extLst>
        </xdr:cNvPr>
        <xdr:cNvCxnSpPr/>
      </xdr:nvCxnSpPr>
      <xdr:spPr>
        <a:xfrm>
          <a:off x="7340600" y="5531485"/>
          <a:ext cx="0" cy="15748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29</xdr:row>
      <xdr:rowOff>98425</xdr:rowOff>
    </xdr:from>
    <xdr:to>
      <xdr:col>17</xdr:col>
      <xdr:colOff>0</xdr:colOff>
      <xdr:row>29</xdr:row>
      <xdr:rowOff>98425</xdr:rowOff>
    </xdr:to>
    <xdr:cxnSp macro="">
      <xdr:nvCxnSpPr>
        <xdr:cNvPr id="161" name="Straight Connector 160">
          <a:extLst>
            <a:ext uri="{FF2B5EF4-FFF2-40B4-BE49-F238E27FC236}">
              <a16:creationId xmlns:a16="http://schemas.microsoft.com/office/drawing/2014/main" id="{4A3F5CBE-D8DD-7852-A6A4-46B2C5758464}"/>
            </a:ext>
          </a:extLst>
        </xdr:cNvPr>
        <xdr:cNvCxnSpPr/>
      </xdr:nvCxnSpPr>
      <xdr:spPr>
        <a:xfrm>
          <a:off x="7524750" y="5610225"/>
          <a:ext cx="1708150" cy="0"/>
        </a:xfrm>
        <a:prstGeom prst="line">
          <a:avLst/>
        </a:prstGeom>
        <a:ln w="9525">
          <a:solidFill>
            <a:srgbClr val="7F7F7F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29</xdr:row>
      <xdr:rowOff>98425</xdr:rowOff>
    </xdr:from>
    <xdr:to>
      <xdr:col>11</xdr:col>
      <xdr:colOff>0</xdr:colOff>
      <xdr:row>34</xdr:row>
      <xdr:rowOff>98425</xdr:rowOff>
    </xdr:to>
    <xdr:cxnSp macro="">
      <xdr:nvCxnSpPr>
        <xdr:cNvPr id="162" name="Straight Connector 161">
          <a:extLst>
            <a:ext uri="{FF2B5EF4-FFF2-40B4-BE49-F238E27FC236}">
              <a16:creationId xmlns:a16="http://schemas.microsoft.com/office/drawing/2014/main" id="{00CEDE37-E939-DC9B-A238-ED42F647EFA2}"/>
            </a:ext>
          </a:extLst>
        </xdr:cNvPr>
        <xdr:cNvCxnSpPr/>
      </xdr:nvCxnSpPr>
      <xdr:spPr>
        <a:xfrm flipV="1">
          <a:off x="5480050" y="5610225"/>
          <a:ext cx="387350" cy="98425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29</xdr:row>
      <xdr:rowOff>98425</xdr:rowOff>
    </xdr:from>
    <xdr:to>
      <xdr:col>13</xdr:col>
      <xdr:colOff>0</xdr:colOff>
      <xdr:row>29</xdr:row>
      <xdr:rowOff>98425</xdr:rowOff>
    </xdr:to>
    <xdr:cxnSp macro="">
      <xdr:nvCxnSpPr>
        <xdr:cNvPr id="163" name="Straight Connector 162">
          <a:extLst>
            <a:ext uri="{FF2B5EF4-FFF2-40B4-BE49-F238E27FC236}">
              <a16:creationId xmlns:a16="http://schemas.microsoft.com/office/drawing/2014/main" id="{BE2E231E-9A5E-7F6E-932F-35CDB7DF6EC4}"/>
            </a:ext>
          </a:extLst>
        </xdr:cNvPr>
        <xdr:cNvCxnSpPr/>
      </xdr:nvCxnSpPr>
      <xdr:spPr>
        <a:xfrm>
          <a:off x="5867400" y="5610225"/>
          <a:ext cx="147320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34</xdr:row>
      <xdr:rowOff>19685</xdr:rowOff>
    </xdr:from>
    <xdr:to>
      <xdr:col>17</xdr:col>
      <xdr:colOff>0</xdr:colOff>
      <xdr:row>34</xdr:row>
      <xdr:rowOff>177165</xdr:rowOff>
    </xdr:to>
    <xdr:cxnSp macro="">
      <xdr:nvCxnSpPr>
        <xdr:cNvPr id="164" name="Straight Connector 163">
          <a:extLst>
            <a:ext uri="{FF2B5EF4-FFF2-40B4-BE49-F238E27FC236}">
              <a16:creationId xmlns:a16="http://schemas.microsoft.com/office/drawing/2014/main" id="{6E175D33-29D3-635F-8E31-F9D614F6A828}"/>
            </a:ext>
          </a:extLst>
        </xdr:cNvPr>
        <xdr:cNvCxnSpPr/>
      </xdr:nvCxnSpPr>
      <xdr:spPr>
        <a:xfrm>
          <a:off x="9232900" y="6515735"/>
          <a:ext cx="0" cy="15748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34</xdr:row>
      <xdr:rowOff>98425</xdr:rowOff>
    </xdr:from>
    <xdr:to>
      <xdr:col>15</xdr:col>
      <xdr:colOff>0</xdr:colOff>
      <xdr:row>39</xdr:row>
      <xdr:rowOff>98425</xdr:rowOff>
    </xdr:to>
    <xdr:cxnSp macro="">
      <xdr:nvCxnSpPr>
        <xdr:cNvPr id="165" name="Straight Connector 164">
          <a:extLst>
            <a:ext uri="{FF2B5EF4-FFF2-40B4-BE49-F238E27FC236}">
              <a16:creationId xmlns:a16="http://schemas.microsoft.com/office/drawing/2014/main" id="{8DFD268F-AEC1-967E-7C7A-7D992BAF2FF4}"/>
            </a:ext>
          </a:extLst>
        </xdr:cNvPr>
        <xdr:cNvCxnSpPr/>
      </xdr:nvCxnSpPr>
      <xdr:spPr>
        <a:xfrm flipV="1">
          <a:off x="7524750" y="6594475"/>
          <a:ext cx="387350" cy="98425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34</xdr:row>
      <xdr:rowOff>98425</xdr:rowOff>
    </xdr:from>
    <xdr:to>
      <xdr:col>17</xdr:col>
      <xdr:colOff>0</xdr:colOff>
      <xdr:row>34</xdr:row>
      <xdr:rowOff>98425</xdr:rowOff>
    </xdr:to>
    <xdr:cxnSp macro="">
      <xdr:nvCxnSpPr>
        <xdr:cNvPr id="166" name="Straight Connector 165">
          <a:extLst>
            <a:ext uri="{FF2B5EF4-FFF2-40B4-BE49-F238E27FC236}">
              <a16:creationId xmlns:a16="http://schemas.microsoft.com/office/drawing/2014/main" id="{D614FFB3-C4CD-2EDE-49C3-D77D9EDF5754}"/>
            </a:ext>
          </a:extLst>
        </xdr:cNvPr>
        <xdr:cNvCxnSpPr/>
      </xdr:nvCxnSpPr>
      <xdr:spPr>
        <a:xfrm>
          <a:off x="7912100" y="6594475"/>
          <a:ext cx="132080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39</xdr:row>
      <xdr:rowOff>19685</xdr:rowOff>
    </xdr:from>
    <xdr:to>
      <xdr:col>17</xdr:col>
      <xdr:colOff>0</xdr:colOff>
      <xdr:row>39</xdr:row>
      <xdr:rowOff>177165</xdr:rowOff>
    </xdr:to>
    <xdr:cxnSp macro="">
      <xdr:nvCxnSpPr>
        <xdr:cNvPr id="167" name="Straight Connector 166">
          <a:extLst>
            <a:ext uri="{FF2B5EF4-FFF2-40B4-BE49-F238E27FC236}">
              <a16:creationId xmlns:a16="http://schemas.microsoft.com/office/drawing/2014/main" id="{3D5B3A6D-DCAC-555D-9E6D-7BD95E17012C}"/>
            </a:ext>
          </a:extLst>
        </xdr:cNvPr>
        <xdr:cNvCxnSpPr/>
      </xdr:nvCxnSpPr>
      <xdr:spPr>
        <a:xfrm>
          <a:off x="9232900" y="7499985"/>
          <a:ext cx="0" cy="15748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39</xdr:row>
      <xdr:rowOff>98425</xdr:rowOff>
    </xdr:from>
    <xdr:to>
      <xdr:col>15</xdr:col>
      <xdr:colOff>0</xdr:colOff>
      <xdr:row>39</xdr:row>
      <xdr:rowOff>98425</xdr:rowOff>
    </xdr:to>
    <xdr:cxnSp macro="">
      <xdr:nvCxnSpPr>
        <xdr:cNvPr id="168" name="Straight Connector 167">
          <a:extLst>
            <a:ext uri="{FF2B5EF4-FFF2-40B4-BE49-F238E27FC236}">
              <a16:creationId xmlns:a16="http://schemas.microsoft.com/office/drawing/2014/main" id="{5283210A-A711-D857-9CFC-BF71D072E52A}"/>
            </a:ext>
          </a:extLst>
        </xdr:cNvPr>
        <xdr:cNvCxnSpPr/>
      </xdr:nvCxnSpPr>
      <xdr:spPr>
        <a:xfrm>
          <a:off x="7524750" y="7578725"/>
          <a:ext cx="38735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39</xdr:row>
      <xdr:rowOff>98425</xdr:rowOff>
    </xdr:from>
    <xdr:to>
      <xdr:col>17</xdr:col>
      <xdr:colOff>0</xdr:colOff>
      <xdr:row>39</xdr:row>
      <xdr:rowOff>98425</xdr:rowOff>
    </xdr:to>
    <xdr:cxnSp macro="">
      <xdr:nvCxnSpPr>
        <xdr:cNvPr id="169" name="Straight Connector 168">
          <a:extLst>
            <a:ext uri="{FF2B5EF4-FFF2-40B4-BE49-F238E27FC236}">
              <a16:creationId xmlns:a16="http://schemas.microsoft.com/office/drawing/2014/main" id="{84EC9B6F-5544-0CA8-91B0-C2184CA66093}"/>
            </a:ext>
          </a:extLst>
        </xdr:cNvPr>
        <xdr:cNvCxnSpPr/>
      </xdr:nvCxnSpPr>
      <xdr:spPr>
        <a:xfrm>
          <a:off x="7912100" y="7578725"/>
          <a:ext cx="132080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44</xdr:row>
      <xdr:rowOff>19685</xdr:rowOff>
    </xdr:from>
    <xdr:to>
      <xdr:col>17</xdr:col>
      <xdr:colOff>0</xdr:colOff>
      <xdr:row>44</xdr:row>
      <xdr:rowOff>177165</xdr:rowOff>
    </xdr:to>
    <xdr:cxnSp macro="">
      <xdr:nvCxnSpPr>
        <xdr:cNvPr id="170" name="Straight Connector 169">
          <a:extLst>
            <a:ext uri="{FF2B5EF4-FFF2-40B4-BE49-F238E27FC236}">
              <a16:creationId xmlns:a16="http://schemas.microsoft.com/office/drawing/2014/main" id="{2321E107-DA80-CE70-578C-CB5316B233AE}"/>
            </a:ext>
          </a:extLst>
        </xdr:cNvPr>
        <xdr:cNvCxnSpPr/>
      </xdr:nvCxnSpPr>
      <xdr:spPr>
        <a:xfrm>
          <a:off x="9232900" y="8484235"/>
          <a:ext cx="0" cy="15748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39</xdr:row>
      <xdr:rowOff>98425</xdr:rowOff>
    </xdr:from>
    <xdr:to>
      <xdr:col>15</xdr:col>
      <xdr:colOff>0</xdr:colOff>
      <xdr:row>44</xdr:row>
      <xdr:rowOff>98425</xdr:rowOff>
    </xdr:to>
    <xdr:cxnSp macro="">
      <xdr:nvCxnSpPr>
        <xdr:cNvPr id="171" name="Straight Connector 170">
          <a:extLst>
            <a:ext uri="{FF2B5EF4-FFF2-40B4-BE49-F238E27FC236}">
              <a16:creationId xmlns:a16="http://schemas.microsoft.com/office/drawing/2014/main" id="{2E457717-F480-12F5-53C6-28090760269F}"/>
            </a:ext>
          </a:extLst>
        </xdr:cNvPr>
        <xdr:cNvCxnSpPr/>
      </xdr:nvCxnSpPr>
      <xdr:spPr>
        <a:xfrm>
          <a:off x="7524750" y="7578725"/>
          <a:ext cx="387350" cy="98425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44</xdr:row>
      <xdr:rowOff>98425</xdr:rowOff>
    </xdr:from>
    <xdr:to>
      <xdr:col>17</xdr:col>
      <xdr:colOff>0</xdr:colOff>
      <xdr:row>44</xdr:row>
      <xdr:rowOff>98425</xdr:rowOff>
    </xdr:to>
    <xdr:cxnSp macro="">
      <xdr:nvCxnSpPr>
        <xdr:cNvPr id="172" name="Straight Connector 171">
          <a:extLst>
            <a:ext uri="{FF2B5EF4-FFF2-40B4-BE49-F238E27FC236}">
              <a16:creationId xmlns:a16="http://schemas.microsoft.com/office/drawing/2014/main" id="{4E97A47F-30F2-0879-F54E-C827305CB914}"/>
            </a:ext>
          </a:extLst>
        </xdr:cNvPr>
        <xdr:cNvCxnSpPr/>
      </xdr:nvCxnSpPr>
      <xdr:spPr>
        <a:xfrm>
          <a:off x="7912100" y="8562975"/>
          <a:ext cx="132080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12700</xdr:colOff>
      <xdr:row>39</xdr:row>
      <xdr:rowOff>12700</xdr:rowOff>
    </xdr:from>
    <xdr:to>
      <xdr:col>14</xdr:col>
      <xdr:colOff>0</xdr:colOff>
      <xdr:row>39</xdr:row>
      <xdr:rowOff>184150</xdr:rowOff>
    </xdr:to>
    <xdr:sp macro="" textlink="">
      <xdr:nvSpPr>
        <xdr:cNvPr id="173" name="Oval 172">
          <a:extLst>
            <a:ext uri="{FF2B5EF4-FFF2-40B4-BE49-F238E27FC236}">
              <a16:creationId xmlns:a16="http://schemas.microsoft.com/office/drawing/2014/main" id="{8A229A53-B646-B1F6-B14D-BCD14418DCBA}"/>
            </a:ext>
          </a:extLst>
        </xdr:cNvPr>
        <xdr:cNvSpPr/>
      </xdr:nvSpPr>
      <xdr:spPr>
        <a:xfrm>
          <a:off x="7353300" y="7493000"/>
          <a:ext cx="171450" cy="171450"/>
        </a:xfrm>
        <a:prstGeom prst="ellipse">
          <a:avLst/>
        </a:prstGeom>
        <a:ln w="12700">
          <a:solidFill>
            <a:srgbClr val="7F7F7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10</xdr:col>
      <xdr:colOff>0</xdr:colOff>
      <xdr:row>34</xdr:row>
      <xdr:rowOff>98425</xdr:rowOff>
    </xdr:from>
    <xdr:to>
      <xdr:col>11</xdr:col>
      <xdr:colOff>0</xdr:colOff>
      <xdr:row>39</xdr:row>
      <xdr:rowOff>98425</xdr:rowOff>
    </xdr:to>
    <xdr:cxnSp macro="">
      <xdr:nvCxnSpPr>
        <xdr:cNvPr id="174" name="Straight Connector 173">
          <a:extLst>
            <a:ext uri="{FF2B5EF4-FFF2-40B4-BE49-F238E27FC236}">
              <a16:creationId xmlns:a16="http://schemas.microsoft.com/office/drawing/2014/main" id="{5677ABC1-E46B-F697-B2AF-5E7527813025}"/>
            </a:ext>
          </a:extLst>
        </xdr:cNvPr>
        <xdr:cNvCxnSpPr/>
      </xdr:nvCxnSpPr>
      <xdr:spPr>
        <a:xfrm>
          <a:off x="5480050" y="6594475"/>
          <a:ext cx="387350" cy="98425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39</xdr:row>
      <xdr:rowOff>98425</xdr:rowOff>
    </xdr:from>
    <xdr:to>
      <xdr:col>13</xdr:col>
      <xdr:colOff>0</xdr:colOff>
      <xdr:row>39</xdr:row>
      <xdr:rowOff>98425</xdr:rowOff>
    </xdr:to>
    <xdr:cxnSp macro="">
      <xdr:nvCxnSpPr>
        <xdr:cNvPr id="175" name="Straight Connector 174">
          <a:extLst>
            <a:ext uri="{FF2B5EF4-FFF2-40B4-BE49-F238E27FC236}">
              <a16:creationId xmlns:a16="http://schemas.microsoft.com/office/drawing/2014/main" id="{062DA0BD-A658-DDE7-72CC-6C5EF7679667}"/>
            </a:ext>
          </a:extLst>
        </xdr:cNvPr>
        <xdr:cNvCxnSpPr/>
      </xdr:nvCxnSpPr>
      <xdr:spPr>
        <a:xfrm>
          <a:off x="5867400" y="7578725"/>
          <a:ext cx="147320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12700</xdr:colOff>
      <xdr:row>34</xdr:row>
      <xdr:rowOff>12700</xdr:rowOff>
    </xdr:from>
    <xdr:to>
      <xdr:col>10</xdr:col>
      <xdr:colOff>0</xdr:colOff>
      <xdr:row>34</xdr:row>
      <xdr:rowOff>184150</xdr:rowOff>
    </xdr:to>
    <xdr:sp macro="" textlink="">
      <xdr:nvSpPr>
        <xdr:cNvPr id="176" name="Rectangle 175">
          <a:extLst>
            <a:ext uri="{FF2B5EF4-FFF2-40B4-BE49-F238E27FC236}">
              <a16:creationId xmlns:a16="http://schemas.microsoft.com/office/drawing/2014/main" id="{6C1D5CE7-B322-5F9A-0F32-0B8D450A7566}"/>
            </a:ext>
          </a:extLst>
        </xdr:cNvPr>
        <xdr:cNvSpPr/>
      </xdr:nvSpPr>
      <xdr:spPr>
        <a:xfrm>
          <a:off x="5308600" y="6508750"/>
          <a:ext cx="171450" cy="171450"/>
        </a:xfrm>
        <a:prstGeom prst="rect">
          <a:avLst/>
        </a:prstGeom>
        <a:ln w="12700">
          <a:solidFill>
            <a:srgbClr val="7F7F7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6</xdr:col>
      <xdr:colOff>0</xdr:colOff>
      <xdr:row>21</xdr:row>
      <xdr:rowOff>98425</xdr:rowOff>
    </xdr:from>
    <xdr:to>
      <xdr:col>7</xdr:col>
      <xdr:colOff>0</xdr:colOff>
      <xdr:row>34</xdr:row>
      <xdr:rowOff>98425</xdr:rowOff>
    </xdr:to>
    <xdr:cxnSp macro="">
      <xdr:nvCxnSpPr>
        <xdr:cNvPr id="177" name="Straight Connector 176">
          <a:extLst>
            <a:ext uri="{FF2B5EF4-FFF2-40B4-BE49-F238E27FC236}">
              <a16:creationId xmlns:a16="http://schemas.microsoft.com/office/drawing/2014/main" id="{87DCD2D3-2468-E1FA-6B12-1B92F3D51D3F}"/>
            </a:ext>
          </a:extLst>
        </xdr:cNvPr>
        <xdr:cNvCxnSpPr/>
      </xdr:nvCxnSpPr>
      <xdr:spPr>
        <a:xfrm>
          <a:off x="2736850" y="4035425"/>
          <a:ext cx="387350" cy="255905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34</xdr:row>
      <xdr:rowOff>98425</xdr:rowOff>
    </xdr:from>
    <xdr:to>
      <xdr:col>9</xdr:col>
      <xdr:colOff>0</xdr:colOff>
      <xdr:row>34</xdr:row>
      <xdr:rowOff>98425</xdr:rowOff>
    </xdr:to>
    <xdr:cxnSp macro="">
      <xdr:nvCxnSpPr>
        <xdr:cNvPr id="178" name="Straight Connector 177">
          <a:extLst>
            <a:ext uri="{FF2B5EF4-FFF2-40B4-BE49-F238E27FC236}">
              <a16:creationId xmlns:a16="http://schemas.microsoft.com/office/drawing/2014/main" id="{7FCC41E7-DED6-DB63-5EF1-6F6293624043}"/>
            </a:ext>
          </a:extLst>
        </xdr:cNvPr>
        <xdr:cNvCxnSpPr/>
      </xdr:nvCxnSpPr>
      <xdr:spPr>
        <a:xfrm>
          <a:off x="3124200" y="6594475"/>
          <a:ext cx="217170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</xdr:colOff>
      <xdr:row>21</xdr:row>
      <xdr:rowOff>12700</xdr:rowOff>
    </xdr:from>
    <xdr:to>
      <xdr:col>6</xdr:col>
      <xdr:colOff>0</xdr:colOff>
      <xdr:row>21</xdr:row>
      <xdr:rowOff>184150</xdr:rowOff>
    </xdr:to>
    <xdr:sp macro="" textlink="">
      <xdr:nvSpPr>
        <xdr:cNvPr id="179" name="Oval 178">
          <a:extLst>
            <a:ext uri="{FF2B5EF4-FFF2-40B4-BE49-F238E27FC236}">
              <a16:creationId xmlns:a16="http://schemas.microsoft.com/office/drawing/2014/main" id="{74D47D56-FFBD-77F0-C23D-E637BFD0E9AF}"/>
            </a:ext>
          </a:extLst>
        </xdr:cNvPr>
        <xdr:cNvSpPr/>
      </xdr:nvSpPr>
      <xdr:spPr>
        <a:xfrm>
          <a:off x="2565400" y="3949700"/>
          <a:ext cx="171450" cy="171450"/>
        </a:xfrm>
        <a:prstGeom prst="ellipse">
          <a:avLst/>
        </a:prstGeom>
        <a:ln w="12700">
          <a:solidFill>
            <a:srgbClr val="7F7F7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2</xdr:col>
      <xdr:colOff>0</xdr:colOff>
      <xdr:row>12</xdr:row>
      <xdr:rowOff>98425</xdr:rowOff>
    </xdr:from>
    <xdr:to>
      <xdr:col>3</xdr:col>
      <xdr:colOff>0</xdr:colOff>
      <xdr:row>21</xdr:row>
      <xdr:rowOff>98425</xdr:rowOff>
    </xdr:to>
    <xdr:cxnSp macro="">
      <xdr:nvCxnSpPr>
        <xdr:cNvPr id="180" name="Straight Connector 179">
          <a:extLst>
            <a:ext uri="{FF2B5EF4-FFF2-40B4-BE49-F238E27FC236}">
              <a16:creationId xmlns:a16="http://schemas.microsoft.com/office/drawing/2014/main" id="{38A11608-5E4A-D5C9-9BD5-41CAF319791A}"/>
            </a:ext>
          </a:extLst>
        </xdr:cNvPr>
        <xdr:cNvCxnSpPr/>
      </xdr:nvCxnSpPr>
      <xdr:spPr>
        <a:xfrm>
          <a:off x="844550" y="2263775"/>
          <a:ext cx="387350" cy="177165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21</xdr:row>
      <xdr:rowOff>98425</xdr:rowOff>
    </xdr:from>
    <xdr:to>
      <xdr:col>5</xdr:col>
      <xdr:colOff>0</xdr:colOff>
      <xdr:row>21</xdr:row>
      <xdr:rowOff>98425</xdr:rowOff>
    </xdr:to>
    <xdr:cxnSp macro="">
      <xdr:nvCxnSpPr>
        <xdr:cNvPr id="181" name="Straight Connector 180">
          <a:extLst>
            <a:ext uri="{FF2B5EF4-FFF2-40B4-BE49-F238E27FC236}">
              <a16:creationId xmlns:a16="http://schemas.microsoft.com/office/drawing/2014/main" id="{03B227C7-6A0A-ED1F-C9D1-A3FC2E776F4F}"/>
            </a:ext>
          </a:extLst>
        </xdr:cNvPr>
        <xdr:cNvCxnSpPr/>
      </xdr:nvCxnSpPr>
      <xdr:spPr>
        <a:xfrm>
          <a:off x="1231900" y="4035425"/>
          <a:ext cx="132080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12</xdr:row>
      <xdr:rowOff>12700</xdr:rowOff>
    </xdr:from>
    <xdr:to>
      <xdr:col>2</xdr:col>
      <xdr:colOff>0</xdr:colOff>
      <xdr:row>12</xdr:row>
      <xdr:rowOff>184150</xdr:rowOff>
    </xdr:to>
    <xdr:sp macro="" textlink="">
      <xdr:nvSpPr>
        <xdr:cNvPr id="182" name="Rectangle 181">
          <a:extLst>
            <a:ext uri="{FF2B5EF4-FFF2-40B4-BE49-F238E27FC236}">
              <a16:creationId xmlns:a16="http://schemas.microsoft.com/office/drawing/2014/main" id="{7336B409-5FF0-ECB6-5271-151C95542560}"/>
            </a:ext>
          </a:extLst>
        </xdr:cNvPr>
        <xdr:cNvSpPr/>
      </xdr:nvSpPr>
      <xdr:spPr>
        <a:xfrm>
          <a:off x="673100" y="2178050"/>
          <a:ext cx="171450" cy="171450"/>
        </a:xfrm>
        <a:prstGeom prst="rect">
          <a:avLst/>
        </a:prstGeom>
        <a:ln w="12700">
          <a:solidFill>
            <a:srgbClr val="7F7F7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0</xdr:col>
      <xdr:colOff>0</xdr:colOff>
      <xdr:row>12</xdr:row>
      <xdr:rowOff>98425</xdr:rowOff>
    </xdr:from>
    <xdr:to>
      <xdr:col>1</xdr:col>
      <xdr:colOff>0</xdr:colOff>
      <xdr:row>12</xdr:row>
      <xdr:rowOff>98425</xdr:rowOff>
    </xdr:to>
    <xdr:cxnSp macro="">
      <xdr:nvCxnSpPr>
        <xdr:cNvPr id="183" name="Straight Connector 182">
          <a:extLst>
            <a:ext uri="{FF2B5EF4-FFF2-40B4-BE49-F238E27FC236}">
              <a16:creationId xmlns:a16="http://schemas.microsoft.com/office/drawing/2014/main" id="{EED7BBE6-E8D6-FB25-B66B-40F8E5CD5ABF}"/>
            </a:ext>
          </a:extLst>
        </xdr:cNvPr>
        <xdr:cNvCxnSpPr/>
      </xdr:nvCxnSpPr>
      <xdr:spPr>
        <a:xfrm>
          <a:off x="0" y="2263775"/>
          <a:ext cx="66040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33</xdr:row>
      <xdr:rowOff>0</xdr:rowOff>
    </xdr:from>
    <xdr:to>
      <xdr:col>7</xdr:col>
      <xdr:colOff>458250</xdr:colOff>
      <xdr:row>54</xdr:row>
      <xdr:rowOff>186150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DA396E5-6219-47F2-99C7-5A3548B023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0</xdr:colOff>
      <xdr:row>72</xdr:row>
      <xdr:rowOff>0</xdr:rowOff>
    </xdr:from>
    <xdr:to>
      <xdr:col>7</xdr:col>
      <xdr:colOff>458250</xdr:colOff>
      <xdr:row>93</xdr:row>
      <xdr:rowOff>186150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785F5DB-BB30-4594-814D-EB42AA5B40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0</xdr:colOff>
      <xdr:row>109</xdr:row>
      <xdr:rowOff>0</xdr:rowOff>
    </xdr:from>
    <xdr:to>
      <xdr:col>7</xdr:col>
      <xdr:colOff>458250</xdr:colOff>
      <xdr:row>130</xdr:row>
      <xdr:rowOff>186150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B422508-E236-46D6-89D5-180B2D6998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</xdr:col>
      <xdr:colOff>0</xdr:colOff>
      <xdr:row>146</xdr:row>
      <xdr:rowOff>0</xdr:rowOff>
    </xdr:from>
    <xdr:to>
      <xdr:col>7</xdr:col>
      <xdr:colOff>458250</xdr:colOff>
      <xdr:row>167</xdr:row>
      <xdr:rowOff>186150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25CEF08-177D-4929-BDEC-2848608151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0.37006</cdr:x>
      <cdr:y>0.36391</cdr:y>
    </cdr:from>
    <cdr:to>
      <cdr:x>0.52433</cdr:x>
      <cdr:y>0.42012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A55BEFEE-E13B-586E-0F1A-500768E94EE2}"/>
            </a:ext>
          </a:extLst>
        </cdr:cNvPr>
        <cdr:cNvSpPr txBox="1"/>
      </cdr:nvSpPr>
      <cdr:spPr>
        <a:xfrm xmlns:a="http://schemas.openxmlformats.org/drawingml/2006/main">
          <a:off x="2559050" y="1562100"/>
          <a:ext cx="1066800" cy="2413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AU" sz="1000" i="1">
              <a:latin typeface="Arial" panose="020B0604020202020204" pitchFamily="34" charset="0"/>
              <a:cs typeface="Arial" panose="020B0604020202020204" pitchFamily="34" charset="0"/>
            </a:rPr>
            <a:t>efficient frontier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24</xdr:row>
      <xdr:rowOff>0</xdr:rowOff>
    </xdr:from>
    <xdr:to>
      <xdr:col>6</xdr:col>
      <xdr:colOff>76200</xdr:colOff>
      <xdr:row>41</xdr:row>
      <xdr:rowOff>136525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B5F959F-986C-4844-9710-AED8705CFF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0</xdr:colOff>
      <xdr:row>24</xdr:row>
      <xdr:rowOff>0</xdr:rowOff>
    </xdr:from>
    <xdr:to>
      <xdr:col>13</xdr:col>
      <xdr:colOff>635000</xdr:colOff>
      <xdr:row>41</xdr:row>
      <xdr:rowOff>136525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3522E4E-8E12-4889-8689-24C09681E4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0</xdr:colOff>
      <xdr:row>43</xdr:row>
      <xdr:rowOff>0</xdr:rowOff>
    </xdr:from>
    <xdr:to>
      <xdr:col>6</xdr:col>
      <xdr:colOff>76200</xdr:colOff>
      <xdr:row>60</xdr:row>
      <xdr:rowOff>136525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180037D-FD95-4C53-83C0-50674BB92A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8</xdr:col>
      <xdr:colOff>0</xdr:colOff>
      <xdr:row>43</xdr:row>
      <xdr:rowOff>0</xdr:rowOff>
    </xdr:from>
    <xdr:to>
      <xdr:col>13</xdr:col>
      <xdr:colOff>635000</xdr:colOff>
      <xdr:row>60</xdr:row>
      <xdr:rowOff>136525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502825A-23DC-459B-BBA9-7BCA710FC2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</xdr:col>
      <xdr:colOff>0</xdr:colOff>
      <xdr:row>62</xdr:row>
      <xdr:rowOff>0</xdr:rowOff>
    </xdr:from>
    <xdr:to>
      <xdr:col>6</xdr:col>
      <xdr:colOff>76200</xdr:colOff>
      <xdr:row>79</xdr:row>
      <xdr:rowOff>136525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37CC69E-0722-44DA-84D3-8895FDA98E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70</xdr:row>
      <xdr:rowOff>0</xdr:rowOff>
    </xdr:from>
    <xdr:to>
      <xdr:col>9</xdr:col>
      <xdr:colOff>83600</xdr:colOff>
      <xdr:row>91</xdr:row>
      <xdr:rowOff>186150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57526FE-5C70-4A76-B6C8-8867F618C2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0</xdr:colOff>
      <xdr:row>20</xdr:row>
      <xdr:rowOff>0</xdr:rowOff>
    </xdr:from>
    <xdr:to>
      <xdr:col>9</xdr:col>
      <xdr:colOff>83600</xdr:colOff>
      <xdr:row>41</xdr:row>
      <xdr:rowOff>186150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398F5D0-65E8-44D0-B066-BFE515A5C8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0</xdr:colOff>
      <xdr:row>45</xdr:row>
      <xdr:rowOff>0</xdr:rowOff>
    </xdr:from>
    <xdr:to>
      <xdr:col>9</xdr:col>
      <xdr:colOff>83600</xdr:colOff>
      <xdr:row>66</xdr:row>
      <xdr:rowOff>186150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02F2F39-B898-4063-89AA-DC150741AE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2F6F4-F4B0-4C64-9570-589218C8A64B}">
  <sheetPr>
    <pageSetUpPr fitToPage="1"/>
  </sheetPr>
  <dimension ref="A1:ALT1017"/>
  <sheetViews>
    <sheetView workbookViewId="0">
      <selection activeCell="H1" sqref="H1"/>
    </sheetView>
  </sheetViews>
  <sheetFormatPr defaultRowHeight="15.5" x14ac:dyDescent="0.35"/>
  <cols>
    <col min="2" max="2" width="2.4140625" customWidth="1"/>
    <col min="3" max="3" width="5.08203125" customWidth="1"/>
    <col min="6" max="6" width="2.4140625" customWidth="1"/>
    <col min="7" max="7" width="5.08203125" customWidth="1"/>
    <col min="8" max="8" width="14.6640625" customWidth="1"/>
    <col min="9" max="9" width="13.83203125" customWidth="1"/>
    <col min="10" max="10" width="2.4140625" customWidth="1"/>
    <col min="11" max="11" width="5.08203125" customWidth="1"/>
    <col min="12" max="12" width="10.6640625" customWidth="1"/>
    <col min="14" max="14" width="2.4140625" customWidth="1"/>
    <col min="15" max="15" width="5.08203125" customWidth="1"/>
    <col min="18" max="18" width="2.4140625" customWidth="1"/>
    <col min="19" max="19" width="12.25" customWidth="1"/>
    <col min="2000" max="2000" width="2.4140625" customWidth="1"/>
  </cols>
  <sheetData>
    <row r="1" spans="1:19" ht="18.5" x14ac:dyDescent="0.45">
      <c r="A1" s="17" t="s">
        <v>23</v>
      </c>
    </row>
    <row r="3" spans="1:19" x14ac:dyDescent="0.35">
      <c r="A3" s="5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9" t="s">
        <v>21</v>
      </c>
    </row>
    <row r="4" spans="1:19" x14ac:dyDescent="0.35">
      <c r="A4" s="6"/>
      <c r="D4" t="s">
        <v>12</v>
      </c>
      <c r="S4" s="8"/>
    </row>
    <row r="5" spans="1:19" x14ac:dyDescent="0.35">
      <c r="A5" s="6"/>
      <c r="S5" s="2">
        <v>750</v>
      </c>
    </row>
    <row r="6" spans="1:19" x14ac:dyDescent="0.35">
      <c r="A6" s="6"/>
      <c r="E6">
        <f>S5</f>
        <v>750</v>
      </c>
      <c r="S6" s="2"/>
    </row>
    <row r="7" spans="1:19" x14ac:dyDescent="0.35">
      <c r="A7" s="6"/>
      <c r="S7" s="2"/>
    </row>
    <row r="8" spans="1:19" x14ac:dyDescent="0.35">
      <c r="A8" s="6"/>
      <c r="H8" s="10">
        <v>0.1</v>
      </c>
      <c r="S8" s="2"/>
    </row>
    <row r="9" spans="1:19" x14ac:dyDescent="0.35">
      <c r="A9" s="6"/>
      <c r="H9" t="s">
        <v>13</v>
      </c>
      <c r="S9" s="2"/>
    </row>
    <row r="10" spans="1:19" x14ac:dyDescent="0.35">
      <c r="A10" s="6"/>
      <c r="S10" s="2">
        <v>400</v>
      </c>
    </row>
    <row r="11" spans="1:19" x14ac:dyDescent="0.35">
      <c r="A11" s="6"/>
      <c r="I11">
        <f>S10</f>
        <v>400</v>
      </c>
      <c r="S11" s="2"/>
    </row>
    <row r="12" spans="1:19" x14ac:dyDescent="0.35">
      <c r="A12" s="6"/>
      <c r="S12" s="2"/>
    </row>
    <row r="13" spans="1:19" x14ac:dyDescent="0.35">
      <c r="A13" s="6"/>
      <c r="L13" s="10">
        <v>0.2</v>
      </c>
      <c r="S13" s="2"/>
    </row>
    <row r="14" spans="1:19" x14ac:dyDescent="0.35">
      <c r="A14" s="6">
        <f>MIN(E6,E23)</f>
        <v>670</v>
      </c>
      <c r="L14" t="s">
        <v>18</v>
      </c>
      <c r="S14" s="2"/>
    </row>
    <row r="15" spans="1:19" x14ac:dyDescent="0.35">
      <c r="A15" s="6"/>
      <c r="S15" s="2">
        <v>0</v>
      </c>
    </row>
    <row r="16" spans="1:19" x14ac:dyDescent="0.35">
      <c r="A16" s="6"/>
      <c r="M16">
        <f>S15</f>
        <v>0</v>
      </c>
      <c r="S16" s="2"/>
    </row>
    <row r="17" spans="1:19" x14ac:dyDescent="0.35">
      <c r="A17" s="6"/>
      <c r="S17" s="2"/>
    </row>
    <row r="18" spans="1:19" x14ac:dyDescent="0.35">
      <c r="A18" s="6"/>
      <c r="H18" s="10">
        <v>0.4</v>
      </c>
      <c r="L18" s="10">
        <v>0.5</v>
      </c>
      <c r="S18" s="2"/>
    </row>
    <row r="19" spans="1:19" x14ac:dyDescent="0.35">
      <c r="A19" s="6"/>
      <c r="H19" t="s">
        <v>14</v>
      </c>
      <c r="L19" t="s">
        <v>19</v>
      </c>
      <c r="S19" s="2"/>
    </row>
    <row r="20" spans="1:19" x14ac:dyDescent="0.35">
      <c r="A20" s="6"/>
      <c r="S20" s="2">
        <v>750</v>
      </c>
    </row>
    <row r="21" spans="1:19" x14ac:dyDescent="0.35">
      <c r="A21" s="6"/>
      <c r="D21" t="s">
        <v>15</v>
      </c>
      <c r="I21">
        <f>IF(ABS(1-SUM(L13,L18,L23))&lt;=0.00001,SUM(L13 * M16,L18 * M21,L23 * M26),NA())</f>
        <v>825</v>
      </c>
      <c r="M21">
        <f>S20</f>
        <v>750</v>
      </c>
      <c r="S21" s="2"/>
    </row>
    <row r="22" spans="1:19" x14ac:dyDescent="0.35">
      <c r="A22" s="6"/>
      <c r="S22" s="2"/>
    </row>
    <row r="23" spans="1:19" x14ac:dyDescent="0.35">
      <c r="A23" s="6"/>
      <c r="E23">
        <f>IF(ABS(1-SUM(H8,H18,H33))&lt;=0.00001,SUM(H8 * I11,H18 * I21,H33 * I36),NA())</f>
        <v>670</v>
      </c>
      <c r="L23" s="10">
        <v>0.3</v>
      </c>
      <c r="S23" s="2"/>
    </row>
    <row r="24" spans="1:19" x14ac:dyDescent="0.35">
      <c r="A24" s="6"/>
      <c r="L24" t="s">
        <v>20</v>
      </c>
      <c r="S24" s="2"/>
    </row>
    <row r="25" spans="1:19" x14ac:dyDescent="0.35">
      <c r="A25" s="6"/>
      <c r="S25" s="2">
        <v>1500</v>
      </c>
    </row>
    <row r="26" spans="1:19" x14ac:dyDescent="0.35">
      <c r="A26" s="6"/>
      <c r="M26">
        <f>S25</f>
        <v>1500</v>
      </c>
      <c r="S26" s="2"/>
    </row>
    <row r="27" spans="1:19" x14ac:dyDescent="0.35">
      <c r="A27" s="6"/>
      <c r="S27" s="2"/>
    </row>
    <row r="28" spans="1:19" x14ac:dyDescent="0.35">
      <c r="A28" s="6"/>
      <c r="S28" s="2"/>
    </row>
    <row r="29" spans="1:19" x14ac:dyDescent="0.35">
      <c r="A29" s="6"/>
      <c r="L29" t="s">
        <v>12</v>
      </c>
      <c r="S29" s="2"/>
    </row>
    <row r="30" spans="1:19" x14ac:dyDescent="0.35">
      <c r="A30" s="6"/>
      <c r="S30" s="2">
        <v>600</v>
      </c>
    </row>
    <row r="31" spans="1:19" x14ac:dyDescent="0.35">
      <c r="A31" s="6"/>
      <c r="M31">
        <f>S30</f>
        <v>600</v>
      </c>
      <c r="S31" s="2"/>
    </row>
    <row r="32" spans="1:19" x14ac:dyDescent="0.35">
      <c r="A32" s="6"/>
      <c r="S32" s="2"/>
    </row>
    <row r="33" spans="1:19" x14ac:dyDescent="0.35">
      <c r="A33" s="6"/>
      <c r="H33" s="10">
        <v>0.5</v>
      </c>
      <c r="P33" s="10">
        <v>0.2</v>
      </c>
      <c r="S33" s="2"/>
    </row>
    <row r="34" spans="1:19" x14ac:dyDescent="0.35">
      <c r="A34" s="6"/>
      <c r="H34" t="s">
        <v>16</v>
      </c>
      <c r="P34" t="s">
        <v>18</v>
      </c>
      <c r="S34" s="2"/>
    </row>
    <row r="35" spans="1:19" x14ac:dyDescent="0.35">
      <c r="A35" s="6"/>
      <c r="S35" s="2">
        <v>0</v>
      </c>
    </row>
    <row r="36" spans="1:19" x14ac:dyDescent="0.35">
      <c r="A36" s="6"/>
      <c r="I36">
        <f>MIN(M31,M41)</f>
        <v>600</v>
      </c>
      <c r="Q36">
        <f>S35</f>
        <v>0</v>
      </c>
      <c r="S36" s="2"/>
    </row>
    <row r="37" spans="1:19" x14ac:dyDescent="0.35">
      <c r="A37" s="6"/>
      <c r="S37" s="2"/>
    </row>
    <row r="38" spans="1:19" x14ac:dyDescent="0.35">
      <c r="A38" s="6"/>
      <c r="P38" s="10">
        <v>0.5</v>
      </c>
      <c r="S38" s="2"/>
    </row>
    <row r="39" spans="1:19" x14ac:dyDescent="0.35">
      <c r="A39" s="6"/>
      <c r="L39" t="s">
        <v>17</v>
      </c>
      <c r="P39" t="s">
        <v>19</v>
      </c>
      <c r="S39" s="2"/>
    </row>
    <row r="40" spans="1:19" x14ac:dyDescent="0.35">
      <c r="A40" s="6"/>
      <c r="S40" s="2">
        <v>750</v>
      </c>
    </row>
    <row r="41" spans="1:19" x14ac:dyDescent="0.35">
      <c r="A41" s="6"/>
      <c r="M41">
        <f>IF(ABS(1-SUM(P33,P38,P43))&lt;=0.00001,SUM(P33 * Q36,P38 * Q41,P43 * Q46),NA())</f>
        <v>825</v>
      </c>
      <c r="Q41">
        <f>S40</f>
        <v>750</v>
      </c>
      <c r="S41" s="2"/>
    </row>
    <row r="42" spans="1:19" x14ac:dyDescent="0.35">
      <c r="A42" s="6"/>
      <c r="S42" s="2"/>
    </row>
    <row r="43" spans="1:19" x14ac:dyDescent="0.35">
      <c r="A43" s="6"/>
      <c r="P43" s="10">
        <v>0.3</v>
      </c>
      <c r="S43" s="2"/>
    </row>
    <row r="44" spans="1:19" x14ac:dyDescent="0.35">
      <c r="A44" s="6"/>
      <c r="P44" t="s">
        <v>20</v>
      </c>
      <c r="S44" s="2"/>
    </row>
    <row r="45" spans="1:19" x14ac:dyDescent="0.35">
      <c r="A45" s="6"/>
      <c r="S45" s="2">
        <v>1500</v>
      </c>
    </row>
    <row r="46" spans="1:19" x14ac:dyDescent="0.35">
      <c r="A46" s="6"/>
      <c r="Q46">
        <f>S45</f>
        <v>1500</v>
      </c>
      <c r="S46" s="2"/>
    </row>
    <row r="47" spans="1:19" x14ac:dyDescent="0.35">
      <c r="A47" s="7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4"/>
    </row>
    <row r="993" spans="1001:1008" x14ac:dyDescent="0.35">
      <c r="ALN993" t="s">
        <v>22</v>
      </c>
    </row>
    <row r="1003" spans="1001:1008" x14ac:dyDescent="0.35">
      <c r="ALM1003" t="s">
        <v>0</v>
      </c>
      <c r="ALN1003" t="s">
        <v>1</v>
      </c>
      <c r="ALO1003" t="s">
        <v>2</v>
      </c>
      <c r="ALP1003" t="s">
        <v>3</v>
      </c>
      <c r="ALQ1003" t="s">
        <v>4</v>
      </c>
      <c r="ALR1003" t="s">
        <v>5</v>
      </c>
      <c r="ALS1003" t="s">
        <v>6</v>
      </c>
      <c r="ALT1003" t="s">
        <v>7</v>
      </c>
    </row>
    <row r="1004" spans="1001:1008" x14ac:dyDescent="0.35">
      <c r="ALM1004">
        <v>1</v>
      </c>
      <c r="ALN1004">
        <v>14</v>
      </c>
      <c r="ALO1004" t="s">
        <v>8</v>
      </c>
      <c r="ALP1004">
        <v>2</v>
      </c>
      <c r="ALQ1004">
        <v>5</v>
      </c>
      <c r="ALR1004" t="s">
        <v>12</v>
      </c>
      <c r="ALT1004">
        <v>0.5</v>
      </c>
    </row>
    <row r="1005" spans="1001:1008" x14ac:dyDescent="0.35">
      <c r="ALM1005">
        <v>2</v>
      </c>
      <c r="ALN1005">
        <v>13</v>
      </c>
      <c r="ALO1005" t="s">
        <v>8</v>
      </c>
      <c r="ALP1005">
        <v>7</v>
      </c>
      <c r="ALQ1005">
        <v>9</v>
      </c>
      <c r="ALR1005" t="s">
        <v>13</v>
      </c>
      <c r="ALT1005">
        <v>0.1</v>
      </c>
    </row>
    <row r="1006" spans="1001:1008" x14ac:dyDescent="0.35">
      <c r="ALM1006">
        <v>3</v>
      </c>
      <c r="ALN1006">
        <v>6</v>
      </c>
      <c r="ALO1006" t="s">
        <v>8</v>
      </c>
      <c r="ALP1006">
        <v>12</v>
      </c>
      <c r="ALQ1006">
        <v>13</v>
      </c>
      <c r="ALR1006" t="s">
        <v>18</v>
      </c>
      <c r="ALT1006">
        <v>0.2</v>
      </c>
    </row>
    <row r="1007" spans="1001:1008" x14ac:dyDescent="0.35">
      <c r="ALM1007">
        <v>4</v>
      </c>
      <c r="ALN1007">
        <v>6</v>
      </c>
      <c r="ALO1007" t="s">
        <v>8</v>
      </c>
      <c r="ALP1007">
        <v>17</v>
      </c>
      <c r="ALQ1007">
        <v>13</v>
      </c>
      <c r="ALR1007" t="s">
        <v>19</v>
      </c>
      <c r="ALT1007">
        <v>0.5</v>
      </c>
    </row>
    <row r="1008" spans="1001:1008" x14ac:dyDescent="0.35">
      <c r="ALM1008">
        <v>5</v>
      </c>
      <c r="ALN1008">
        <v>6</v>
      </c>
      <c r="ALO1008" t="s">
        <v>8</v>
      </c>
      <c r="ALP1008">
        <v>22</v>
      </c>
      <c r="ALQ1008">
        <v>13</v>
      </c>
      <c r="ALR1008" t="s">
        <v>20</v>
      </c>
      <c r="ALT1008">
        <v>0.3</v>
      </c>
    </row>
    <row r="1009" spans="1001:1008" x14ac:dyDescent="0.35">
      <c r="ALM1009">
        <v>6</v>
      </c>
      <c r="ALN1009">
        <v>13</v>
      </c>
      <c r="ALO1009" t="s">
        <v>11</v>
      </c>
      <c r="ALP1009">
        <v>17</v>
      </c>
      <c r="ALQ1009">
        <v>9</v>
      </c>
      <c r="ALR1009" t="s">
        <v>14</v>
      </c>
      <c r="ALT1009">
        <v>0.4</v>
      </c>
    </row>
    <row r="1010" spans="1001:1008" x14ac:dyDescent="0.35">
      <c r="ALM1010">
        <v>7</v>
      </c>
      <c r="ALN1010">
        <v>12</v>
      </c>
      <c r="ALO1010" t="s">
        <v>8</v>
      </c>
      <c r="ALP1010">
        <v>27</v>
      </c>
      <c r="ALQ1010">
        <v>13</v>
      </c>
      <c r="ALR1010" t="s">
        <v>12</v>
      </c>
      <c r="ALT1010">
        <v>0.5</v>
      </c>
    </row>
    <row r="1011" spans="1001:1008" x14ac:dyDescent="0.35">
      <c r="ALM1011">
        <v>8</v>
      </c>
      <c r="ALN1011">
        <v>11</v>
      </c>
      <c r="ALO1011" t="s">
        <v>8</v>
      </c>
      <c r="ALP1011">
        <v>32</v>
      </c>
      <c r="ALQ1011">
        <v>17</v>
      </c>
      <c r="ALR1011" t="s">
        <v>18</v>
      </c>
      <c r="ALT1011">
        <v>0.2</v>
      </c>
    </row>
    <row r="1012" spans="1001:1008" x14ac:dyDescent="0.35">
      <c r="ALM1012">
        <v>9</v>
      </c>
      <c r="ALN1012">
        <v>11</v>
      </c>
      <c r="ALO1012" t="s">
        <v>8</v>
      </c>
      <c r="ALP1012">
        <v>37</v>
      </c>
      <c r="ALQ1012">
        <v>17</v>
      </c>
      <c r="ALR1012" t="s">
        <v>19</v>
      </c>
      <c r="ALT1012">
        <v>0.5</v>
      </c>
    </row>
    <row r="1013" spans="1001:1008" x14ac:dyDescent="0.35">
      <c r="ALM1013">
        <v>10</v>
      </c>
      <c r="ALN1013">
        <v>11</v>
      </c>
      <c r="ALO1013" t="s">
        <v>8</v>
      </c>
      <c r="ALP1013">
        <v>42</v>
      </c>
      <c r="ALQ1013">
        <v>17</v>
      </c>
      <c r="ALR1013" t="s">
        <v>20</v>
      </c>
      <c r="ALT1013">
        <v>0.3</v>
      </c>
    </row>
    <row r="1014" spans="1001:1008" x14ac:dyDescent="0.35">
      <c r="ALM1014">
        <v>11</v>
      </c>
      <c r="ALN1014">
        <v>12</v>
      </c>
      <c r="ALO1014" t="s">
        <v>11</v>
      </c>
      <c r="ALP1014">
        <v>37</v>
      </c>
      <c r="ALQ1014">
        <v>13</v>
      </c>
      <c r="ALR1014" t="s">
        <v>17</v>
      </c>
      <c r="ALT1014">
        <v>0.5</v>
      </c>
    </row>
    <row r="1015" spans="1001:1008" x14ac:dyDescent="0.35">
      <c r="ALM1015">
        <v>12</v>
      </c>
      <c r="ALN1015">
        <v>13</v>
      </c>
      <c r="ALO1015" t="s">
        <v>9</v>
      </c>
      <c r="ALP1015">
        <v>32</v>
      </c>
      <c r="ALQ1015">
        <v>9</v>
      </c>
      <c r="ALR1015" t="s">
        <v>16</v>
      </c>
      <c r="ALT1015">
        <v>0.5</v>
      </c>
    </row>
    <row r="1016" spans="1001:1008" x14ac:dyDescent="0.35">
      <c r="ALM1016">
        <v>13</v>
      </c>
      <c r="ALN1016">
        <v>14</v>
      </c>
      <c r="ALO1016" t="s">
        <v>11</v>
      </c>
      <c r="ALP1016">
        <v>19</v>
      </c>
      <c r="ALQ1016">
        <v>5</v>
      </c>
      <c r="ALR1016" t="s">
        <v>15</v>
      </c>
      <c r="ALT1016">
        <v>0.5</v>
      </c>
    </row>
    <row r="1017" spans="1001:1008" x14ac:dyDescent="0.35">
      <c r="ALM1017">
        <v>14</v>
      </c>
      <c r="ALN1017">
        <v>0</v>
      </c>
      <c r="ALO1017" t="s">
        <v>9</v>
      </c>
      <c r="ALP1017">
        <v>10</v>
      </c>
      <c r="ALQ1017">
        <v>1</v>
      </c>
      <c r="ALR1017" t="s">
        <v>10</v>
      </c>
      <c r="ALS1017">
        <v>0</v>
      </c>
      <c r="ALT1017">
        <v>1</v>
      </c>
    </row>
  </sheetData>
  <pageMargins left="0.25" right="0.25" top="0.75" bottom="0.75" header="0.3" footer="0.3"/>
  <pageSetup paperSize="9" scale="1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4556E-934C-4078-9F8A-DC164B820FA9}">
  <dimension ref="A1:N145"/>
  <sheetViews>
    <sheetView topLeftCell="A165" workbookViewId="0">
      <selection activeCell="B176" sqref="B176"/>
    </sheetView>
  </sheetViews>
  <sheetFormatPr defaultRowHeight="15.5" x14ac:dyDescent="0.35"/>
  <cols>
    <col min="2" max="2" width="20.1640625" bestFit="1" customWidth="1"/>
    <col min="3" max="3" width="12.08203125" customWidth="1"/>
    <col min="4" max="6" width="13.33203125" customWidth="1"/>
    <col min="7" max="7" width="11.5" customWidth="1"/>
    <col min="8" max="9" width="10.83203125" customWidth="1"/>
    <col min="10" max="14" width="7.58203125" customWidth="1"/>
    <col min="2000" max="2000" width="2.4140625" customWidth="1"/>
  </cols>
  <sheetData>
    <row r="1" spans="1:8" ht="18.5" x14ac:dyDescent="0.45">
      <c r="A1" s="17" t="s">
        <v>24</v>
      </c>
    </row>
    <row r="2" spans="1:8" x14ac:dyDescent="0.35">
      <c r="A2" s="11"/>
    </row>
    <row r="3" spans="1:8" x14ac:dyDescent="0.35">
      <c r="A3" s="11" t="s">
        <v>45</v>
      </c>
    </row>
    <row r="5" spans="1:8" ht="16" thickBot="1" x14ac:dyDescent="0.4">
      <c r="B5" s="11" t="s">
        <v>29</v>
      </c>
    </row>
    <row r="6" spans="1:8" ht="16" thickBot="1" x14ac:dyDescent="0.4">
      <c r="B6" s="11"/>
      <c r="C6" s="107" t="s">
        <v>36</v>
      </c>
      <c r="D6" s="99" t="s">
        <v>37</v>
      </c>
    </row>
    <row r="7" spans="1:8" x14ac:dyDescent="0.35">
      <c r="B7" s="61" t="s">
        <v>25</v>
      </c>
      <c r="C7" s="68">
        <v>70</v>
      </c>
      <c r="D7" s="58">
        <f>C7/SUM($C$7:$C$11)*100</f>
        <v>22.58064516129032</v>
      </c>
    </row>
    <row r="8" spans="1:8" x14ac:dyDescent="0.35">
      <c r="B8" s="63" t="s">
        <v>26</v>
      </c>
      <c r="C8" s="47">
        <v>100</v>
      </c>
      <c r="D8" s="59">
        <f t="shared" ref="D8:D11" si="0">C8/SUM($C$7:$C$11)*100</f>
        <v>32.258064516129032</v>
      </c>
    </row>
    <row r="9" spans="1:8" x14ac:dyDescent="0.35">
      <c r="B9" s="63" t="s">
        <v>67</v>
      </c>
      <c r="C9" s="47">
        <v>90</v>
      </c>
      <c r="D9" s="59">
        <f t="shared" si="0"/>
        <v>29.032258064516132</v>
      </c>
    </row>
    <row r="10" spans="1:8" x14ac:dyDescent="0.35">
      <c r="B10" s="63" t="s">
        <v>27</v>
      </c>
      <c r="C10" s="47">
        <v>10</v>
      </c>
      <c r="D10" s="59">
        <f t="shared" si="0"/>
        <v>3.225806451612903</v>
      </c>
    </row>
    <row r="11" spans="1:8" ht="16" thickBot="1" x14ac:dyDescent="0.4">
      <c r="B11" s="64" t="s">
        <v>28</v>
      </c>
      <c r="C11" s="50">
        <v>40</v>
      </c>
      <c r="D11" s="60">
        <f t="shared" si="0"/>
        <v>12.903225806451612</v>
      </c>
    </row>
    <row r="13" spans="1:8" x14ac:dyDescent="0.35">
      <c r="B13" s="11" t="s">
        <v>30</v>
      </c>
    </row>
    <row r="14" spans="1:8" ht="16" thickBot="1" x14ac:dyDescent="0.4"/>
    <row r="15" spans="1:8" ht="16" thickBot="1" x14ac:dyDescent="0.4">
      <c r="C15" s="107" t="s">
        <v>31</v>
      </c>
      <c r="D15" s="108" t="s">
        <v>32</v>
      </c>
      <c r="E15" s="108" t="s">
        <v>33</v>
      </c>
      <c r="F15" s="108" t="s">
        <v>34</v>
      </c>
      <c r="G15" s="99" t="s">
        <v>35</v>
      </c>
      <c r="H15" s="15"/>
    </row>
    <row r="16" spans="1:8" x14ac:dyDescent="0.35">
      <c r="B16" s="61" t="s">
        <v>25</v>
      </c>
      <c r="C16" s="68">
        <v>0</v>
      </c>
      <c r="D16" s="109">
        <v>70</v>
      </c>
      <c r="E16" s="109">
        <v>30</v>
      </c>
      <c r="F16" s="109">
        <v>100</v>
      </c>
      <c r="G16" s="29">
        <v>90</v>
      </c>
    </row>
    <row r="17" spans="2:11" x14ac:dyDescent="0.35">
      <c r="B17" s="63" t="s">
        <v>26</v>
      </c>
      <c r="C17" s="47">
        <v>70</v>
      </c>
      <c r="D17" s="70">
        <v>0</v>
      </c>
      <c r="E17" s="70">
        <v>100</v>
      </c>
      <c r="F17" s="70">
        <v>80</v>
      </c>
      <c r="G17" s="36">
        <v>100</v>
      </c>
    </row>
    <row r="18" spans="2:11" x14ac:dyDescent="0.35">
      <c r="B18" s="63" t="s">
        <v>67</v>
      </c>
      <c r="C18" s="47">
        <v>80</v>
      </c>
      <c r="D18" s="70">
        <v>100</v>
      </c>
      <c r="E18" s="70">
        <v>30</v>
      </c>
      <c r="F18" s="70">
        <v>20</v>
      </c>
      <c r="G18" s="36">
        <v>80</v>
      </c>
    </row>
    <row r="19" spans="2:11" x14ac:dyDescent="0.35">
      <c r="B19" s="63" t="s">
        <v>27</v>
      </c>
      <c r="C19" s="47">
        <v>100</v>
      </c>
      <c r="D19" s="70">
        <v>30</v>
      </c>
      <c r="E19" s="70">
        <v>50</v>
      </c>
      <c r="F19" s="70">
        <v>70</v>
      </c>
      <c r="G19" s="36">
        <v>20</v>
      </c>
    </row>
    <row r="20" spans="2:11" ht="16" thickBot="1" x14ac:dyDescent="0.4">
      <c r="B20" s="63" t="s">
        <v>28</v>
      </c>
      <c r="C20" s="47">
        <v>50</v>
      </c>
      <c r="D20" s="70">
        <v>90</v>
      </c>
      <c r="E20" s="70">
        <v>70</v>
      </c>
      <c r="F20" s="70">
        <v>0</v>
      </c>
      <c r="G20" s="36">
        <v>100</v>
      </c>
    </row>
    <row r="21" spans="2:11" ht="16" thickBot="1" x14ac:dyDescent="0.4">
      <c r="B21" s="110" t="s">
        <v>38</v>
      </c>
      <c r="C21" s="119">
        <f>SUMPRODUCT(C16:C20,$D$7:$D$11)/100</f>
        <v>55.483870967741943</v>
      </c>
      <c r="D21" s="120">
        <f t="shared" ref="D21:G21" si="1">SUMPRODUCT(D16:D20,$D$7:$D$11)/100</f>
        <v>57.41935483870968</v>
      </c>
      <c r="E21" s="120">
        <f t="shared" si="1"/>
        <v>58.387096774193544</v>
      </c>
      <c r="F21" s="120">
        <f t="shared" si="1"/>
        <v>56.451612903225808</v>
      </c>
      <c r="G21" s="111">
        <f t="shared" si="1"/>
        <v>89.354838709677423</v>
      </c>
    </row>
    <row r="23" spans="2:11" x14ac:dyDescent="0.35">
      <c r="B23" s="11" t="s">
        <v>39</v>
      </c>
    </row>
    <row r="24" spans="2:11" ht="16" thickBot="1" x14ac:dyDescent="0.4"/>
    <row r="25" spans="2:11" ht="16" thickBot="1" x14ac:dyDescent="0.4">
      <c r="C25" s="107" t="s">
        <v>42</v>
      </c>
      <c r="D25" s="108" t="s">
        <v>43</v>
      </c>
      <c r="E25" s="98" t="s">
        <v>50</v>
      </c>
      <c r="F25" s="115" t="s">
        <v>46</v>
      </c>
    </row>
    <row r="26" spans="2:11" x14ac:dyDescent="0.35">
      <c r="B26" s="61" t="s">
        <v>31</v>
      </c>
      <c r="C26" s="121">
        <v>105000</v>
      </c>
      <c r="D26" s="124">
        <v>50000</v>
      </c>
      <c r="E26" s="114">
        <v>25000</v>
      </c>
      <c r="F26" s="116">
        <f>SUM(C26:E26)</f>
        <v>180000</v>
      </c>
    </row>
    <row r="27" spans="2:11" x14ac:dyDescent="0.35">
      <c r="B27" s="63" t="s">
        <v>40</v>
      </c>
      <c r="C27" s="122">
        <v>60000</v>
      </c>
      <c r="D27" s="125">
        <v>40000</v>
      </c>
      <c r="E27" s="112">
        <v>40000</v>
      </c>
      <c r="F27" s="117">
        <f t="shared" ref="F27:F30" si="2">SUM(C27:E27)</f>
        <v>140000</v>
      </c>
      <c r="J27" s="12"/>
      <c r="K27" s="12"/>
    </row>
    <row r="28" spans="2:11" x14ac:dyDescent="0.35">
      <c r="B28" s="63" t="s">
        <v>41</v>
      </c>
      <c r="C28" s="122">
        <v>35000</v>
      </c>
      <c r="D28" s="125">
        <v>45000</v>
      </c>
      <c r="E28" s="112">
        <v>45000</v>
      </c>
      <c r="F28" s="117">
        <f t="shared" si="2"/>
        <v>125000</v>
      </c>
      <c r="J28" s="12"/>
      <c r="K28" s="12"/>
    </row>
    <row r="29" spans="2:11" x14ac:dyDescent="0.35">
      <c r="B29" s="63" t="s">
        <v>34</v>
      </c>
      <c r="C29" s="122">
        <v>75000</v>
      </c>
      <c r="D29" s="125">
        <v>20000</v>
      </c>
      <c r="E29" s="112">
        <v>35000</v>
      </c>
      <c r="F29" s="117">
        <f t="shared" si="2"/>
        <v>130000</v>
      </c>
      <c r="J29" s="16"/>
      <c r="K29" s="12"/>
    </row>
    <row r="30" spans="2:11" ht="16" thickBot="1" x14ac:dyDescent="0.4">
      <c r="B30" s="64" t="s">
        <v>35</v>
      </c>
      <c r="C30" s="123">
        <v>90000</v>
      </c>
      <c r="D30" s="126">
        <v>25000</v>
      </c>
      <c r="E30" s="113">
        <v>50000</v>
      </c>
      <c r="F30" s="118">
        <f t="shared" si="2"/>
        <v>165000</v>
      </c>
    </row>
    <row r="32" spans="2:11" x14ac:dyDescent="0.35">
      <c r="B32" s="11" t="s">
        <v>44</v>
      </c>
      <c r="J32" s="12"/>
      <c r="K32" s="12"/>
    </row>
    <row r="33" spans="10:11" x14ac:dyDescent="0.35">
      <c r="J33" s="12"/>
      <c r="K33" s="12"/>
    </row>
    <row r="34" spans="10:11" x14ac:dyDescent="0.35">
      <c r="J34" s="16"/>
      <c r="K34" s="12"/>
    </row>
    <row r="57" spans="1:14" x14ac:dyDescent="0.35">
      <c r="A57" s="11" t="s">
        <v>60</v>
      </c>
    </row>
    <row r="58" spans="1:14" ht="16" thickBot="1" x14ac:dyDescent="0.4">
      <c r="A58" s="11"/>
    </row>
    <row r="59" spans="1:14" ht="16" thickBot="1" x14ac:dyDescent="0.4">
      <c r="A59" s="11"/>
      <c r="B59" s="11" t="s">
        <v>61</v>
      </c>
      <c r="E59" s="136" t="s">
        <v>52</v>
      </c>
      <c r="F59" s="137"/>
      <c r="G59" s="137"/>
      <c r="H59" s="137"/>
      <c r="I59" s="138"/>
      <c r="J59" s="136" t="s">
        <v>53</v>
      </c>
      <c r="K59" s="137"/>
      <c r="L59" s="137"/>
      <c r="M59" s="137"/>
      <c r="N59" s="138"/>
    </row>
    <row r="60" spans="1:14" ht="16" thickBot="1" x14ac:dyDescent="0.4">
      <c r="C60" s="133" t="s">
        <v>49</v>
      </c>
      <c r="D60" s="104" t="s">
        <v>59</v>
      </c>
      <c r="E60" s="128" t="s">
        <v>47</v>
      </c>
      <c r="F60" s="129" t="s">
        <v>48</v>
      </c>
      <c r="G60" s="129" t="s">
        <v>63</v>
      </c>
      <c r="H60" s="129" t="s">
        <v>27</v>
      </c>
      <c r="I60" s="127" t="s">
        <v>51</v>
      </c>
      <c r="J60" s="128" t="s">
        <v>54</v>
      </c>
      <c r="K60" s="129" t="s">
        <v>55</v>
      </c>
      <c r="L60" s="129" t="s">
        <v>56</v>
      </c>
      <c r="M60" s="129" t="s">
        <v>57</v>
      </c>
      <c r="N60" s="127" t="s">
        <v>58</v>
      </c>
    </row>
    <row r="61" spans="1:14" x14ac:dyDescent="0.35">
      <c r="C61" s="47">
        <v>0</v>
      </c>
      <c r="D61" s="59">
        <f>SUM($C$7:$C$11)-$C$8+C61</f>
        <v>210</v>
      </c>
      <c r="E61" s="83">
        <f>$C$7/D61*100</f>
        <v>33.333333333333329</v>
      </c>
      <c r="F61" s="71">
        <f>$C61/D61*100</f>
        <v>0</v>
      </c>
      <c r="G61" s="71">
        <f>$C$9/D61*100</f>
        <v>42.857142857142854</v>
      </c>
      <c r="H61" s="71">
        <f>$C$10/D61*100</f>
        <v>4.7619047619047619</v>
      </c>
      <c r="I61" s="59">
        <f>$C$11/D61*100</f>
        <v>19.047619047619047</v>
      </c>
      <c r="J61" s="131" cm="1">
        <f t="array" ref="J61">SUMPRODUCT(TRANSPOSE($E61:$I61),C$16:C$20)/100</f>
        <v>48.571428571428569</v>
      </c>
      <c r="K61" s="93" cm="1">
        <f t="array" ref="K61">SUMPRODUCT(TRANSPOSE($E61:$I61),D$16:D$20)/100</f>
        <v>84.761904761904759</v>
      </c>
      <c r="L61" s="93" cm="1">
        <f t="array" ref="L61">SUMPRODUCT(TRANSPOSE($E61:$I61),E$16:E$20)/100</f>
        <v>38.571428571428569</v>
      </c>
      <c r="M61" s="93" cm="1">
        <f t="array" ref="M61">SUMPRODUCT(TRANSPOSE($E61:$I61),F$16:F$20)/100</f>
        <v>45.238095238095227</v>
      </c>
      <c r="N61" s="51" cm="1">
        <f t="array" ref="N61">SUMPRODUCT(TRANSPOSE($E61:$I61),G$16:G$20)/100</f>
        <v>84.285714285714278</v>
      </c>
    </row>
    <row r="62" spans="1:14" x14ac:dyDescent="0.35">
      <c r="C62" s="47">
        <v>10</v>
      </c>
      <c r="D62" s="59">
        <f t="shared" ref="D62:D71" si="3">SUM($C$7:$C$11)-$C$8+C62</f>
        <v>220</v>
      </c>
      <c r="E62" s="83">
        <f t="shared" ref="E62:E71" si="4">$C$7/D62*100</f>
        <v>31.818181818181817</v>
      </c>
      <c r="F62" s="71">
        <f t="shared" ref="F62:F71" si="5">$C62/D62*100</f>
        <v>4.5454545454545459</v>
      </c>
      <c r="G62" s="71">
        <f t="shared" ref="G62:G71" si="6">$C$9/D62*100</f>
        <v>40.909090909090914</v>
      </c>
      <c r="H62" s="71">
        <f t="shared" ref="H62:H71" si="7">$C$10/D62*100</f>
        <v>4.5454545454545459</v>
      </c>
      <c r="I62" s="59">
        <f t="shared" ref="I62:I71" si="8">$C$11/D62*100</f>
        <v>18.181818181818183</v>
      </c>
      <c r="J62" s="131" cm="1">
        <f t="array" ref="J62">SUMPRODUCT(TRANSPOSE($E62:$I62),C$16:C$20)/100</f>
        <v>49.545454545454547</v>
      </c>
      <c r="K62" s="93" cm="1">
        <f t="array" ref="K62">SUMPRODUCT(TRANSPOSE($E62:$I62),D$16:D$20)/100</f>
        <v>80.909090909090907</v>
      </c>
      <c r="L62" s="93" cm="1">
        <f t="array" ref="L62">SUMPRODUCT(TRANSPOSE($E62:$I62),E$16:E$20)/100</f>
        <v>41.363636363636367</v>
      </c>
      <c r="M62" s="93" cm="1">
        <f t="array" ref="M62">SUMPRODUCT(TRANSPOSE($E62:$I62),F$16:F$20)/100</f>
        <v>46.818181818181813</v>
      </c>
      <c r="N62" s="51" cm="1">
        <f t="array" ref="N62">SUMPRODUCT(TRANSPOSE($E62:$I62),G$16:G$20)/100</f>
        <v>85</v>
      </c>
    </row>
    <row r="63" spans="1:14" x14ac:dyDescent="0.35">
      <c r="C63" s="47">
        <v>20</v>
      </c>
      <c r="D63" s="59">
        <f t="shared" si="3"/>
        <v>230</v>
      </c>
      <c r="E63" s="83">
        <f t="shared" si="4"/>
        <v>30.434782608695656</v>
      </c>
      <c r="F63" s="71">
        <f t="shared" si="5"/>
        <v>8.695652173913043</v>
      </c>
      <c r="G63" s="71">
        <f t="shared" si="6"/>
        <v>39.130434782608695</v>
      </c>
      <c r="H63" s="71">
        <f t="shared" si="7"/>
        <v>4.3478260869565215</v>
      </c>
      <c r="I63" s="59">
        <f t="shared" si="8"/>
        <v>17.391304347826086</v>
      </c>
      <c r="J63" s="131" cm="1">
        <f t="array" ref="J63">SUMPRODUCT(TRANSPOSE($E63:$I63),C$16:C$20)/100</f>
        <v>50.434782608695649</v>
      </c>
      <c r="K63" s="93" cm="1">
        <f t="array" ref="K63">SUMPRODUCT(TRANSPOSE($E63:$I63),D$16:D$20)/100</f>
        <v>77.391304347826093</v>
      </c>
      <c r="L63" s="93" cm="1">
        <f t="array" ref="L63">SUMPRODUCT(TRANSPOSE($E63:$I63),E$16:E$20)/100</f>
        <v>43.913043478260867</v>
      </c>
      <c r="M63" s="93" cm="1">
        <f t="array" ref="M63">SUMPRODUCT(TRANSPOSE($E63:$I63),F$16:F$20)/100</f>
        <v>48.260869565217398</v>
      </c>
      <c r="N63" s="51" cm="1">
        <f t="array" ref="N63">SUMPRODUCT(TRANSPOSE($E63:$I63),G$16:G$20)/100</f>
        <v>85.652173913043455</v>
      </c>
    </row>
    <row r="64" spans="1:14" x14ac:dyDescent="0.35">
      <c r="C64" s="47">
        <v>30</v>
      </c>
      <c r="D64" s="59">
        <f t="shared" si="3"/>
        <v>240</v>
      </c>
      <c r="E64" s="83">
        <f t="shared" si="4"/>
        <v>29.166666666666668</v>
      </c>
      <c r="F64" s="71">
        <f t="shared" si="5"/>
        <v>12.5</v>
      </c>
      <c r="G64" s="71">
        <f t="shared" si="6"/>
        <v>37.5</v>
      </c>
      <c r="H64" s="71">
        <f t="shared" si="7"/>
        <v>4.1666666666666661</v>
      </c>
      <c r="I64" s="59">
        <f t="shared" si="8"/>
        <v>16.666666666666664</v>
      </c>
      <c r="J64" s="131" cm="1">
        <f t="array" ref="J64">SUMPRODUCT(TRANSPOSE($E64:$I64),C$16:C$20)/100</f>
        <v>51.25</v>
      </c>
      <c r="K64" s="93" cm="1">
        <f t="array" ref="K64">SUMPRODUCT(TRANSPOSE($E64:$I64),D$16:D$20)/100</f>
        <v>74.166666666666671</v>
      </c>
      <c r="L64" s="93" cm="1">
        <f t="array" ref="L64">SUMPRODUCT(TRANSPOSE($E64:$I64),E$16:E$20)/100</f>
        <v>46.25</v>
      </c>
      <c r="M64" s="93" cm="1">
        <f t="array" ref="M64">SUMPRODUCT(TRANSPOSE($E64:$I64),F$16:F$20)/100</f>
        <v>49.583333333333343</v>
      </c>
      <c r="N64" s="51" cm="1">
        <f t="array" ref="N64">SUMPRODUCT(TRANSPOSE($E64:$I64),G$16:G$20)/100</f>
        <v>86.25</v>
      </c>
    </row>
    <row r="65" spans="3:14" x14ac:dyDescent="0.35">
      <c r="C65" s="47">
        <v>40</v>
      </c>
      <c r="D65" s="59">
        <f t="shared" si="3"/>
        <v>250</v>
      </c>
      <c r="E65" s="83">
        <f t="shared" si="4"/>
        <v>28.000000000000004</v>
      </c>
      <c r="F65" s="71">
        <f t="shared" si="5"/>
        <v>16</v>
      </c>
      <c r="G65" s="71">
        <f t="shared" si="6"/>
        <v>36</v>
      </c>
      <c r="H65" s="71">
        <f t="shared" si="7"/>
        <v>4</v>
      </c>
      <c r="I65" s="59">
        <f t="shared" si="8"/>
        <v>16</v>
      </c>
      <c r="J65" s="131" cm="1">
        <f t="array" ref="J65">SUMPRODUCT(TRANSPOSE($E65:$I65),C$16:C$20)/100</f>
        <v>52</v>
      </c>
      <c r="K65" s="93" cm="1">
        <f t="array" ref="K65">SUMPRODUCT(TRANSPOSE($E65:$I65),D$16:D$20)/100</f>
        <v>71.2</v>
      </c>
      <c r="L65" s="93" cm="1">
        <f t="array" ref="L65">SUMPRODUCT(TRANSPOSE($E65:$I65),E$16:E$20)/100</f>
        <v>48.4</v>
      </c>
      <c r="M65" s="93" cm="1">
        <f t="array" ref="M65">SUMPRODUCT(TRANSPOSE($E65:$I65),F$16:F$20)/100</f>
        <v>50.8</v>
      </c>
      <c r="N65" s="51" cm="1">
        <f t="array" ref="N65">SUMPRODUCT(TRANSPOSE($E65:$I65),G$16:G$20)/100</f>
        <v>86.8</v>
      </c>
    </row>
    <row r="66" spans="3:14" x14ac:dyDescent="0.35">
      <c r="C66" s="47">
        <v>50</v>
      </c>
      <c r="D66" s="59">
        <f t="shared" si="3"/>
        <v>260</v>
      </c>
      <c r="E66" s="83">
        <f t="shared" si="4"/>
        <v>26.923076923076923</v>
      </c>
      <c r="F66" s="71">
        <f t="shared" si="5"/>
        <v>19.230769230769234</v>
      </c>
      <c r="G66" s="71">
        <f t="shared" si="6"/>
        <v>34.615384615384613</v>
      </c>
      <c r="H66" s="71">
        <f t="shared" si="7"/>
        <v>3.8461538461538463</v>
      </c>
      <c r="I66" s="59">
        <f t="shared" si="8"/>
        <v>15.384615384615385</v>
      </c>
      <c r="J66" s="131" cm="1">
        <f t="array" ref="J66">SUMPRODUCT(TRANSPOSE($E66:$I66),C$16:C$20)/100</f>
        <v>52.692307692307693</v>
      </c>
      <c r="K66" s="93" cm="1">
        <f t="array" ref="K66">SUMPRODUCT(TRANSPOSE($E66:$I66),D$16:D$20)/100</f>
        <v>68.461538461538453</v>
      </c>
      <c r="L66" s="93" cm="1">
        <f t="array" ref="L66">SUMPRODUCT(TRANSPOSE($E66:$I66),E$16:E$20)/100</f>
        <v>50.384615384615387</v>
      </c>
      <c r="M66" s="93" cm="1">
        <f t="array" ref="M66">SUMPRODUCT(TRANSPOSE($E66:$I66),F$16:F$20)/100</f>
        <v>51.923076923076927</v>
      </c>
      <c r="N66" s="51" cm="1">
        <f t="array" ref="N66">SUMPRODUCT(TRANSPOSE($E66:$I66),G$16:G$20)/100</f>
        <v>87.307692307692307</v>
      </c>
    </row>
    <row r="67" spans="3:14" x14ac:dyDescent="0.35">
      <c r="C67" s="47">
        <v>60</v>
      </c>
      <c r="D67" s="59">
        <f t="shared" si="3"/>
        <v>270</v>
      </c>
      <c r="E67" s="83">
        <f t="shared" si="4"/>
        <v>25.925925925925924</v>
      </c>
      <c r="F67" s="71">
        <f t="shared" si="5"/>
        <v>22.222222222222221</v>
      </c>
      <c r="G67" s="71">
        <f t="shared" si="6"/>
        <v>33.333333333333329</v>
      </c>
      <c r="H67" s="71">
        <f t="shared" si="7"/>
        <v>3.7037037037037033</v>
      </c>
      <c r="I67" s="59">
        <f t="shared" si="8"/>
        <v>14.814814814814813</v>
      </c>
      <c r="J67" s="131" cm="1">
        <f t="array" ref="J67">SUMPRODUCT(TRANSPOSE($E67:$I67),C$16:C$20)/100</f>
        <v>53.333333333333329</v>
      </c>
      <c r="K67" s="93" cm="1">
        <f t="array" ref="K67">SUMPRODUCT(TRANSPOSE($E67:$I67),D$16:D$20)/100</f>
        <v>65.925925925925924</v>
      </c>
      <c r="L67" s="93" cm="1">
        <f t="array" ref="L67">SUMPRODUCT(TRANSPOSE($E67:$I67),E$16:E$20)/100</f>
        <v>52.222222222222229</v>
      </c>
      <c r="M67" s="93" cm="1">
        <f t="array" ref="M67">SUMPRODUCT(TRANSPOSE($E67:$I67),F$16:F$20)/100</f>
        <v>52.962962962962955</v>
      </c>
      <c r="N67" s="51" cm="1">
        <f t="array" ref="N67">SUMPRODUCT(TRANSPOSE($E67:$I67),G$16:G$20)/100</f>
        <v>87.777777777777757</v>
      </c>
    </row>
    <row r="68" spans="3:14" x14ac:dyDescent="0.35">
      <c r="C68" s="47">
        <v>70</v>
      </c>
      <c r="D68" s="59">
        <f t="shared" si="3"/>
        <v>280</v>
      </c>
      <c r="E68" s="83">
        <f t="shared" si="4"/>
        <v>25</v>
      </c>
      <c r="F68" s="71">
        <f t="shared" si="5"/>
        <v>25</v>
      </c>
      <c r="G68" s="71">
        <f t="shared" si="6"/>
        <v>32.142857142857146</v>
      </c>
      <c r="H68" s="71">
        <f t="shared" si="7"/>
        <v>3.5714285714285712</v>
      </c>
      <c r="I68" s="59">
        <f t="shared" si="8"/>
        <v>14.285714285714285</v>
      </c>
      <c r="J68" s="131" cm="1">
        <f t="array" ref="J68">SUMPRODUCT(TRANSPOSE($E68:$I68),C$16:C$20)/100</f>
        <v>53.928571428571431</v>
      </c>
      <c r="K68" s="93" cm="1">
        <f t="array" ref="K68">SUMPRODUCT(TRANSPOSE($E68:$I68),D$16:D$20)/100</f>
        <v>63.571428571428569</v>
      </c>
      <c r="L68" s="93" cm="1">
        <f t="array" ref="L68">SUMPRODUCT(TRANSPOSE($E68:$I68),E$16:E$20)/100</f>
        <v>53.928571428571431</v>
      </c>
      <c r="M68" s="93" cm="1">
        <f t="array" ref="M68">SUMPRODUCT(TRANSPOSE($E68:$I68),F$16:F$20)/100</f>
        <v>53.928571428571431</v>
      </c>
      <c r="N68" s="51" cm="1">
        <f t="array" ref="N68">SUMPRODUCT(TRANSPOSE($E68:$I68),G$16:G$20)/100</f>
        <v>88.214285714285722</v>
      </c>
    </row>
    <row r="69" spans="3:14" x14ac:dyDescent="0.35">
      <c r="C69" s="47">
        <v>80</v>
      </c>
      <c r="D69" s="59">
        <f t="shared" si="3"/>
        <v>290</v>
      </c>
      <c r="E69" s="83">
        <f t="shared" si="4"/>
        <v>24.137931034482758</v>
      </c>
      <c r="F69" s="71">
        <f t="shared" si="5"/>
        <v>27.586206896551722</v>
      </c>
      <c r="G69" s="71">
        <f t="shared" si="6"/>
        <v>31.03448275862069</v>
      </c>
      <c r="H69" s="71">
        <f t="shared" si="7"/>
        <v>3.4482758620689653</v>
      </c>
      <c r="I69" s="59">
        <f t="shared" si="8"/>
        <v>13.793103448275861</v>
      </c>
      <c r="J69" s="131" cm="1">
        <f t="array" ref="J69">SUMPRODUCT(TRANSPOSE($E69:$I69),C$16:C$20)/100</f>
        <v>54.482758620689658</v>
      </c>
      <c r="K69" s="93" cm="1">
        <f t="array" ref="K69">SUMPRODUCT(TRANSPOSE($E69:$I69),D$16:D$20)/100</f>
        <v>61.379310344827587</v>
      </c>
      <c r="L69" s="93" cm="1">
        <f t="array" ref="L69">SUMPRODUCT(TRANSPOSE($E69:$I69),E$16:E$20)/100</f>
        <v>55.517241379310342</v>
      </c>
      <c r="M69" s="93" cm="1">
        <f t="array" ref="M69">SUMPRODUCT(TRANSPOSE($E69:$I69),F$16:F$20)/100</f>
        <v>54.827586206896548</v>
      </c>
      <c r="N69" s="51" cm="1">
        <f t="array" ref="N69">SUMPRODUCT(TRANSPOSE($E69:$I69),G$16:G$20)/100</f>
        <v>88.620689655172413</v>
      </c>
    </row>
    <row r="70" spans="3:14" x14ac:dyDescent="0.35">
      <c r="C70" s="47">
        <v>90</v>
      </c>
      <c r="D70" s="59">
        <f t="shared" si="3"/>
        <v>300</v>
      </c>
      <c r="E70" s="83">
        <f t="shared" si="4"/>
        <v>23.333333333333332</v>
      </c>
      <c r="F70" s="71">
        <f t="shared" si="5"/>
        <v>30</v>
      </c>
      <c r="G70" s="71">
        <f t="shared" si="6"/>
        <v>30</v>
      </c>
      <c r="H70" s="71">
        <f t="shared" si="7"/>
        <v>3.3333333333333335</v>
      </c>
      <c r="I70" s="59">
        <f t="shared" si="8"/>
        <v>13.333333333333334</v>
      </c>
      <c r="J70" s="131" cm="1">
        <f t="array" ref="J70">SUMPRODUCT(TRANSPOSE($E70:$I70),C$16:C$20)/100</f>
        <v>55</v>
      </c>
      <c r="K70" s="93" cm="1">
        <f t="array" ref="K70">SUMPRODUCT(TRANSPOSE($E70:$I70),D$16:D$20)/100</f>
        <v>59.333333333333329</v>
      </c>
      <c r="L70" s="93" cm="1">
        <f t="array" ref="L70">SUMPRODUCT(TRANSPOSE($E70:$I70),E$16:E$20)/100</f>
        <v>57</v>
      </c>
      <c r="M70" s="93" cm="1">
        <f t="array" ref="M70">SUMPRODUCT(TRANSPOSE($E70:$I70),F$16:F$20)/100</f>
        <v>55.666666666666657</v>
      </c>
      <c r="N70" s="51" cm="1">
        <f t="array" ref="N70">SUMPRODUCT(TRANSPOSE($E70:$I70),G$16:G$20)/100</f>
        <v>89</v>
      </c>
    </row>
    <row r="71" spans="3:14" ht="16" thickBot="1" x14ac:dyDescent="0.4">
      <c r="C71" s="50">
        <v>100</v>
      </c>
      <c r="D71" s="60">
        <f t="shared" si="3"/>
        <v>310</v>
      </c>
      <c r="E71" s="84">
        <f t="shared" si="4"/>
        <v>22.58064516129032</v>
      </c>
      <c r="F71" s="130">
        <f t="shared" si="5"/>
        <v>32.258064516129032</v>
      </c>
      <c r="G71" s="130">
        <f t="shared" si="6"/>
        <v>29.032258064516132</v>
      </c>
      <c r="H71" s="130">
        <f t="shared" si="7"/>
        <v>3.225806451612903</v>
      </c>
      <c r="I71" s="60">
        <f t="shared" si="8"/>
        <v>12.903225806451612</v>
      </c>
      <c r="J71" s="132" cm="1">
        <f t="array" ref="J71">SUMPRODUCT(TRANSPOSE($E71:$I71),C$16:C$20)/100</f>
        <v>55.483870967741943</v>
      </c>
      <c r="K71" s="94" cm="1">
        <f t="array" ref="K71">SUMPRODUCT(TRANSPOSE($E71:$I71),D$16:D$20)/100</f>
        <v>57.41935483870968</v>
      </c>
      <c r="L71" s="94" cm="1">
        <f t="array" ref="L71">SUMPRODUCT(TRANSPOSE($E71:$I71),E$16:E$20)/100</f>
        <v>58.387096774193544</v>
      </c>
      <c r="M71" s="94" cm="1">
        <f t="array" ref="M71">SUMPRODUCT(TRANSPOSE($E71:$I71),F$16:F$20)/100</f>
        <v>56.451612903225808</v>
      </c>
      <c r="N71" s="52" cm="1">
        <f t="array" ref="N71">SUMPRODUCT(TRANSPOSE($E71:$I71),G$16:G$20)/100</f>
        <v>89.354838709677423</v>
      </c>
    </row>
    <row r="95" spans="2:14" ht="16" thickBot="1" x14ac:dyDescent="0.4"/>
    <row r="96" spans="2:14" ht="16" thickBot="1" x14ac:dyDescent="0.4">
      <c r="B96" s="11" t="s">
        <v>66</v>
      </c>
      <c r="E96" s="136" t="s">
        <v>52</v>
      </c>
      <c r="F96" s="137"/>
      <c r="G96" s="137"/>
      <c r="H96" s="137"/>
      <c r="I96" s="138"/>
      <c r="J96" s="136" t="s">
        <v>53</v>
      </c>
      <c r="K96" s="137"/>
      <c r="L96" s="137"/>
      <c r="M96" s="137"/>
      <c r="N96" s="138"/>
    </row>
    <row r="97" spans="3:14" ht="16" thickBot="1" x14ac:dyDescent="0.4">
      <c r="C97" s="133" t="s">
        <v>49</v>
      </c>
      <c r="D97" s="104" t="s">
        <v>59</v>
      </c>
      <c r="E97" s="134" t="s">
        <v>47</v>
      </c>
      <c r="F97" s="135" t="s">
        <v>48</v>
      </c>
      <c r="G97" s="135" t="s">
        <v>63</v>
      </c>
      <c r="H97" s="135" t="s">
        <v>27</v>
      </c>
      <c r="I97" s="127" t="s">
        <v>51</v>
      </c>
      <c r="J97" s="134" t="s">
        <v>54</v>
      </c>
      <c r="K97" s="135" t="s">
        <v>55</v>
      </c>
      <c r="L97" s="135" t="s">
        <v>56</v>
      </c>
      <c r="M97" s="135" t="s">
        <v>57</v>
      </c>
      <c r="N97" s="127" t="s">
        <v>58</v>
      </c>
    </row>
    <row r="98" spans="3:14" x14ac:dyDescent="0.35">
      <c r="C98" s="47">
        <v>0</v>
      </c>
      <c r="D98" s="59">
        <f>SUM($C$7:$C$11)-$C$9+C98</f>
        <v>220</v>
      </c>
      <c r="E98" s="83">
        <f>$C$7/D98*100</f>
        <v>31.818181818181817</v>
      </c>
      <c r="F98" s="71">
        <f>$C$8/D98*100</f>
        <v>45.454545454545453</v>
      </c>
      <c r="G98" s="71">
        <f>$C98/D98*100</f>
        <v>0</v>
      </c>
      <c r="H98" s="71">
        <f>$C$10/D98*100</f>
        <v>4.5454545454545459</v>
      </c>
      <c r="I98" s="59">
        <f>$C$11/D98*100</f>
        <v>18.181818181818183</v>
      </c>
      <c r="J98" s="131" cm="1">
        <f t="array" ref="J98">SUMPRODUCT(TRANSPOSE($E98:$I98),C$16:C$20)/100</f>
        <v>45.454545454545453</v>
      </c>
      <c r="K98" s="93" cm="1">
        <f t="array" ref="K98">SUMPRODUCT(TRANSPOSE($E98:$I98),D$16:D$20)/100</f>
        <v>40</v>
      </c>
      <c r="L98" s="93" cm="1">
        <f t="array" ref="L98">SUMPRODUCT(TRANSPOSE($E98:$I98),E$16:E$20)/100</f>
        <v>70</v>
      </c>
      <c r="M98" s="93" cm="1">
        <f t="array" ref="M98">SUMPRODUCT(TRANSPOSE($E98:$I98),F$16:F$20)/100</f>
        <v>71.36363636363636</v>
      </c>
      <c r="N98" s="51" cm="1">
        <f t="array" ref="N98">SUMPRODUCT(TRANSPOSE($E98:$I98),G$16:G$20)/100</f>
        <v>93.181818181818187</v>
      </c>
    </row>
    <row r="99" spans="3:14" x14ac:dyDescent="0.35">
      <c r="C99" s="47">
        <v>10</v>
      </c>
      <c r="D99" s="59">
        <f t="shared" ref="D99:D108" si="9">SUM($C$7:$C$11)-$C$9+C99</f>
        <v>230</v>
      </c>
      <c r="E99" s="83">
        <f t="shared" ref="E99:E108" si="10">$C$7/D99*100</f>
        <v>30.434782608695656</v>
      </c>
      <c r="F99" s="71">
        <f t="shared" ref="F99:F108" si="11">$C$8/D99*100</f>
        <v>43.478260869565219</v>
      </c>
      <c r="G99" s="71">
        <f t="shared" ref="G99:G108" si="12">$C99/D99*100</f>
        <v>4.3478260869565215</v>
      </c>
      <c r="H99" s="71">
        <f t="shared" ref="H99:H108" si="13">$C$10/D99*100</f>
        <v>4.3478260869565215</v>
      </c>
      <c r="I99" s="59">
        <f t="shared" ref="I99:I108" si="14">$C$11/D99*100</f>
        <v>17.391304347826086</v>
      </c>
      <c r="J99" s="131" cm="1">
        <f t="array" ref="J99">SUMPRODUCT(TRANSPOSE($E99:$I99),C$16:C$20)/100</f>
        <v>46.95652173913043</v>
      </c>
      <c r="K99" s="93" cm="1">
        <f t="array" ref="K99">SUMPRODUCT(TRANSPOSE($E99:$I99),D$16:D$20)/100</f>
        <v>42.608695652173907</v>
      </c>
      <c r="L99" s="93" cm="1">
        <f t="array" ref="L99">SUMPRODUCT(TRANSPOSE($E99:$I99),E$16:E$20)/100</f>
        <v>68.260869565217405</v>
      </c>
      <c r="M99" s="93" cm="1">
        <f t="array" ref="M99">SUMPRODUCT(TRANSPOSE($E99:$I99),F$16:F$20)/100</f>
        <v>69.130434782608702</v>
      </c>
      <c r="N99" s="51" cm="1">
        <f t="array" ref="N99">SUMPRODUCT(TRANSPOSE($E99:$I99),G$16:G$20)/100</f>
        <v>92.608695652173921</v>
      </c>
    </row>
    <row r="100" spans="3:14" x14ac:dyDescent="0.35">
      <c r="C100" s="47">
        <v>20</v>
      </c>
      <c r="D100" s="59">
        <f t="shared" si="9"/>
        <v>240</v>
      </c>
      <c r="E100" s="83">
        <f t="shared" si="10"/>
        <v>29.166666666666668</v>
      </c>
      <c r="F100" s="71">
        <f t="shared" si="11"/>
        <v>41.666666666666671</v>
      </c>
      <c r="G100" s="71">
        <f t="shared" si="12"/>
        <v>8.3333333333333321</v>
      </c>
      <c r="H100" s="71">
        <f t="shared" si="13"/>
        <v>4.1666666666666661</v>
      </c>
      <c r="I100" s="59">
        <f t="shared" si="14"/>
        <v>16.666666666666664</v>
      </c>
      <c r="J100" s="131" cm="1">
        <f t="array" ref="J100">SUMPRODUCT(TRANSPOSE($E100:$I100),C$16:C$20)/100</f>
        <v>48.333333333333329</v>
      </c>
      <c r="K100" s="93" cm="1">
        <f t="array" ref="K100">SUMPRODUCT(TRANSPOSE($E100:$I100),D$16:D$20)/100</f>
        <v>45</v>
      </c>
      <c r="L100" s="93" cm="1">
        <f t="array" ref="L100">SUMPRODUCT(TRANSPOSE($E100:$I100),E$16:E$20)/100</f>
        <v>66.666666666666657</v>
      </c>
      <c r="M100" s="93" cm="1">
        <f t="array" ref="M100">SUMPRODUCT(TRANSPOSE($E100:$I100),F$16:F$20)/100</f>
        <v>67.083333333333343</v>
      </c>
      <c r="N100" s="51" cm="1">
        <f t="array" ref="N100">SUMPRODUCT(TRANSPOSE($E100:$I100),G$16:G$20)/100</f>
        <v>92.083333333333343</v>
      </c>
    </row>
    <row r="101" spans="3:14" x14ac:dyDescent="0.35">
      <c r="C101" s="47">
        <v>30</v>
      </c>
      <c r="D101" s="59">
        <f t="shared" si="9"/>
        <v>250</v>
      </c>
      <c r="E101" s="83">
        <f t="shared" si="10"/>
        <v>28.000000000000004</v>
      </c>
      <c r="F101" s="71">
        <f t="shared" si="11"/>
        <v>40</v>
      </c>
      <c r="G101" s="71">
        <f t="shared" si="12"/>
        <v>12</v>
      </c>
      <c r="H101" s="71">
        <f t="shared" si="13"/>
        <v>4</v>
      </c>
      <c r="I101" s="59">
        <f t="shared" si="14"/>
        <v>16</v>
      </c>
      <c r="J101" s="131" cm="1">
        <f t="array" ref="J101">SUMPRODUCT(TRANSPOSE($E101:$I101),C$16:C$20)/100</f>
        <v>49.6</v>
      </c>
      <c r="K101" s="93" cm="1">
        <f t="array" ref="K101">SUMPRODUCT(TRANSPOSE($E101:$I101),D$16:D$20)/100</f>
        <v>47.2</v>
      </c>
      <c r="L101" s="93" cm="1">
        <f t="array" ref="L101">SUMPRODUCT(TRANSPOSE($E101:$I101),E$16:E$20)/100</f>
        <v>65.2</v>
      </c>
      <c r="M101" s="93" cm="1">
        <f t="array" ref="M101">SUMPRODUCT(TRANSPOSE($E101:$I101),F$16:F$20)/100</f>
        <v>65.2</v>
      </c>
      <c r="N101" s="51" cm="1">
        <f t="array" ref="N101">SUMPRODUCT(TRANSPOSE($E101:$I101),G$16:G$20)/100</f>
        <v>91.6</v>
      </c>
    </row>
    <row r="102" spans="3:14" x14ac:dyDescent="0.35">
      <c r="C102" s="47">
        <v>40</v>
      </c>
      <c r="D102" s="59">
        <f t="shared" si="9"/>
        <v>260</v>
      </c>
      <c r="E102" s="83">
        <f t="shared" si="10"/>
        <v>26.923076923076923</v>
      </c>
      <c r="F102" s="71">
        <f t="shared" si="11"/>
        <v>38.461538461538467</v>
      </c>
      <c r="G102" s="71">
        <f t="shared" si="12"/>
        <v>15.384615384615385</v>
      </c>
      <c r="H102" s="71">
        <f t="shared" si="13"/>
        <v>3.8461538461538463</v>
      </c>
      <c r="I102" s="59">
        <f t="shared" si="14"/>
        <v>15.384615384615385</v>
      </c>
      <c r="J102" s="131" cm="1">
        <f t="array" ref="J102">SUMPRODUCT(TRANSPOSE($E102:$I102),C$16:C$20)/100</f>
        <v>50.769230769230781</v>
      </c>
      <c r="K102" s="93" cm="1">
        <f t="array" ref="K102">SUMPRODUCT(TRANSPOSE($E102:$I102),D$16:D$20)/100</f>
        <v>49.230769230769226</v>
      </c>
      <c r="L102" s="93" cm="1">
        <f t="array" ref="L102">SUMPRODUCT(TRANSPOSE($E102:$I102),E$16:E$20)/100</f>
        <v>63.846153846153854</v>
      </c>
      <c r="M102" s="93" cm="1">
        <f t="array" ref="M102">SUMPRODUCT(TRANSPOSE($E102:$I102),F$16:F$20)/100</f>
        <v>63.461538461538467</v>
      </c>
      <c r="N102" s="51" cm="1">
        <f t="array" ref="N102">SUMPRODUCT(TRANSPOSE($E102:$I102),G$16:G$20)/100</f>
        <v>91.153846153846146</v>
      </c>
    </row>
    <row r="103" spans="3:14" x14ac:dyDescent="0.35">
      <c r="C103" s="47">
        <v>50</v>
      </c>
      <c r="D103" s="59">
        <f t="shared" si="9"/>
        <v>270</v>
      </c>
      <c r="E103" s="83">
        <f t="shared" si="10"/>
        <v>25.925925925925924</v>
      </c>
      <c r="F103" s="71">
        <f t="shared" si="11"/>
        <v>37.037037037037038</v>
      </c>
      <c r="G103" s="71">
        <f t="shared" si="12"/>
        <v>18.518518518518519</v>
      </c>
      <c r="H103" s="71">
        <f t="shared" si="13"/>
        <v>3.7037037037037033</v>
      </c>
      <c r="I103" s="59">
        <f t="shared" si="14"/>
        <v>14.814814814814813</v>
      </c>
      <c r="J103" s="131" cm="1">
        <f t="array" ref="J103">SUMPRODUCT(TRANSPOSE($E103:$I103),C$16:C$20)/100</f>
        <v>51.851851851851855</v>
      </c>
      <c r="K103" s="93" cm="1">
        <f t="array" ref="K103">SUMPRODUCT(TRANSPOSE($E103:$I103),D$16:D$20)/100</f>
        <v>51.111111111111114</v>
      </c>
      <c r="L103" s="93" cm="1">
        <f t="array" ref="L103">SUMPRODUCT(TRANSPOSE($E103:$I103),E$16:E$20)/100</f>
        <v>62.592592592592588</v>
      </c>
      <c r="M103" s="93" cm="1">
        <f t="array" ref="M103">SUMPRODUCT(TRANSPOSE($E103:$I103),F$16:F$20)/100</f>
        <v>61.851851851851841</v>
      </c>
      <c r="N103" s="51" cm="1">
        <f t="array" ref="N103">SUMPRODUCT(TRANSPOSE($E103:$I103),G$16:G$20)/100</f>
        <v>90.740740740740733</v>
      </c>
    </row>
    <row r="104" spans="3:14" x14ac:dyDescent="0.35">
      <c r="C104" s="47">
        <v>60</v>
      </c>
      <c r="D104" s="59">
        <f t="shared" si="9"/>
        <v>280</v>
      </c>
      <c r="E104" s="83">
        <f t="shared" si="10"/>
        <v>25</v>
      </c>
      <c r="F104" s="71">
        <f t="shared" si="11"/>
        <v>35.714285714285715</v>
      </c>
      <c r="G104" s="71">
        <f t="shared" si="12"/>
        <v>21.428571428571427</v>
      </c>
      <c r="H104" s="71">
        <f t="shared" si="13"/>
        <v>3.5714285714285712</v>
      </c>
      <c r="I104" s="59">
        <f t="shared" si="14"/>
        <v>14.285714285714285</v>
      </c>
      <c r="J104" s="131" cm="1">
        <f t="array" ref="J104">SUMPRODUCT(TRANSPOSE($E104:$I104),C$16:C$20)/100</f>
        <v>52.857142857142847</v>
      </c>
      <c r="K104" s="93" cm="1">
        <f t="array" ref="K104">SUMPRODUCT(TRANSPOSE($E104:$I104),D$16:D$20)/100</f>
        <v>52.857142857142854</v>
      </c>
      <c r="L104" s="93" cm="1">
        <f t="array" ref="L104">SUMPRODUCT(TRANSPOSE($E104:$I104),E$16:E$20)/100</f>
        <v>61.428571428571431</v>
      </c>
      <c r="M104" s="93" cm="1">
        <f t="array" ref="M104">SUMPRODUCT(TRANSPOSE($E104:$I104),F$16:F$20)/100</f>
        <v>60.357142857142854</v>
      </c>
      <c r="N104" s="51" cm="1">
        <f t="array" ref="N104">SUMPRODUCT(TRANSPOSE($E104:$I104),G$16:G$20)/100</f>
        <v>90.357142857142861</v>
      </c>
    </row>
    <row r="105" spans="3:14" x14ac:dyDescent="0.35">
      <c r="C105" s="47">
        <v>70</v>
      </c>
      <c r="D105" s="59">
        <f t="shared" si="9"/>
        <v>290</v>
      </c>
      <c r="E105" s="83">
        <f t="shared" si="10"/>
        <v>24.137931034482758</v>
      </c>
      <c r="F105" s="71">
        <f t="shared" si="11"/>
        <v>34.482758620689658</v>
      </c>
      <c r="G105" s="71">
        <f t="shared" si="12"/>
        <v>24.137931034482758</v>
      </c>
      <c r="H105" s="71">
        <f t="shared" si="13"/>
        <v>3.4482758620689653</v>
      </c>
      <c r="I105" s="59">
        <f t="shared" si="14"/>
        <v>13.793103448275861</v>
      </c>
      <c r="J105" s="131" cm="1">
        <f t="array" ref="J105">SUMPRODUCT(TRANSPOSE($E105:$I105),C$16:C$20)/100</f>
        <v>53.793103448275872</v>
      </c>
      <c r="K105" s="93" cm="1">
        <f t="array" ref="K105">SUMPRODUCT(TRANSPOSE($E105:$I105),D$16:D$20)/100</f>
        <v>54.482758620689658</v>
      </c>
      <c r="L105" s="93" cm="1">
        <f t="array" ref="L105">SUMPRODUCT(TRANSPOSE($E105:$I105),E$16:E$20)/100</f>
        <v>60.344827586206904</v>
      </c>
      <c r="M105" s="93" cm="1">
        <f t="array" ref="M105">SUMPRODUCT(TRANSPOSE($E105:$I105),F$16:F$20)/100</f>
        <v>58.96551724137931</v>
      </c>
      <c r="N105" s="51" cm="1">
        <f t="array" ref="N105">SUMPRODUCT(TRANSPOSE($E105:$I105),G$16:G$20)/100</f>
        <v>90</v>
      </c>
    </row>
    <row r="106" spans="3:14" x14ac:dyDescent="0.35">
      <c r="C106" s="47">
        <v>80</v>
      </c>
      <c r="D106" s="59">
        <f t="shared" si="9"/>
        <v>300</v>
      </c>
      <c r="E106" s="83">
        <f t="shared" si="10"/>
        <v>23.333333333333332</v>
      </c>
      <c r="F106" s="71">
        <f t="shared" si="11"/>
        <v>33.333333333333329</v>
      </c>
      <c r="G106" s="71">
        <f t="shared" si="12"/>
        <v>26.666666666666668</v>
      </c>
      <c r="H106" s="71">
        <f t="shared" si="13"/>
        <v>3.3333333333333335</v>
      </c>
      <c r="I106" s="59">
        <f t="shared" si="14"/>
        <v>13.333333333333334</v>
      </c>
      <c r="J106" s="131" cm="1">
        <f t="array" ref="J106">SUMPRODUCT(TRANSPOSE($E106:$I106),C$16:C$20)/100</f>
        <v>54.666666666666657</v>
      </c>
      <c r="K106" s="93" cm="1">
        <f t="array" ref="K106">SUMPRODUCT(TRANSPOSE($E106:$I106),D$16:D$20)/100</f>
        <v>56</v>
      </c>
      <c r="L106" s="93" cm="1">
        <f t="array" ref="L106">SUMPRODUCT(TRANSPOSE($E106:$I106),E$16:E$20)/100</f>
        <v>59.333333333333329</v>
      </c>
      <c r="M106" s="93" cm="1">
        <f t="array" ref="M106">SUMPRODUCT(TRANSPOSE($E106:$I106),F$16:F$20)/100</f>
        <v>57.66666666666665</v>
      </c>
      <c r="N106" s="51" cm="1">
        <f t="array" ref="N106">SUMPRODUCT(TRANSPOSE($E106:$I106),G$16:G$20)/100</f>
        <v>89.666666666666657</v>
      </c>
    </row>
    <row r="107" spans="3:14" x14ac:dyDescent="0.35">
      <c r="C107" s="47">
        <v>90</v>
      </c>
      <c r="D107" s="59">
        <f t="shared" si="9"/>
        <v>310</v>
      </c>
      <c r="E107" s="83">
        <f t="shared" si="10"/>
        <v>22.58064516129032</v>
      </c>
      <c r="F107" s="71">
        <f t="shared" si="11"/>
        <v>32.258064516129032</v>
      </c>
      <c r="G107" s="71">
        <f t="shared" si="12"/>
        <v>29.032258064516132</v>
      </c>
      <c r="H107" s="71">
        <f t="shared" si="13"/>
        <v>3.225806451612903</v>
      </c>
      <c r="I107" s="59">
        <f t="shared" si="14"/>
        <v>12.903225806451612</v>
      </c>
      <c r="J107" s="131" cm="1">
        <f t="array" ref="J107">SUMPRODUCT(TRANSPOSE($E107:$I107),C$16:C$20)/100</f>
        <v>55.483870967741943</v>
      </c>
      <c r="K107" s="93" cm="1">
        <f t="array" ref="K107">SUMPRODUCT(TRANSPOSE($E107:$I107),D$16:D$20)/100</f>
        <v>57.41935483870968</v>
      </c>
      <c r="L107" s="93" cm="1">
        <f t="array" ref="L107">SUMPRODUCT(TRANSPOSE($E107:$I107),E$16:E$20)/100</f>
        <v>58.387096774193544</v>
      </c>
      <c r="M107" s="93" cm="1">
        <f t="array" ref="M107">SUMPRODUCT(TRANSPOSE($E107:$I107),F$16:F$20)/100</f>
        <v>56.451612903225808</v>
      </c>
      <c r="N107" s="51" cm="1">
        <f t="array" ref="N107">SUMPRODUCT(TRANSPOSE($E107:$I107),G$16:G$20)/100</f>
        <v>89.354838709677423</v>
      </c>
    </row>
    <row r="108" spans="3:14" ht="16" thickBot="1" x14ac:dyDescent="0.4">
      <c r="C108" s="50">
        <v>100</v>
      </c>
      <c r="D108" s="60">
        <f t="shared" si="9"/>
        <v>320</v>
      </c>
      <c r="E108" s="84">
        <f t="shared" si="10"/>
        <v>21.875</v>
      </c>
      <c r="F108" s="130">
        <f t="shared" si="11"/>
        <v>31.25</v>
      </c>
      <c r="G108" s="130">
        <f t="shared" si="12"/>
        <v>31.25</v>
      </c>
      <c r="H108" s="130">
        <f t="shared" si="13"/>
        <v>3.125</v>
      </c>
      <c r="I108" s="60">
        <f t="shared" si="14"/>
        <v>12.5</v>
      </c>
      <c r="J108" s="132" cm="1">
        <f t="array" ref="J108">SUMPRODUCT(TRANSPOSE($E108:$I108),C$16:C$20)/100</f>
        <v>56.25</v>
      </c>
      <c r="K108" s="94" cm="1">
        <f t="array" ref="K108">SUMPRODUCT(TRANSPOSE($E108:$I108),D$16:D$20)/100</f>
        <v>58.75</v>
      </c>
      <c r="L108" s="94" cm="1">
        <f t="array" ref="L108">SUMPRODUCT(TRANSPOSE($E108:$I108),E$16:E$20)/100</f>
        <v>57.5</v>
      </c>
      <c r="M108" s="94" cm="1">
        <f t="array" ref="M108">SUMPRODUCT(TRANSPOSE($E108:$I108),F$16:F$20)/100</f>
        <v>55.3125</v>
      </c>
      <c r="N108" s="52" cm="1">
        <f t="array" ref="N108">SUMPRODUCT(TRANSPOSE($E108:$I108),G$16:G$20)/100</f>
        <v>89.0625</v>
      </c>
    </row>
    <row r="109" spans="3:14" x14ac:dyDescent="0.35">
      <c r="D109" s="14"/>
      <c r="E109" s="14"/>
      <c r="F109" s="14"/>
      <c r="G109" s="14"/>
      <c r="H109" s="14"/>
      <c r="I109" s="14"/>
      <c r="J109" s="13"/>
      <c r="K109" s="13"/>
      <c r="L109" s="13"/>
      <c r="M109" s="13"/>
      <c r="N109" s="13"/>
    </row>
    <row r="110" spans="3:14" x14ac:dyDescent="0.35">
      <c r="D110" s="14"/>
      <c r="E110" s="14"/>
      <c r="F110" s="14"/>
      <c r="G110" s="14"/>
      <c r="H110" s="14"/>
      <c r="I110" s="14"/>
      <c r="J110" s="13"/>
      <c r="K110" s="13"/>
      <c r="L110" s="13"/>
      <c r="M110" s="13"/>
      <c r="N110" s="13"/>
    </row>
    <row r="111" spans="3:14" x14ac:dyDescent="0.35">
      <c r="D111" s="14"/>
      <c r="E111" s="14"/>
      <c r="F111" s="14"/>
      <c r="G111" s="14"/>
      <c r="H111" s="14"/>
      <c r="I111" s="14"/>
      <c r="J111" s="13"/>
      <c r="K111" s="13"/>
      <c r="L111" s="13"/>
      <c r="M111" s="13"/>
      <c r="N111" s="13"/>
    </row>
    <row r="112" spans="3:14" x14ac:dyDescent="0.35">
      <c r="D112" s="14"/>
      <c r="E112" s="14"/>
      <c r="F112" s="14"/>
      <c r="G112" s="14"/>
      <c r="H112" s="14"/>
      <c r="I112" s="14"/>
      <c r="J112" s="13"/>
      <c r="K112" s="13"/>
      <c r="L112" s="13"/>
      <c r="M112" s="13"/>
      <c r="N112" s="13"/>
    </row>
    <row r="113" spans="4:14" x14ac:dyDescent="0.35">
      <c r="D113" s="14"/>
      <c r="E113" s="14"/>
      <c r="F113" s="14"/>
      <c r="G113" s="14"/>
      <c r="H113" s="14"/>
      <c r="I113" s="14"/>
      <c r="J113" s="13"/>
      <c r="K113" s="13"/>
      <c r="L113" s="13"/>
      <c r="M113" s="13"/>
      <c r="N113" s="13"/>
    </row>
    <row r="114" spans="4:14" x14ac:dyDescent="0.35">
      <c r="D114" s="14"/>
      <c r="E114" s="14"/>
      <c r="F114" s="14"/>
      <c r="G114" s="14"/>
      <c r="H114" s="14"/>
      <c r="I114" s="14"/>
      <c r="J114" s="13"/>
      <c r="K114" s="13"/>
      <c r="L114" s="13"/>
      <c r="M114" s="13"/>
      <c r="N114" s="13"/>
    </row>
    <row r="115" spans="4:14" x14ac:dyDescent="0.35">
      <c r="D115" s="14"/>
      <c r="E115" s="14"/>
      <c r="F115" s="14"/>
      <c r="G115" s="14"/>
      <c r="H115" s="14"/>
      <c r="I115" s="14"/>
      <c r="J115" s="13"/>
      <c r="K115" s="13"/>
      <c r="L115" s="13"/>
      <c r="M115" s="13"/>
      <c r="N115" s="13"/>
    </row>
    <row r="116" spans="4:14" x14ac:dyDescent="0.35">
      <c r="D116" s="14"/>
      <c r="E116" s="14"/>
      <c r="F116" s="14"/>
      <c r="G116" s="14"/>
      <c r="H116" s="14"/>
      <c r="I116" s="14"/>
      <c r="J116" s="13"/>
      <c r="K116" s="13"/>
      <c r="L116" s="13"/>
      <c r="M116" s="13"/>
      <c r="N116" s="13"/>
    </row>
    <row r="117" spans="4:14" x14ac:dyDescent="0.35">
      <c r="D117" s="14"/>
      <c r="E117" s="14"/>
      <c r="F117" s="14"/>
      <c r="G117" s="14"/>
      <c r="H117" s="14"/>
      <c r="I117" s="14"/>
      <c r="J117" s="13"/>
      <c r="K117" s="13"/>
      <c r="L117" s="13"/>
      <c r="M117" s="13"/>
      <c r="N117" s="13"/>
    </row>
    <row r="118" spans="4:14" x14ac:dyDescent="0.35">
      <c r="D118" s="14"/>
      <c r="E118" s="14"/>
      <c r="F118" s="14"/>
      <c r="G118" s="14"/>
      <c r="H118" s="14"/>
      <c r="I118" s="14"/>
      <c r="J118" s="13"/>
      <c r="K118" s="13"/>
      <c r="L118" s="13"/>
      <c r="M118" s="13"/>
      <c r="N118" s="13"/>
    </row>
    <row r="119" spans="4:14" x14ac:dyDescent="0.35">
      <c r="D119" s="14"/>
      <c r="E119" s="14"/>
      <c r="F119" s="14"/>
      <c r="G119" s="14"/>
      <c r="H119" s="14"/>
      <c r="I119" s="14"/>
      <c r="J119" s="13"/>
      <c r="K119" s="13"/>
      <c r="L119" s="13"/>
      <c r="M119" s="13"/>
      <c r="N119" s="13"/>
    </row>
    <row r="120" spans="4:14" x14ac:dyDescent="0.35">
      <c r="D120" s="14"/>
      <c r="E120" s="14"/>
      <c r="F120" s="14"/>
      <c r="G120" s="14"/>
      <c r="H120" s="14"/>
      <c r="I120" s="14"/>
      <c r="J120" s="13"/>
      <c r="K120" s="13"/>
      <c r="L120" s="13"/>
      <c r="M120" s="13"/>
      <c r="N120" s="13"/>
    </row>
    <row r="121" spans="4:14" x14ac:dyDescent="0.35">
      <c r="D121" s="14"/>
      <c r="E121" s="14"/>
      <c r="F121" s="14"/>
      <c r="G121" s="14"/>
      <c r="H121" s="14"/>
      <c r="I121" s="14"/>
      <c r="J121" s="13"/>
      <c r="K121" s="13"/>
      <c r="L121" s="13"/>
      <c r="M121" s="13"/>
      <c r="N121" s="13"/>
    </row>
    <row r="122" spans="4:14" x14ac:dyDescent="0.35">
      <c r="D122" s="14"/>
      <c r="E122" s="14"/>
      <c r="F122" s="14"/>
      <c r="G122" s="14"/>
      <c r="H122" s="14"/>
      <c r="I122" s="14"/>
      <c r="J122" s="13"/>
      <c r="K122" s="13"/>
      <c r="L122" s="13"/>
      <c r="M122" s="13"/>
      <c r="N122" s="13"/>
    </row>
    <row r="123" spans="4:14" x14ac:dyDescent="0.35">
      <c r="D123" s="14"/>
      <c r="E123" s="14"/>
      <c r="F123" s="14"/>
      <c r="G123" s="14"/>
      <c r="H123" s="14"/>
      <c r="I123" s="14"/>
      <c r="J123" s="13"/>
      <c r="K123" s="13"/>
      <c r="L123" s="13"/>
      <c r="M123" s="13"/>
      <c r="N123" s="13"/>
    </row>
    <row r="124" spans="4:14" x14ac:dyDescent="0.35">
      <c r="D124" s="14"/>
      <c r="E124" s="14"/>
      <c r="F124" s="14"/>
      <c r="G124" s="14"/>
      <c r="H124" s="14"/>
      <c r="I124" s="14"/>
      <c r="J124" s="13"/>
      <c r="K124" s="13"/>
      <c r="L124" s="13"/>
      <c r="M124" s="13"/>
      <c r="N124" s="13"/>
    </row>
    <row r="125" spans="4:14" x14ac:dyDescent="0.35">
      <c r="D125" s="14"/>
      <c r="E125" s="14"/>
      <c r="F125" s="14"/>
      <c r="G125" s="14"/>
      <c r="H125" s="14"/>
      <c r="I125" s="14"/>
      <c r="J125" s="13"/>
      <c r="K125" s="13"/>
      <c r="L125" s="13"/>
      <c r="M125" s="13"/>
      <c r="N125" s="13"/>
    </row>
    <row r="126" spans="4:14" x14ac:dyDescent="0.35">
      <c r="D126" s="14"/>
      <c r="E126" s="14"/>
      <c r="F126" s="14"/>
      <c r="G126" s="14"/>
      <c r="H126" s="14"/>
      <c r="I126" s="14" t="s">
        <v>65</v>
      </c>
      <c r="J126" s="13"/>
      <c r="K126" s="13"/>
      <c r="L126" s="13"/>
      <c r="M126" s="13"/>
      <c r="N126" s="13"/>
    </row>
    <row r="127" spans="4:14" x14ac:dyDescent="0.35">
      <c r="D127" s="14"/>
      <c r="E127" s="14"/>
      <c r="F127" s="14"/>
      <c r="G127" s="14"/>
      <c r="H127" s="14"/>
      <c r="I127" s="14"/>
      <c r="J127" s="13"/>
      <c r="K127" s="13"/>
      <c r="L127" s="13"/>
      <c r="M127" s="13"/>
      <c r="N127" s="13"/>
    </row>
    <row r="128" spans="4:14" x14ac:dyDescent="0.35">
      <c r="D128" s="14"/>
      <c r="E128" s="14"/>
      <c r="F128" s="14"/>
      <c r="G128" s="14"/>
      <c r="H128" s="14"/>
      <c r="I128" s="14"/>
      <c r="J128" s="13"/>
      <c r="K128" s="13"/>
      <c r="L128" s="13"/>
      <c r="M128" s="13"/>
      <c r="N128" s="13"/>
    </row>
    <row r="129" spans="2:14" x14ac:dyDescent="0.35">
      <c r="D129" s="14"/>
      <c r="E129" s="14"/>
      <c r="F129" s="14"/>
      <c r="G129" s="14"/>
      <c r="H129" s="14"/>
      <c r="I129" s="14" t="s">
        <v>64</v>
      </c>
      <c r="J129" s="13"/>
      <c r="K129" s="13"/>
      <c r="L129" s="13"/>
      <c r="M129" s="13"/>
      <c r="N129" s="13"/>
    </row>
    <row r="130" spans="2:14" x14ac:dyDescent="0.35">
      <c r="D130" s="14"/>
      <c r="E130" s="14"/>
      <c r="F130" s="14"/>
      <c r="G130" s="14"/>
      <c r="H130" s="14"/>
      <c r="I130" s="14"/>
      <c r="J130" s="13"/>
      <c r="K130" s="13"/>
      <c r="L130" s="13"/>
      <c r="M130" s="13"/>
      <c r="N130" s="13"/>
    </row>
    <row r="131" spans="2:14" x14ac:dyDescent="0.35">
      <c r="D131" s="14"/>
      <c r="E131" s="14"/>
      <c r="F131" s="14"/>
      <c r="G131" s="14"/>
      <c r="H131" s="14"/>
      <c r="I131" s="14"/>
      <c r="J131" s="13"/>
      <c r="K131" s="13"/>
      <c r="L131" s="13"/>
      <c r="M131" s="13"/>
      <c r="N131" s="13"/>
    </row>
    <row r="132" spans="2:14" ht="16" thickBot="1" x14ac:dyDescent="0.4">
      <c r="D132" s="14"/>
      <c r="E132" s="14"/>
      <c r="F132" s="14"/>
      <c r="G132" s="14"/>
      <c r="H132" s="14"/>
      <c r="I132" s="14"/>
      <c r="J132" s="13"/>
      <c r="K132" s="13"/>
      <c r="L132" s="13"/>
      <c r="M132" s="13"/>
      <c r="N132" s="13"/>
    </row>
    <row r="133" spans="2:14" ht="16" thickBot="1" x14ac:dyDescent="0.4">
      <c r="B133" s="11" t="s">
        <v>62</v>
      </c>
      <c r="E133" s="136" t="s">
        <v>52</v>
      </c>
      <c r="F133" s="137"/>
      <c r="G133" s="137"/>
      <c r="H133" s="137"/>
      <c r="I133" s="138"/>
      <c r="J133" s="136" t="s">
        <v>53</v>
      </c>
      <c r="K133" s="137"/>
      <c r="L133" s="137"/>
      <c r="M133" s="137"/>
      <c r="N133" s="138"/>
    </row>
    <row r="134" spans="2:14" ht="16" thickBot="1" x14ac:dyDescent="0.4">
      <c r="C134" s="133" t="s">
        <v>49</v>
      </c>
      <c r="D134" s="104" t="s">
        <v>59</v>
      </c>
      <c r="E134" s="134" t="s">
        <v>47</v>
      </c>
      <c r="F134" s="135" t="s">
        <v>48</v>
      </c>
      <c r="G134" s="135" t="s">
        <v>63</v>
      </c>
      <c r="H134" s="135" t="s">
        <v>27</v>
      </c>
      <c r="I134" s="127" t="s">
        <v>51</v>
      </c>
      <c r="J134" s="134" t="s">
        <v>54</v>
      </c>
      <c r="K134" s="135" t="s">
        <v>55</v>
      </c>
      <c r="L134" s="135" t="s">
        <v>56</v>
      </c>
      <c r="M134" s="135" t="s">
        <v>57</v>
      </c>
      <c r="N134" s="127" t="s">
        <v>58</v>
      </c>
    </row>
    <row r="135" spans="2:14" x14ac:dyDescent="0.35">
      <c r="C135" s="47">
        <v>0</v>
      </c>
      <c r="D135" s="59">
        <f>SUM($C$7:$C$11)-$C$7+C135</f>
        <v>240</v>
      </c>
      <c r="E135" s="83">
        <f>C135/D135*100</f>
        <v>0</v>
      </c>
      <c r="F135" s="71">
        <f>$C$8/D135*100</f>
        <v>41.666666666666671</v>
      </c>
      <c r="G135" s="71">
        <f>$C$9/D135*100</f>
        <v>37.5</v>
      </c>
      <c r="H135" s="71">
        <f>$C$10/D135*100</f>
        <v>4.1666666666666661</v>
      </c>
      <c r="I135" s="59">
        <f>$C$11/D135*100</f>
        <v>16.666666666666664</v>
      </c>
      <c r="J135" s="131" cm="1">
        <f t="array" ref="J135">SUMPRODUCT(TRANSPOSE($E135:$I135),C$16:C$20)/100</f>
        <v>71.666666666666671</v>
      </c>
      <c r="K135" s="93" cm="1">
        <f t="array" ref="K135">SUMPRODUCT(TRANSPOSE($E135:$I135),D$16:D$20)/100</f>
        <v>53.75</v>
      </c>
      <c r="L135" s="93" cm="1">
        <f t="array" ref="L135">SUMPRODUCT(TRANSPOSE($E135:$I135),E$16:E$20)/100</f>
        <v>66.666666666666657</v>
      </c>
      <c r="M135" s="93" cm="1">
        <f t="array" ref="M135">SUMPRODUCT(TRANSPOSE($E135:$I135),F$16:F$20)/100</f>
        <v>43.750000000000007</v>
      </c>
      <c r="N135" s="51" cm="1">
        <f t="array" ref="N135">SUMPRODUCT(TRANSPOSE($E135:$I135),G$16:G$20)/100</f>
        <v>89.166666666666657</v>
      </c>
    </row>
    <row r="136" spans="2:14" x14ac:dyDescent="0.35">
      <c r="C136" s="47">
        <v>10</v>
      </c>
      <c r="D136" s="59">
        <f t="shared" ref="D136:D145" si="15">SUM($C$7:$C$11)-$C$7+C136</f>
        <v>250</v>
      </c>
      <c r="E136" s="83">
        <f t="shared" ref="E136:E145" si="16">C136/D136*100</f>
        <v>4</v>
      </c>
      <c r="F136" s="71">
        <f t="shared" ref="F136:F145" si="17">$C$8/D136*100</f>
        <v>40</v>
      </c>
      <c r="G136" s="71">
        <f t="shared" ref="G136:G145" si="18">$C$9/D136*100</f>
        <v>36</v>
      </c>
      <c r="H136" s="71">
        <f t="shared" ref="H136:H145" si="19">$C$10/D136*100</f>
        <v>4</v>
      </c>
      <c r="I136" s="59">
        <f t="shared" ref="I136:I145" si="20">$C$11/D136*100</f>
        <v>16</v>
      </c>
      <c r="J136" s="131" cm="1">
        <f t="array" ref="J136">SUMPRODUCT(TRANSPOSE($E136:$I136),C$16:C$20)/100</f>
        <v>68.8</v>
      </c>
      <c r="K136" s="93" cm="1">
        <f t="array" ref="K136">SUMPRODUCT(TRANSPOSE($E136:$I136),D$16:D$20)/100</f>
        <v>54.4</v>
      </c>
      <c r="L136" s="93" cm="1">
        <f t="array" ref="L136">SUMPRODUCT(TRANSPOSE($E136:$I136),E$16:E$20)/100</f>
        <v>65.2</v>
      </c>
      <c r="M136" s="93" cm="1">
        <f t="array" ref="M136">SUMPRODUCT(TRANSPOSE($E136:$I136),F$16:F$20)/100</f>
        <v>46</v>
      </c>
      <c r="N136" s="51" cm="1">
        <f t="array" ref="N136">SUMPRODUCT(TRANSPOSE($E136:$I136),G$16:G$20)/100</f>
        <v>89.2</v>
      </c>
    </row>
    <row r="137" spans="2:14" x14ac:dyDescent="0.35">
      <c r="C137" s="47">
        <v>20</v>
      </c>
      <c r="D137" s="59">
        <f t="shared" si="15"/>
        <v>260</v>
      </c>
      <c r="E137" s="83">
        <f t="shared" si="16"/>
        <v>7.6923076923076925</v>
      </c>
      <c r="F137" s="71">
        <f t="shared" si="17"/>
        <v>38.461538461538467</v>
      </c>
      <c r="G137" s="71">
        <f t="shared" si="18"/>
        <v>34.615384615384613</v>
      </c>
      <c r="H137" s="71">
        <f t="shared" si="19"/>
        <v>3.8461538461538463</v>
      </c>
      <c r="I137" s="59">
        <f t="shared" si="20"/>
        <v>15.384615384615385</v>
      </c>
      <c r="J137" s="131" cm="1">
        <f t="array" ref="J137">SUMPRODUCT(TRANSPOSE($E137:$I137),C$16:C$20)/100</f>
        <v>66.15384615384616</v>
      </c>
      <c r="K137" s="93" cm="1">
        <f t="array" ref="K137">SUMPRODUCT(TRANSPOSE($E137:$I137),D$16:D$20)/100</f>
        <v>55</v>
      </c>
      <c r="L137" s="93" cm="1">
        <f t="array" ref="L137">SUMPRODUCT(TRANSPOSE($E137:$I137),E$16:E$20)/100</f>
        <v>63.846153846153854</v>
      </c>
      <c r="M137" s="93" cm="1">
        <f t="array" ref="M137">SUMPRODUCT(TRANSPOSE($E137:$I137),F$16:F$20)/100</f>
        <v>48.076923076923087</v>
      </c>
      <c r="N137" s="51" cm="1">
        <f t="array" ref="N137">SUMPRODUCT(TRANSPOSE($E137:$I137),G$16:G$20)/100</f>
        <v>89.230769230769241</v>
      </c>
    </row>
    <row r="138" spans="2:14" x14ac:dyDescent="0.35">
      <c r="C138" s="47">
        <v>30</v>
      </c>
      <c r="D138" s="59">
        <f t="shared" si="15"/>
        <v>270</v>
      </c>
      <c r="E138" s="83">
        <f t="shared" si="16"/>
        <v>11.111111111111111</v>
      </c>
      <c r="F138" s="71">
        <f t="shared" si="17"/>
        <v>37.037037037037038</v>
      </c>
      <c r="G138" s="71">
        <f t="shared" si="18"/>
        <v>33.333333333333329</v>
      </c>
      <c r="H138" s="71">
        <f t="shared" si="19"/>
        <v>3.7037037037037033</v>
      </c>
      <c r="I138" s="59">
        <f t="shared" si="20"/>
        <v>14.814814814814813</v>
      </c>
      <c r="J138" s="131" cm="1">
        <f t="array" ref="J138">SUMPRODUCT(TRANSPOSE($E138:$I138),C$16:C$20)/100</f>
        <v>63.703703703703702</v>
      </c>
      <c r="K138" s="93" cm="1">
        <f t="array" ref="K138">SUMPRODUCT(TRANSPOSE($E138:$I138),D$16:D$20)/100</f>
        <v>55.55555555555555</v>
      </c>
      <c r="L138" s="93" cm="1">
        <f t="array" ref="L138">SUMPRODUCT(TRANSPOSE($E138:$I138),E$16:E$20)/100</f>
        <v>62.592592592592588</v>
      </c>
      <c r="M138" s="93" cm="1">
        <f t="array" ref="M138">SUMPRODUCT(TRANSPOSE($E138:$I138),F$16:F$20)/100</f>
        <v>50</v>
      </c>
      <c r="N138" s="51" cm="1">
        <f t="array" ref="N138">SUMPRODUCT(TRANSPOSE($E138:$I138),G$16:G$20)/100</f>
        <v>89.259259259259252</v>
      </c>
    </row>
    <row r="139" spans="2:14" x14ac:dyDescent="0.35">
      <c r="C139" s="47">
        <v>40</v>
      </c>
      <c r="D139" s="59">
        <f t="shared" si="15"/>
        <v>280</v>
      </c>
      <c r="E139" s="83">
        <f t="shared" si="16"/>
        <v>14.285714285714285</v>
      </c>
      <c r="F139" s="71">
        <f t="shared" si="17"/>
        <v>35.714285714285715</v>
      </c>
      <c r="G139" s="71">
        <f t="shared" si="18"/>
        <v>32.142857142857146</v>
      </c>
      <c r="H139" s="71">
        <f t="shared" si="19"/>
        <v>3.5714285714285712</v>
      </c>
      <c r="I139" s="59">
        <f t="shared" si="20"/>
        <v>14.285714285714285</v>
      </c>
      <c r="J139" s="131" cm="1">
        <f t="array" ref="J139">SUMPRODUCT(TRANSPOSE($E139:$I139),C$16:C$20)/100</f>
        <v>61.428571428571431</v>
      </c>
      <c r="K139" s="93" cm="1">
        <f t="array" ref="K139">SUMPRODUCT(TRANSPOSE($E139:$I139),D$16:D$20)/100</f>
        <v>56.071428571428569</v>
      </c>
      <c r="L139" s="93" cm="1">
        <f t="array" ref="L139">SUMPRODUCT(TRANSPOSE($E139:$I139),E$16:E$20)/100</f>
        <v>61.428571428571431</v>
      </c>
      <c r="M139" s="93" cm="1">
        <f t="array" ref="M139">SUMPRODUCT(TRANSPOSE($E139:$I139),F$16:F$20)/100</f>
        <v>51.785714285714292</v>
      </c>
      <c r="N139" s="51" cm="1">
        <f t="array" ref="N139">SUMPRODUCT(TRANSPOSE($E139:$I139),G$16:G$20)/100</f>
        <v>89.285714285714278</v>
      </c>
    </row>
    <row r="140" spans="2:14" x14ac:dyDescent="0.35">
      <c r="C140" s="47">
        <v>50</v>
      </c>
      <c r="D140" s="59">
        <f t="shared" si="15"/>
        <v>290</v>
      </c>
      <c r="E140" s="83">
        <f t="shared" si="16"/>
        <v>17.241379310344829</v>
      </c>
      <c r="F140" s="71">
        <f t="shared" si="17"/>
        <v>34.482758620689658</v>
      </c>
      <c r="G140" s="71">
        <f t="shared" si="18"/>
        <v>31.03448275862069</v>
      </c>
      <c r="H140" s="71">
        <f t="shared" si="19"/>
        <v>3.4482758620689653</v>
      </c>
      <c r="I140" s="59">
        <f t="shared" si="20"/>
        <v>13.793103448275861</v>
      </c>
      <c r="J140" s="131" cm="1">
        <f t="array" ref="J140">SUMPRODUCT(TRANSPOSE($E140:$I140),C$16:C$20)/100</f>
        <v>59.310344827586214</v>
      </c>
      <c r="K140" s="93" cm="1">
        <f t="array" ref="K140">SUMPRODUCT(TRANSPOSE($E140:$I140),D$16:D$20)/100</f>
        <v>56.551724137931032</v>
      </c>
      <c r="L140" s="93" cm="1">
        <f t="array" ref="L140">SUMPRODUCT(TRANSPOSE($E140:$I140),E$16:E$20)/100</f>
        <v>60.344827586206904</v>
      </c>
      <c r="M140" s="93" cm="1">
        <f t="array" ref="M140">SUMPRODUCT(TRANSPOSE($E140:$I140),F$16:F$20)/100</f>
        <v>53.448275862068975</v>
      </c>
      <c r="N140" s="51" cm="1">
        <f t="array" ref="N140">SUMPRODUCT(TRANSPOSE($E140:$I140),G$16:G$20)/100</f>
        <v>89.310344827586221</v>
      </c>
    </row>
    <row r="141" spans="2:14" x14ac:dyDescent="0.35">
      <c r="C141" s="47">
        <v>60</v>
      </c>
      <c r="D141" s="59">
        <f t="shared" si="15"/>
        <v>300</v>
      </c>
      <c r="E141" s="83">
        <f t="shared" si="16"/>
        <v>20</v>
      </c>
      <c r="F141" s="71">
        <f t="shared" si="17"/>
        <v>33.333333333333329</v>
      </c>
      <c r="G141" s="71">
        <f t="shared" si="18"/>
        <v>30</v>
      </c>
      <c r="H141" s="71">
        <f t="shared" si="19"/>
        <v>3.3333333333333335</v>
      </c>
      <c r="I141" s="59">
        <f t="shared" si="20"/>
        <v>13.333333333333334</v>
      </c>
      <c r="J141" s="131" cm="1">
        <f t="array" ref="J141">SUMPRODUCT(TRANSPOSE($E141:$I141),C$16:C$20)/100</f>
        <v>57.333333333333329</v>
      </c>
      <c r="K141" s="93" cm="1">
        <f t="array" ref="K141">SUMPRODUCT(TRANSPOSE($E141:$I141),D$16:D$20)/100</f>
        <v>57</v>
      </c>
      <c r="L141" s="93" cm="1">
        <f t="array" ref="L141">SUMPRODUCT(TRANSPOSE($E141:$I141),E$16:E$20)/100</f>
        <v>59.333333333333329</v>
      </c>
      <c r="M141" s="93" cm="1">
        <f t="array" ref="M141">SUMPRODUCT(TRANSPOSE($E141:$I141),F$16:F$20)/100</f>
        <v>54.999999999999993</v>
      </c>
      <c r="N141" s="51" cm="1">
        <f t="array" ref="N141">SUMPRODUCT(TRANSPOSE($E141:$I141),G$16:G$20)/100</f>
        <v>89.333333333333343</v>
      </c>
    </row>
    <row r="142" spans="2:14" x14ac:dyDescent="0.35">
      <c r="C142" s="47">
        <v>70</v>
      </c>
      <c r="D142" s="59">
        <f t="shared" si="15"/>
        <v>310</v>
      </c>
      <c r="E142" s="83">
        <f t="shared" si="16"/>
        <v>22.58064516129032</v>
      </c>
      <c r="F142" s="71">
        <f t="shared" si="17"/>
        <v>32.258064516129032</v>
      </c>
      <c r="G142" s="71">
        <f t="shared" si="18"/>
        <v>29.032258064516132</v>
      </c>
      <c r="H142" s="71">
        <f t="shared" si="19"/>
        <v>3.225806451612903</v>
      </c>
      <c r="I142" s="59">
        <f t="shared" si="20"/>
        <v>12.903225806451612</v>
      </c>
      <c r="J142" s="131" cm="1">
        <f t="array" ref="J142">SUMPRODUCT(TRANSPOSE($E142:$I142),C$16:C$20)/100</f>
        <v>55.483870967741943</v>
      </c>
      <c r="K142" s="93" cm="1">
        <f t="array" ref="K142">SUMPRODUCT(TRANSPOSE($E142:$I142),D$16:D$20)/100</f>
        <v>57.41935483870968</v>
      </c>
      <c r="L142" s="93" cm="1">
        <f t="array" ref="L142">SUMPRODUCT(TRANSPOSE($E142:$I142),E$16:E$20)/100</f>
        <v>58.387096774193544</v>
      </c>
      <c r="M142" s="93" cm="1">
        <f t="array" ref="M142">SUMPRODUCT(TRANSPOSE($E142:$I142),F$16:F$20)/100</f>
        <v>56.451612903225808</v>
      </c>
      <c r="N142" s="51" cm="1">
        <f t="array" ref="N142">SUMPRODUCT(TRANSPOSE($E142:$I142),G$16:G$20)/100</f>
        <v>89.354838709677423</v>
      </c>
    </row>
    <row r="143" spans="2:14" x14ac:dyDescent="0.35">
      <c r="C143" s="47">
        <v>80</v>
      </c>
      <c r="D143" s="59">
        <f t="shared" si="15"/>
        <v>320</v>
      </c>
      <c r="E143" s="83">
        <f t="shared" si="16"/>
        <v>25</v>
      </c>
      <c r="F143" s="71">
        <f t="shared" si="17"/>
        <v>31.25</v>
      </c>
      <c r="G143" s="71">
        <f t="shared" si="18"/>
        <v>28.125</v>
      </c>
      <c r="H143" s="71">
        <f t="shared" si="19"/>
        <v>3.125</v>
      </c>
      <c r="I143" s="59">
        <f t="shared" si="20"/>
        <v>12.5</v>
      </c>
      <c r="J143" s="131" cm="1">
        <f t="array" ref="J143">SUMPRODUCT(TRANSPOSE($E143:$I143),C$16:C$20)/100</f>
        <v>53.75</v>
      </c>
      <c r="K143" s="93" cm="1">
        <f t="array" ref="K143">SUMPRODUCT(TRANSPOSE($E143:$I143),D$16:D$20)/100</f>
        <v>57.8125</v>
      </c>
      <c r="L143" s="93" cm="1">
        <f t="array" ref="L143">SUMPRODUCT(TRANSPOSE($E143:$I143),E$16:E$20)/100</f>
        <v>57.5</v>
      </c>
      <c r="M143" s="93" cm="1">
        <f t="array" ref="M143">SUMPRODUCT(TRANSPOSE($E143:$I143),F$16:F$20)/100</f>
        <v>57.8125</v>
      </c>
      <c r="N143" s="51" cm="1">
        <f t="array" ref="N143">SUMPRODUCT(TRANSPOSE($E143:$I143),G$16:G$20)/100</f>
        <v>89.375</v>
      </c>
    </row>
    <row r="144" spans="2:14" x14ac:dyDescent="0.35">
      <c r="C144" s="47">
        <v>90</v>
      </c>
      <c r="D144" s="59">
        <f t="shared" si="15"/>
        <v>330</v>
      </c>
      <c r="E144" s="83">
        <f t="shared" si="16"/>
        <v>27.27272727272727</v>
      </c>
      <c r="F144" s="71">
        <f t="shared" si="17"/>
        <v>30.303030303030305</v>
      </c>
      <c r="G144" s="71">
        <f t="shared" si="18"/>
        <v>27.27272727272727</v>
      </c>
      <c r="H144" s="71">
        <f t="shared" si="19"/>
        <v>3.0303030303030303</v>
      </c>
      <c r="I144" s="59">
        <f t="shared" si="20"/>
        <v>12.121212121212121</v>
      </c>
      <c r="J144" s="131" cm="1">
        <f t="array" ref="J144">SUMPRODUCT(TRANSPOSE($E144:$I144),C$16:C$20)/100</f>
        <v>52.121212121212118</v>
      </c>
      <c r="K144" s="93" cm="1">
        <f t="array" ref="K144">SUMPRODUCT(TRANSPOSE($E144:$I144),D$16:D$20)/100</f>
        <v>58.18181818181818</v>
      </c>
      <c r="L144" s="93" cm="1">
        <f t="array" ref="L144">SUMPRODUCT(TRANSPOSE($E144:$I144),E$16:E$20)/100</f>
        <v>56.666666666666657</v>
      </c>
      <c r="M144" s="93" cm="1">
        <f t="array" ref="M144">SUMPRODUCT(TRANSPOSE($E144:$I144),F$16:F$20)/100</f>
        <v>59.090909090909093</v>
      </c>
      <c r="N144" s="51" cm="1">
        <f t="array" ref="N144">SUMPRODUCT(TRANSPOSE($E144:$I144),G$16:G$20)/100</f>
        <v>89.393939393939405</v>
      </c>
    </row>
    <row r="145" spans="3:14" ht="16" thickBot="1" x14ac:dyDescent="0.4">
      <c r="C145" s="50">
        <v>100</v>
      </c>
      <c r="D145" s="60">
        <f t="shared" si="15"/>
        <v>340</v>
      </c>
      <c r="E145" s="84">
        <f t="shared" si="16"/>
        <v>29.411764705882355</v>
      </c>
      <c r="F145" s="130">
        <f t="shared" si="17"/>
        <v>29.411764705882355</v>
      </c>
      <c r="G145" s="130">
        <f t="shared" si="18"/>
        <v>26.47058823529412</v>
      </c>
      <c r="H145" s="130">
        <f t="shared" si="19"/>
        <v>2.9411764705882351</v>
      </c>
      <c r="I145" s="60">
        <f t="shared" si="20"/>
        <v>11.76470588235294</v>
      </c>
      <c r="J145" s="132" cm="1">
        <f t="array" ref="J145">SUMPRODUCT(TRANSPOSE($E145:$I145),C$16:C$20)/100</f>
        <v>50.588235294117652</v>
      </c>
      <c r="K145" s="94" cm="1">
        <f t="array" ref="K145">SUMPRODUCT(TRANSPOSE($E145:$I145),D$16:D$20)/100</f>
        <v>58.529411764705884</v>
      </c>
      <c r="L145" s="94" cm="1">
        <f t="array" ref="L145">SUMPRODUCT(TRANSPOSE($E145:$I145),E$16:E$20)/100</f>
        <v>55.882352941176471</v>
      </c>
      <c r="M145" s="94" cm="1">
        <f t="array" ref="M145">SUMPRODUCT(TRANSPOSE($E145:$I145),F$16:F$20)/100</f>
        <v>60.294117647058826</v>
      </c>
      <c r="N145" s="52" cm="1">
        <f t="array" ref="N145">SUMPRODUCT(TRANSPOSE($E145:$I145),G$16:G$20)/100</f>
        <v>89.411764705882362</v>
      </c>
    </row>
  </sheetData>
  <mergeCells count="6">
    <mergeCell ref="E96:I96"/>
    <mergeCell ref="J96:N96"/>
    <mergeCell ref="E133:I133"/>
    <mergeCell ref="J133:N133"/>
    <mergeCell ref="E59:I59"/>
    <mergeCell ref="J59:N59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DB724-EB94-4F12-9560-B4EA39B854DF}">
  <dimension ref="A1:R32"/>
  <sheetViews>
    <sheetView workbookViewId="0">
      <selection activeCell="G37" sqref="G37"/>
    </sheetView>
  </sheetViews>
  <sheetFormatPr defaultRowHeight="15.5" x14ac:dyDescent="0.35"/>
  <cols>
    <col min="2" max="2" width="4.75" customWidth="1"/>
    <col min="3" max="3" width="7.83203125" customWidth="1"/>
    <col min="4" max="4" width="8.6640625" customWidth="1"/>
    <col min="5" max="5" width="10" customWidth="1"/>
    <col min="6" max="6" width="9.33203125" customWidth="1"/>
    <col min="7" max="7" width="11.4140625" customWidth="1"/>
    <col min="8" max="8" width="5.5" customWidth="1"/>
    <col min="9" max="9" width="8.25" customWidth="1"/>
    <col min="10" max="10" width="11.25" customWidth="1"/>
    <col min="11" max="11" width="9.83203125" customWidth="1"/>
    <col min="12" max="12" width="5.83203125" customWidth="1"/>
    <col min="13" max="13" width="10" customWidth="1"/>
    <col min="14" max="14" width="7" customWidth="1"/>
    <col min="15" max="15" width="10.25" customWidth="1"/>
    <col min="16" max="16" width="9.25" customWidth="1"/>
    <col min="17" max="17" width="9.6640625" customWidth="1"/>
    <col min="18" max="18" width="15.83203125" bestFit="1" customWidth="1"/>
    <col min="19" max="19" width="35" bestFit="1" customWidth="1"/>
    <col min="20" max="20" width="11.6640625" customWidth="1"/>
  </cols>
  <sheetData>
    <row r="1" spans="1:18" ht="18.5" x14ac:dyDescent="0.45">
      <c r="A1" s="17" t="s">
        <v>68</v>
      </c>
      <c r="C1" s="17"/>
    </row>
    <row r="2" spans="1:18" x14ac:dyDescent="0.35">
      <c r="B2" s="11"/>
      <c r="R2" s="13"/>
    </row>
    <row r="3" spans="1:18" x14ac:dyDescent="0.35">
      <c r="B3" s="11" t="s">
        <v>69</v>
      </c>
      <c r="R3" s="13"/>
    </row>
    <row r="4" spans="1:18" ht="16" thickBot="1" x14ac:dyDescent="0.4">
      <c r="B4" s="11"/>
      <c r="R4" s="13"/>
    </row>
    <row r="5" spans="1:18" ht="16" thickBot="1" x14ac:dyDescent="0.4">
      <c r="C5" s="18" t="s">
        <v>70</v>
      </c>
      <c r="D5" s="19" t="s">
        <v>71</v>
      </c>
      <c r="E5" s="20" t="s">
        <v>72</v>
      </c>
      <c r="F5" s="142" t="s">
        <v>73</v>
      </c>
      <c r="G5" s="143"/>
      <c r="H5" s="143"/>
      <c r="I5" s="144"/>
      <c r="J5" s="20" t="s">
        <v>74</v>
      </c>
    </row>
    <row r="6" spans="1:18" x14ac:dyDescent="0.35">
      <c r="B6" s="22" t="s">
        <v>75</v>
      </c>
      <c r="C6" s="23">
        <v>36335</v>
      </c>
      <c r="D6" s="24">
        <v>-37.792262218399998</v>
      </c>
      <c r="E6" s="25">
        <v>144.96841020839997</v>
      </c>
      <c r="F6" s="145" t="s">
        <v>76</v>
      </c>
      <c r="G6" s="146"/>
      <c r="H6" s="146"/>
      <c r="I6" s="147"/>
      <c r="J6" s="29" t="s">
        <v>77</v>
      </c>
    </row>
    <row r="7" spans="1:18" x14ac:dyDescent="0.35">
      <c r="B7" s="30" t="s">
        <v>78</v>
      </c>
      <c r="C7" s="31">
        <v>10592</v>
      </c>
      <c r="D7" s="32">
        <v>-37.933161954347831</v>
      </c>
      <c r="E7" s="33">
        <v>145.15677819478265</v>
      </c>
      <c r="F7" s="139" t="s">
        <v>79</v>
      </c>
      <c r="G7" s="140"/>
      <c r="H7" s="140"/>
      <c r="I7" s="141"/>
      <c r="J7" s="36" t="s">
        <v>80</v>
      </c>
    </row>
    <row r="8" spans="1:18" x14ac:dyDescent="0.35">
      <c r="B8" s="30" t="s">
        <v>81</v>
      </c>
      <c r="C8" s="31">
        <v>42680</v>
      </c>
      <c r="D8" s="32">
        <v>-37.961190742608693</v>
      </c>
      <c r="E8" s="33">
        <v>145.36115421347824</v>
      </c>
      <c r="F8" s="139" t="s">
        <v>82</v>
      </c>
      <c r="G8" s="140"/>
      <c r="H8" s="140"/>
      <c r="I8" s="141"/>
      <c r="J8" s="36" t="s">
        <v>83</v>
      </c>
    </row>
    <row r="9" spans="1:18" x14ac:dyDescent="0.35">
      <c r="B9" s="30" t="s">
        <v>9</v>
      </c>
      <c r="C9" s="31">
        <v>45524</v>
      </c>
      <c r="D9" s="32">
        <v>-37.805022546363631</v>
      </c>
      <c r="E9" s="33">
        <v>144.69593451409091</v>
      </c>
      <c r="F9" s="139" t="s">
        <v>84</v>
      </c>
      <c r="G9" s="140"/>
      <c r="H9" s="140"/>
      <c r="I9" s="141"/>
      <c r="J9" s="36" t="s">
        <v>85</v>
      </c>
    </row>
    <row r="10" spans="1:18" x14ac:dyDescent="0.35">
      <c r="B10" s="30" t="s">
        <v>11</v>
      </c>
      <c r="C10" s="31">
        <v>29361</v>
      </c>
      <c r="D10" s="32">
        <v>-37.784910360476204</v>
      </c>
      <c r="E10" s="33">
        <v>144.97506995476192</v>
      </c>
      <c r="F10" s="139" t="s">
        <v>86</v>
      </c>
      <c r="G10" s="140"/>
      <c r="H10" s="140"/>
      <c r="I10" s="141"/>
      <c r="J10" s="36" t="s">
        <v>77</v>
      </c>
    </row>
    <row r="11" spans="1:18" ht="16" thickBot="1" x14ac:dyDescent="0.4">
      <c r="B11" s="37" t="s">
        <v>87</v>
      </c>
      <c r="C11" s="38">
        <v>35605</v>
      </c>
      <c r="D11" s="39">
        <v>-37.98216354238096</v>
      </c>
      <c r="E11" s="40">
        <v>145.07139516952378</v>
      </c>
      <c r="F11" s="156" t="s">
        <v>88</v>
      </c>
      <c r="G11" s="157"/>
      <c r="H11" s="157"/>
      <c r="I11" s="158"/>
      <c r="J11" s="44" t="s">
        <v>89</v>
      </c>
    </row>
    <row r="12" spans="1:18" x14ac:dyDescent="0.35">
      <c r="B12" s="11"/>
    </row>
    <row r="13" spans="1:18" x14ac:dyDescent="0.35">
      <c r="B13" s="11" t="s">
        <v>90</v>
      </c>
      <c r="H13" s="11" t="s">
        <v>91</v>
      </c>
    </row>
    <row r="14" spans="1:18" ht="16" thickBot="1" x14ac:dyDescent="0.4"/>
    <row r="15" spans="1:18" ht="16" thickBot="1" x14ac:dyDescent="0.4">
      <c r="C15" s="18" t="s">
        <v>92</v>
      </c>
      <c r="D15" s="21" t="s">
        <v>93</v>
      </c>
      <c r="E15" s="45" t="s">
        <v>94</v>
      </c>
      <c r="F15" s="20" t="s">
        <v>95</v>
      </c>
      <c r="G15" s="15"/>
      <c r="I15" s="19" t="s">
        <v>96</v>
      </c>
      <c r="J15" s="45" t="s">
        <v>97</v>
      </c>
      <c r="K15" s="20" t="s">
        <v>98</v>
      </c>
    </row>
    <row r="16" spans="1:18" x14ac:dyDescent="0.35">
      <c r="B16" s="22" t="s">
        <v>75</v>
      </c>
      <c r="C16" s="31">
        <v>25</v>
      </c>
      <c r="D16">
        <v>0</v>
      </c>
      <c r="E16" s="46">
        <v>10</v>
      </c>
      <c r="F16" s="36">
        <v>15</v>
      </c>
      <c r="H16" s="22" t="s">
        <v>75</v>
      </c>
      <c r="I16" s="47">
        <v>0.6</v>
      </c>
      <c r="J16" s="46">
        <v>1.9</v>
      </c>
      <c r="K16" s="36">
        <v>0.5</v>
      </c>
    </row>
    <row r="17" spans="2:13" x14ac:dyDescent="0.35">
      <c r="B17" s="30" t="s">
        <v>78</v>
      </c>
      <c r="C17" s="31">
        <v>23</v>
      </c>
      <c r="D17">
        <v>0</v>
      </c>
      <c r="E17" s="46">
        <v>14</v>
      </c>
      <c r="F17" s="36">
        <v>9</v>
      </c>
      <c r="H17" s="30" t="s">
        <v>78</v>
      </c>
      <c r="I17" s="47">
        <v>0.24</v>
      </c>
      <c r="J17" s="46">
        <v>3.9</v>
      </c>
      <c r="K17" s="36">
        <v>0.21</v>
      </c>
    </row>
    <row r="18" spans="2:13" x14ac:dyDescent="0.35">
      <c r="B18" s="30" t="s">
        <v>81</v>
      </c>
      <c r="C18" s="31">
        <v>23</v>
      </c>
      <c r="D18">
        <v>1</v>
      </c>
      <c r="E18" s="46">
        <v>9</v>
      </c>
      <c r="F18" s="36">
        <v>13</v>
      </c>
      <c r="H18" s="30" t="s">
        <v>81</v>
      </c>
      <c r="I18" s="47">
        <v>2.8</v>
      </c>
      <c r="J18" s="46">
        <v>12.9</v>
      </c>
      <c r="K18" s="36">
        <v>10</v>
      </c>
    </row>
    <row r="19" spans="2:13" x14ac:dyDescent="0.35">
      <c r="B19" s="30" t="s">
        <v>9</v>
      </c>
      <c r="C19" s="31">
        <v>22</v>
      </c>
      <c r="D19">
        <v>0</v>
      </c>
      <c r="E19" s="46">
        <v>8</v>
      </c>
      <c r="F19" s="36">
        <v>14</v>
      </c>
      <c r="H19" s="30" t="s">
        <v>9</v>
      </c>
      <c r="I19" s="47">
        <v>3.2</v>
      </c>
      <c r="J19" s="46">
        <v>6.6</v>
      </c>
      <c r="K19" s="36">
        <v>3.9</v>
      </c>
    </row>
    <row r="20" spans="2:13" x14ac:dyDescent="0.35">
      <c r="B20" s="30" t="s">
        <v>11</v>
      </c>
      <c r="C20" s="31">
        <v>21</v>
      </c>
      <c r="D20">
        <v>0</v>
      </c>
      <c r="E20" s="46">
        <v>7</v>
      </c>
      <c r="F20" s="36">
        <v>14</v>
      </c>
      <c r="H20" s="30" t="s">
        <v>11</v>
      </c>
      <c r="I20" s="47">
        <v>1</v>
      </c>
      <c r="J20" s="46">
        <v>1.5</v>
      </c>
      <c r="K20" s="36">
        <v>0.6</v>
      </c>
    </row>
    <row r="21" spans="2:13" ht="16" thickBot="1" x14ac:dyDescent="0.4">
      <c r="B21" s="37" t="s">
        <v>87</v>
      </c>
      <c r="C21" s="38">
        <v>21</v>
      </c>
      <c r="D21" s="48">
        <v>0</v>
      </c>
      <c r="E21" s="49">
        <v>9</v>
      </c>
      <c r="F21" s="44">
        <v>12</v>
      </c>
      <c r="H21" s="37" t="s">
        <v>87</v>
      </c>
      <c r="I21" s="50">
        <v>0.16</v>
      </c>
      <c r="J21" s="49">
        <v>2.8</v>
      </c>
      <c r="K21" s="44">
        <v>0.45</v>
      </c>
    </row>
    <row r="23" spans="2:13" x14ac:dyDescent="0.35">
      <c r="B23" s="11" t="s">
        <v>99</v>
      </c>
      <c r="H23" s="11" t="s">
        <v>100</v>
      </c>
    </row>
    <row r="24" spans="2:13" ht="16" customHeight="1" thickBot="1" x14ac:dyDescent="0.4"/>
    <row r="25" spans="2:13" ht="17.5" customHeight="1" x14ac:dyDescent="0.35">
      <c r="C25" s="159">
        <v>8.3333333333333329E-2</v>
      </c>
      <c r="D25" s="161">
        <v>0.70833333333333337</v>
      </c>
      <c r="E25" s="148" t="s">
        <v>101</v>
      </c>
      <c r="I25" s="150" t="s">
        <v>102</v>
      </c>
      <c r="J25" s="151"/>
      <c r="K25" s="151"/>
      <c r="L25" s="152"/>
      <c r="M25" s="148" t="s">
        <v>122</v>
      </c>
    </row>
    <row r="26" spans="2:13" ht="16" thickBot="1" x14ac:dyDescent="0.4">
      <c r="C26" s="160"/>
      <c r="D26" s="162"/>
      <c r="E26" s="149"/>
      <c r="I26" s="153"/>
      <c r="J26" s="154"/>
      <c r="K26" s="154"/>
      <c r="L26" s="155"/>
      <c r="M26" s="149"/>
    </row>
    <row r="27" spans="2:13" x14ac:dyDescent="0.35">
      <c r="B27" s="22" t="s">
        <v>75</v>
      </c>
      <c r="C27" s="47">
        <v>2</v>
      </c>
      <c r="D27" s="46">
        <v>9</v>
      </c>
      <c r="E27" s="51">
        <f>D27/C27</f>
        <v>4.5</v>
      </c>
      <c r="H27" s="22" t="s">
        <v>75</v>
      </c>
      <c r="I27" s="26" t="s">
        <v>104</v>
      </c>
      <c r="J27" s="27"/>
      <c r="K27" s="27"/>
      <c r="L27" s="28"/>
      <c r="M27" s="58">
        <f>(103125+183756)/1000</f>
        <v>286.88099999999997</v>
      </c>
    </row>
    <row r="28" spans="2:13" x14ac:dyDescent="0.35">
      <c r="B28" s="30" t="s">
        <v>78</v>
      </c>
      <c r="C28" s="47">
        <v>2</v>
      </c>
      <c r="D28" s="46">
        <v>3</v>
      </c>
      <c r="E28" s="51">
        <f t="shared" ref="E28:E32" si="0">D28/C28</f>
        <v>1.5</v>
      </c>
      <c r="H28" s="30" t="s">
        <v>78</v>
      </c>
      <c r="I28" s="34" t="s">
        <v>105</v>
      </c>
      <c r="J28" s="10"/>
      <c r="K28" s="10"/>
      <c r="L28" s="35"/>
      <c r="M28" s="59">
        <f>(204936+168362)/1000</f>
        <v>373.298</v>
      </c>
    </row>
    <row r="29" spans="2:13" x14ac:dyDescent="0.35">
      <c r="B29" s="30" t="s">
        <v>81</v>
      </c>
      <c r="C29" s="47">
        <v>1</v>
      </c>
      <c r="D29" s="46">
        <v>1</v>
      </c>
      <c r="E29" s="51">
        <f t="shared" si="0"/>
        <v>1</v>
      </c>
      <c r="H29" s="30" t="s">
        <v>81</v>
      </c>
      <c r="I29" s="34" t="s">
        <v>106</v>
      </c>
      <c r="J29" s="10"/>
      <c r="K29" s="10"/>
      <c r="L29" s="35"/>
      <c r="M29" s="59">
        <f>159955/1000</f>
        <v>159.95500000000001</v>
      </c>
    </row>
    <row r="30" spans="2:13" x14ac:dyDescent="0.35">
      <c r="B30" s="30" t="s">
        <v>9</v>
      </c>
      <c r="C30" s="47">
        <v>2</v>
      </c>
      <c r="D30" s="46">
        <v>3</v>
      </c>
      <c r="E30" s="51">
        <f t="shared" si="0"/>
        <v>1.5</v>
      </c>
      <c r="H30" s="30" t="s">
        <v>9</v>
      </c>
      <c r="I30" s="34" t="s">
        <v>107</v>
      </c>
      <c r="J30" s="10"/>
      <c r="K30" s="10"/>
      <c r="L30" s="35"/>
      <c r="M30" s="59">
        <f>(283294+172500)/1000</f>
        <v>455.79399999999998</v>
      </c>
    </row>
    <row r="31" spans="2:13" x14ac:dyDescent="0.35">
      <c r="B31" s="30" t="s">
        <v>11</v>
      </c>
      <c r="C31" s="47">
        <v>3</v>
      </c>
      <c r="D31" s="46">
        <v>4</v>
      </c>
      <c r="E31" s="51">
        <f t="shared" si="0"/>
        <v>1.3333333333333333</v>
      </c>
      <c r="H31" s="30" t="s">
        <v>11</v>
      </c>
      <c r="I31" s="34" t="s">
        <v>108</v>
      </c>
      <c r="J31" s="10"/>
      <c r="K31" s="10"/>
      <c r="L31" s="35"/>
      <c r="M31" s="59">
        <f>103125/1000</f>
        <v>103.125</v>
      </c>
    </row>
    <row r="32" spans="2:13" ht="16" thickBot="1" x14ac:dyDescent="0.4">
      <c r="B32" s="37" t="s">
        <v>87</v>
      </c>
      <c r="C32" s="50">
        <v>2</v>
      </c>
      <c r="D32" s="49">
        <v>3</v>
      </c>
      <c r="E32" s="52">
        <f t="shared" si="0"/>
        <v>1.5</v>
      </c>
      <c r="H32" s="37" t="s">
        <v>87</v>
      </c>
      <c r="I32" s="41" t="s">
        <v>109</v>
      </c>
      <c r="J32" s="42"/>
      <c r="K32" s="42"/>
      <c r="L32" s="43"/>
      <c r="M32" s="60">
        <f>167293/1000</f>
        <v>167.29300000000001</v>
      </c>
    </row>
  </sheetData>
  <mergeCells count="12">
    <mergeCell ref="M25:M26"/>
    <mergeCell ref="I25:L26"/>
    <mergeCell ref="F11:I11"/>
    <mergeCell ref="C25:C26"/>
    <mergeCell ref="D25:D26"/>
    <mergeCell ref="E25:E26"/>
    <mergeCell ref="F10:I10"/>
    <mergeCell ref="F5:I5"/>
    <mergeCell ref="F6:I6"/>
    <mergeCell ref="F7:I7"/>
    <mergeCell ref="F8:I8"/>
    <mergeCell ref="F9:I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9BE29-FEF8-4926-9FA0-B0F9F251FEB8}">
  <dimension ref="A1:I98"/>
  <sheetViews>
    <sheetView workbookViewId="0">
      <selection activeCell="J21" sqref="J21"/>
    </sheetView>
  </sheetViews>
  <sheetFormatPr defaultRowHeight="15.5" customHeight="1" x14ac:dyDescent="0.35"/>
  <cols>
    <col min="1" max="2" width="6.83203125" customWidth="1"/>
    <col min="3" max="3" width="11.33203125" customWidth="1"/>
    <col min="4" max="4" width="10.5" customWidth="1"/>
    <col min="5" max="5" width="11.1640625" customWidth="1"/>
    <col min="6" max="6" width="14.33203125" customWidth="1"/>
    <col min="7" max="7" width="13.25" customWidth="1"/>
    <col min="8" max="8" width="9.58203125" customWidth="1"/>
    <col min="10" max="10" width="9.08203125" bestFit="1" customWidth="1"/>
    <col min="1995" max="1995" width="2.4140625" customWidth="1"/>
  </cols>
  <sheetData>
    <row r="1" spans="1:9" ht="18.5" x14ac:dyDescent="0.45">
      <c r="A1" s="17" t="s">
        <v>124</v>
      </c>
      <c r="B1" s="17"/>
    </row>
    <row r="3" spans="1:9" ht="15.5" customHeight="1" x14ac:dyDescent="0.35">
      <c r="A3" s="11" t="s">
        <v>125</v>
      </c>
    </row>
    <row r="5" spans="1:9" ht="15.5" customHeight="1" x14ac:dyDescent="0.35">
      <c r="B5" s="11" t="s">
        <v>119</v>
      </c>
    </row>
    <row r="6" spans="1:9" ht="15.5" customHeight="1" thickBot="1" x14ac:dyDescent="0.4"/>
    <row r="7" spans="1:9" ht="15.5" customHeight="1" thickBot="1" x14ac:dyDescent="0.4">
      <c r="C7" s="19" t="s">
        <v>96</v>
      </c>
      <c r="D7" s="45" t="s">
        <v>97</v>
      </c>
      <c r="E7" s="53" t="s">
        <v>98</v>
      </c>
      <c r="F7" s="18" t="s">
        <v>121</v>
      </c>
      <c r="H7" s="96" t="s">
        <v>117</v>
      </c>
      <c r="I7" s="97"/>
    </row>
    <row r="8" spans="1:9" ht="15.5" customHeight="1" x14ac:dyDescent="0.35">
      <c r="B8" s="22" t="s">
        <v>75</v>
      </c>
      <c r="C8" s="47">
        <v>0.6</v>
      </c>
      <c r="D8" s="46">
        <v>1.9</v>
      </c>
      <c r="E8" s="54">
        <v>0.5</v>
      </c>
      <c r="F8" s="56" cm="1">
        <f t="array" ref="F8">SUMPRODUCT(C8:E8, TRANSPOSE($I$8:$I$10))</f>
        <v>0.89999999999999991</v>
      </c>
      <c r="H8" s="68" t="s">
        <v>96</v>
      </c>
      <c r="I8" s="36">
        <v>0.5</v>
      </c>
    </row>
    <row r="9" spans="1:9" ht="15.5" customHeight="1" x14ac:dyDescent="0.35">
      <c r="B9" s="30" t="s">
        <v>78</v>
      </c>
      <c r="C9" s="47">
        <v>0.24</v>
      </c>
      <c r="D9" s="46">
        <v>3.9</v>
      </c>
      <c r="E9" s="54">
        <v>0.21</v>
      </c>
      <c r="F9" s="56" cm="1">
        <f t="array" ref="F9">SUMPRODUCT(C9:E9, TRANSPOSE($I$8:$I$10))</f>
        <v>1.1475</v>
      </c>
      <c r="H9" s="47" t="s">
        <v>97</v>
      </c>
      <c r="I9" s="36">
        <v>0.25</v>
      </c>
    </row>
    <row r="10" spans="1:9" ht="15.5" customHeight="1" thickBot="1" x14ac:dyDescent="0.4">
      <c r="B10" s="30" t="s">
        <v>81</v>
      </c>
      <c r="C10" s="47">
        <v>2.8</v>
      </c>
      <c r="D10" s="46">
        <v>12.9</v>
      </c>
      <c r="E10" s="54">
        <v>10</v>
      </c>
      <c r="F10" s="56" cm="1">
        <f t="array" ref="F10">SUMPRODUCT(C10:E10, TRANSPOSE($I$8:$I$10))</f>
        <v>7.125</v>
      </c>
      <c r="H10" s="50" t="s">
        <v>98</v>
      </c>
      <c r="I10" s="44">
        <v>0.25</v>
      </c>
    </row>
    <row r="11" spans="1:9" ht="15.5" customHeight="1" x14ac:dyDescent="0.35">
      <c r="B11" s="30" t="s">
        <v>9</v>
      </c>
      <c r="C11" s="47">
        <v>3.2</v>
      </c>
      <c r="D11" s="46">
        <v>6.6</v>
      </c>
      <c r="E11" s="54">
        <v>3.9</v>
      </c>
      <c r="F11" s="56" cm="1">
        <f t="array" ref="F11">SUMPRODUCT(C11:E11, TRANSPOSE($I$8:$I$10))</f>
        <v>4.2249999999999996</v>
      </c>
    </row>
    <row r="12" spans="1:9" ht="15.5" customHeight="1" x14ac:dyDescent="0.35">
      <c r="B12" s="30" t="s">
        <v>11</v>
      </c>
      <c r="C12" s="47">
        <v>1</v>
      </c>
      <c r="D12" s="46">
        <v>1.5</v>
      </c>
      <c r="E12" s="54">
        <v>0.6</v>
      </c>
      <c r="F12" s="56" cm="1">
        <f t="array" ref="F12">SUMPRODUCT(C12:E12, TRANSPOSE($I$8:$I$10))</f>
        <v>1.0249999999999999</v>
      </c>
    </row>
    <row r="13" spans="1:9" ht="15.5" customHeight="1" thickBot="1" x14ac:dyDescent="0.4">
      <c r="B13" s="37" t="s">
        <v>87</v>
      </c>
      <c r="C13" s="50">
        <v>0.16</v>
      </c>
      <c r="D13" s="49">
        <v>2.8</v>
      </c>
      <c r="E13" s="55">
        <v>0.45</v>
      </c>
      <c r="F13" s="57" cm="1">
        <f t="array" ref="F13">SUMPRODUCT(C13:E13, TRANSPOSE($I$8:$I$10))</f>
        <v>0.89249999999999996</v>
      </c>
    </row>
    <row r="15" spans="1:9" ht="15.5" customHeight="1" x14ac:dyDescent="0.35">
      <c r="B15" s="11" t="s">
        <v>120</v>
      </c>
    </row>
    <row r="16" spans="1:9" ht="15.5" customHeight="1" thickBot="1" x14ac:dyDescent="0.4"/>
    <row r="17" spans="2:7" ht="15.5" customHeight="1" thickBot="1" x14ac:dyDescent="0.4">
      <c r="B17" s="103" t="s">
        <v>118</v>
      </c>
      <c r="C17" s="105" t="s">
        <v>94</v>
      </c>
      <c r="D17" s="105" t="s">
        <v>95</v>
      </c>
      <c r="E17" s="105" t="s">
        <v>114</v>
      </c>
      <c r="F17" s="105" t="s">
        <v>115</v>
      </c>
      <c r="G17" s="104" t="s">
        <v>116</v>
      </c>
    </row>
    <row r="18" spans="2:7" ht="15.5" customHeight="1" x14ac:dyDescent="0.35">
      <c r="B18" s="100">
        <v>0</v>
      </c>
      <c r="C18" s="70">
        <v>7</v>
      </c>
      <c r="D18" s="70">
        <v>9</v>
      </c>
      <c r="E18" s="70">
        <v>1</v>
      </c>
      <c r="F18" s="70">
        <v>7.1</v>
      </c>
      <c r="G18" s="36">
        <v>103</v>
      </c>
    </row>
    <row r="19" spans="2:7" ht="15.5" customHeight="1" x14ac:dyDescent="0.35">
      <c r="B19" s="101">
        <v>25</v>
      </c>
      <c r="C19" s="70">
        <f>MEDIAN(C18,C20)</f>
        <v>8.5</v>
      </c>
      <c r="D19" s="70">
        <f>MEDIAN(D18,D20)</f>
        <v>10.5</v>
      </c>
      <c r="E19" s="70">
        <f>MEDIAN(E18,E20)</f>
        <v>2</v>
      </c>
      <c r="F19" s="70">
        <f>MEDIAN(F18,F20)</f>
        <v>5.05</v>
      </c>
      <c r="G19" s="36">
        <v>150</v>
      </c>
    </row>
    <row r="20" spans="2:7" ht="15.5" customHeight="1" x14ac:dyDescent="0.35">
      <c r="B20" s="101">
        <v>50</v>
      </c>
      <c r="C20" s="70">
        <v>10</v>
      </c>
      <c r="D20" s="70">
        <v>12</v>
      </c>
      <c r="E20" s="70">
        <v>3</v>
      </c>
      <c r="F20" s="70">
        <v>3</v>
      </c>
      <c r="G20" s="36">
        <v>200</v>
      </c>
    </row>
    <row r="21" spans="2:7" ht="15.5" customHeight="1" x14ac:dyDescent="0.35">
      <c r="B21" s="101">
        <v>75</v>
      </c>
      <c r="C21" s="70">
        <f>MEDIAN(C20,C22)</f>
        <v>12</v>
      </c>
      <c r="D21" s="70">
        <f>MEDIAN(D20,D22)</f>
        <v>13.5</v>
      </c>
      <c r="E21" s="70">
        <f>MEDIAN(E20,E22)</f>
        <v>3.75</v>
      </c>
      <c r="F21" s="70">
        <f>MEDIAN(F20,F22)</f>
        <v>1.9500000000000002</v>
      </c>
      <c r="G21" s="36">
        <v>300</v>
      </c>
    </row>
    <row r="22" spans="2:7" ht="15.5" customHeight="1" thickBot="1" x14ac:dyDescent="0.4">
      <c r="B22" s="102">
        <v>100</v>
      </c>
      <c r="C22" s="95">
        <v>14</v>
      </c>
      <c r="D22" s="95">
        <v>15</v>
      </c>
      <c r="E22" s="95">
        <v>4.5</v>
      </c>
      <c r="F22" s="95">
        <v>0.9</v>
      </c>
      <c r="G22" s="44">
        <v>456</v>
      </c>
    </row>
    <row r="23" spans="2:7" ht="15.5" customHeight="1" x14ac:dyDescent="0.35">
      <c r="B23" s="10"/>
    </row>
    <row r="82" spans="1:7" ht="15.5" customHeight="1" x14ac:dyDescent="0.35">
      <c r="A82" s="11" t="s">
        <v>126</v>
      </c>
    </row>
    <row r="83" spans="1:7" ht="15.5" customHeight="1" x14ac:dyDescent="0.35">
      <c r="C83" s="11" t="s">
        <v>129</v>
      </c>
    </row>
    <row r="84" spans="1:7" ht="15.5" customHeight="1" thickBot="1" x14ac:dyDescent="0.4"/>
    <row r="85" spans="1:7" ht="15.5" customHeight="1" thickBot="1" x14ac:dyDescent="0.4">
      <c r="F85" s="19" t="s">
        <v>49</v>
      </c>
      <c r="G85" s="20" t="s">
        <v>127</v>
      </c>
    </row>
    <row r="86" spans="1:7" ht="15.5" customHeight="1" x14ac:dyDescent="0.35">
      <c r="C86" s="61" t="s">
        <v>110</v>
      </c>
      <c r="D86" s="62"/>
      <c r="E86" s="62"/>
      <c r="F86" s="68">
        <v>100</v>
      </c>
      <c r="G86" s="58">
        <f>F86/$F$91*100</f>
        <v>27.027027027027028</v>
      </c>
    </row>
    <row r="87" spans="1:7" ht="15.5" customHeight="1" x14ac:dyDescent="0.35">
      <c r="C87" s="63" t="s">
        <v>111</v>
      </c>
      <c r="F87" s="47">
        <v>80</v>
      </c>
      <c r="G87" s="59">
        <f>F87/$F$91*100</f>
        <v>21.621621621621621</v>
      </c>
    </row>
    <row r="88" spans="1:7" ht="15.5" customHeight="1" x14ac:dyDescent="0.35">
      <c r="C88" s="63" t="s">
        <v>112</v>
      </c>
      <c r="F88" s="47">
        <v>80</v>
      </c>
      <c r="G88" s="59">
        <f>F88/$F$91*100</f>
        <v>21.621621621621621</v>
      </c>
    </row>
    <row r="89" spans="1:7" ht="15.5" customHeight="1" x14ac:dyDescent="0.35">
      <c r="C89" s="63" t="s">
        <v>91</v>
      </c>
      <c r="F89" s="47">
        <v>60</v>
      </c>
      <c r="G89" s="59">
        <f>F89/$F$91*100</f>
        <v>16.216216216216218</v>
      </c>
    </row>
    <row r="90" spans="1:7" ht="15.5" customHeight="1" thickBot="1" x14ac:dyDescent="0.4">
      <c r="C90" s="64" t="s">
        <v>100</v>
      </c>
      <c r="D90" s="48"/>
      <c r="E90" s="48"/>
      <c r="F90" s="50">
        <v>50</v>
      </c>
      <c r="G90" s="60">
        <f>F90/$F$91*100</f>
        <v>13.513513513513514</v>
      </c>
    </row>
    <row r="91" spans="1:7" ht="15.5" customHeight="1" thickBot="1" x14ac:dyDescent="0.4">
      <c r="C91" s="65" t="s">
        <v>128</v>
      </c>
      <c r="D91" s="66"/>
      <c r="E91" s="66"/>
      <c r="F91" s="69">
        <f>SUM(F86:F90)</f>
        <v>370</v>
      </c>
      <c r="G91" s="67">
        <f>SUM(G86:G90)</f>
        <v>100</v>
      </c>
    </row>
    <row r="93" spans="1:7" ht="15.5" customHeight="1" x14ac:dyDescent="0.35">
      <c r="C93" s="11" t="s">
        <v>130</v>
      </c>
    </row>
    <row r="94" spans="1:7" ht="15.5" customHeight="1" thickBot="1" x14ac:dyDescent="0.4"/>
    <row r="95" spans="1:7" ht="15.5" customHeight="1" thickBot="1" x14ac:dyDescent="0.4">
      <c r="D95" s="18" t="s">
        <v>133</v>
      </c>
    </row>
    <row r="96" spans="1:7" ht="15.5" customHeight="1" x14ac:dyDescent="0.35">
      <c r="C96" s="68" t="s">
        <v>131</v>
      </c>
      <c r="D96" s="58">
        <f>G86+G87</f>
        <v>48.648648648648646</v>
      </c>
    </row>
    <row r="97" spans="3:4" ht="15.5" customHeight="1" x14ac:dyDescent="0.35">
      <c r="C97" s="47" t="s">
        <v>112</v>
      </c>
      <c r="D97" s="59">
        <f>G88</f>
        <v>21.621621621621621</v>
      </c>
    </row>
    <row r="98" spans="3:4" ht="15.5" customHeight="1" thickBot="1" x14ac:dyDescent="0.4">
      <c r="C98" s="50" t="s">
        <v>132</v>
      </c>
      <c r="D98" s="60">
        <f>G89+G90</f>
        <v>29.729729729729733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78B99-37B5-4CCF-952B-6B38A828707A}">
  <dimension ref="A1:K69"/>
  <sheetViews>
    <sheetView tabSelected="1" topLeftCell="A75" workbookViewId="0">
      <selection activeCell="K87" sqref="K87"/>
    </sheetView>
  </sheetViews>
  <sheetFormatPr defaultRowHeight="15.5" x14ac:dyDescent="0.35"/>
  <cols>
    <col min="2" max="2" width="5.1640625" customWidth="1"/>
    <col min="3" max="3" width="15.1640625" bestFit="1" customWidth="1"/>
    <col min="4" max="4" width="13.9140625" bestFit="1" customWidth="1"/>
    <col min="5" max="5" width="11.25" customWidth="1"/>
    <col min="6" max="6" width="8.5" bestFit="1" customWidth="1"/>
    <col min="7" max="7" width="13" customWidth="1"/>
    <col min="8" max="8" width="13" bestFit="1" customWidth="1"/>
  </cols>
  <sheetData>
    <row r="1" spans="1:11" ht="18.5" x14ac:dyDescent="0.45">
      <c r="A1" s="17" t="s">
        <v>123</v>
      </c>
    </row>
    <row r="3" spans="1:11" x14ac:dyDescent="0.35">
      <c r="A3" s="11" t="s">
        <v>134</v>
      </c>
    </row>
    <row r="4" spans="1:11" ht="16" thickBot="1" x14ac:dyDescent="0.4"/>
    <row r="5" spans="1:11" ht="16" thickBot="1" x14ac:dyDescent="0.4">
      <c r="C5" s="107" t="s">
        <v>110</v>
      </c>
      <c r="D5" s="108" t="s">
        <v>111</v>
      </c>
      <c r="E5" s="108" t="s">
        <v>112</v>
      </c>
      <c r="F5" s="108" t="s">
        <v>113</v>
      </c>
      <c r="G5" s="108" t="s">
        <v>103</v>
      </c>
      <c r="H5" s="106" t="s">
        <v>121</v>
      </c>
    </row>
    <row r="6" spans="1:11" x14ac:dyDescent="0.35">
      <c r="B6" s="61" t="s">
        <v>75</v>
      </c>
      <c r="C6" s="68">
        <v>50</v>
      </c>
      <c r="D6" s="109">
        <v>100</v>
      </c>
      <c r="E6" s="109">
        <v>100</v>
      </c>
      <c r="F6" s="109">
        <v>100</v>
      </c>
      <c r="G6" s="109">
        <v>72</v>
      </c>
      <c r="H6" s="91" cm="1">
        <f t="array" ref="H6">SUMPRODUCT(TRANSPOSE(C6:G6),'Task3 - Value Funcs and Weights'!$G$86:$G$90)/100</f>
        <v>82.702702702702695</v>
      </c>
    </row>
    <row r="7" spans="1:11" x14ac:dyDescent="0.35">
      <c r="B7" s="63" t="s">
        <v>78</v>
      </c>
      <c r="C7" s="47">
        <v>100</v>
      </c>
      <c r="D7" s="70">
        <v>0</v>
      </c>
      <c r="E7" s="70">
        <v>25</v>
      </c>
      <c r="F7" s="70">
        <v>95</v>
      </c>
      <c r="G7" s="70">
        <v>87</v>
      </c>
      <c r="H7" s="51" cm="1">
        <f t="array" ref="H7">SUMPRODUCT(TRANSPOSE(C7:G7),'Task3 - Value Funcs and Weights'!$G$86:$G$90)/100</f>
        <v>59.594594594594604</v>
      </c>
    </row>
    <row r="8" spans="1:11" x14ac:dyDescent="0.35">
      <c r="B8" s="63" t="s">
        <v>81</v>
      </c>
      <c r="C8" s="47">
        <v>33</v>
      </c>
      <c r="D8" s="70">
        <v>67</v>
      </c>
      <c r="E8" s="70">
        <v>0</v>
      </c>
      <c r="F8" s="70">
        <v>0</v>
      </c>
      <c r="G8" s="70">
        <v>29</v>
      </c>
      <c r="H8" s="51" cm="1">
        <f t="array" ref="H8">SUMPRODUCT(TRANSPOSE(C8:G8),'Task3 - Value Funcs and Weights'!$G$86:$G$90)/100</f>
        <v>27.324324324324326</v>
      </c>
    </row>
    <row r="9" spans="1:11" x14ac:dyDescent="0.35">
      <c r="B9" s="63" t="s">
        <v>9</v>
      </c>
      <c r="C9" s="47">
        <v>17</v>
      </c>
      <c r="D9" s="70">
        <v>83</v>
      </c>
      <c r="E9" s="70">
        <v>25</v>
      </c>
      <c r="F9" s="70">
        <v>35</v>
      </c>
      <c r="G9" s="70">
        <v>100</v>
      </c>
      <c r="H9" s="51" cm="1">
        <f t="array" ref="H9">SUMPRODUCT(TRANSPOSE(C9:G9),'Task3 - Value Funcs and Weights'!$G$86:$G$90)/100</f>
        <v>47.13513513513513</v>
      </c>
    </row>
    <row r="10" spans="1:11" x14ac:dyDescent="0.35">
      <c r="B10" s="63" t="s">
        <v>11</v>
      </c>
      <c r="C10" s="47">
        <v>0</v>
      </c>
      <c r="D10" s="70">
        <v>83</v>
      </c>
      <c r="E10" s="70">
        <v>22</v>
      </c>
      <c r="F10" s="70">
        <v>98</v>
      </c>
      <c r="G10" s="70">
        <v>0</v>
      </c>
      <c r="H10" s="51" cm="1">
        <f t="array" ref="H10">SUMPRODUCT(TRANSPOSE(C10:G10),'Task3 - Value Funcs and Weights'!$G$86:$G$90)/100</f>
        <v>38.594594594594604</v>
      </c>
    </row>
    <row r="11" spans="1:11" ht="16" thickBot="1" x14ac:dyDescent="0.4">
      <c r="B11" s="64" t="s">
        <v>87</v>
      </c>
      <c r="C11" s="50">
        <v>33</v>
      </c>
      <c r="D11" s="95">
        <v>50</v>
      </c>
      <c r="E11" s="95">
        <v>25</v>
      </c>
      <c r="F11" s="95">
        <v>100</v>
      </c>
      <c r="G11" s="95">
        <v>33</v>
      </c>
      <c r="H11" s="52" cm="1">
        <f t="array" ref="H11">SUMPRODUCT(TRANSPOSE(C11:G11),'Task3 - Value Funcs and Weights'!$G$86:$G$90)/100</f>
        <v>45.810810810810807</v>
      </c>
    </row>
    <row r="13" spans="1:11" x14ac:dyDescent="0.35">
      <c r="A13" s="11" t="s">
        <v>135</v>
      </c>
      <c r="C13" s="12"/>
      <c r="D13" s="12"/>
      <c r="E13" s="12"/>
      <c r="K13" s="70"/>
    </row>
    <row r="15" spans="1:11" x14ac:dyDescent="0.35">
      <c r="A15" s="11"/>
      <c r="B15" t="s">
        <v>137</v>
      </c>
      <c r="E15" t="str">
        <f>VLOOKUP(_xlfn.XLOOKUP(MAX(H6:H11),H6:H11,B6:B11),'Task3 - Raw Data'!B6:J11,5)</f>
        <v>cnr Lygon St, Princes St</v>
      </c>
      <c r="G15" t="str">
        <f>_xlfn.CONCAT("in ",VLOOKUP(E15,'Task3 - Raw Data'!F6:J11,5))</f>
        <v>in Carlton Nth</v>
      </c>
    </row>
    <row r="17" spans="1:2" x14ac:dyDescent="0.35">
      <c r="A17" s="11" t="s">
        <v>136</v>
      </c>
    </row>
    <row r="18" spans="1:2" x14ac:dyDescent="0.35">
      <c r="A18" s="11"/>
    </row>
    <row r="19" spans="1:2" x14ac:dyDescent="0.35">
      <c r="A19" s="11"/>
      <c r="B19" s="11" t="s">
        <v>110</v>
      </c>
    </row>
    <row r="44" spans="2:2" x14ac:dyDescent="0.35">
      <c r="B44" s="11" t="s">
        <v>112</v>
      </c>
    </row>
    <row r="69" spans="2:2" x14ac:dyDescent="0.35">
      <c r="B69" s="11" t="s">
        <v>100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BB13A-ACA3-44AE-82D3-4FA3505CFCC3}">
  <dimension ref="A1:O45"/>
  <sheetViews>
    <sheetView topLeftCell="A33" workbookViewId="0">
      <selection activeCell="P8" sqref="P8"/>
    </sheetView>
  </sheetViews>
  <sheetFormatPr defaultRowHeight="15.5" x14ac:dyDescent="0.35"/>
  <cols>
    <col min="2" max="2" width="10.58203125" customWidth="1"/>
    <col min="3" max="3" width="9.58203125" customWidth="1"/>
    <col min="4" max="4" width="7.5" customWidth="1"/>
  </cols>
  <sheetData>
    <row r="1" spans="1:15" ht="18.5" x14ac:dyDescent="0.45">
      <c r="A1" s="17" t="s">
        <v>149</v>
      </c>
    </row>
    <row r="3" spans="1:15" ht="16" thickBot="1" x14ac:dyDescent="0.4">
      <c r="A3" s="11" t="s">
        <v>151</v>
      </c>
    </row>
    <row r="4" spans="1:15" x14ac:dyDescent="0.35">
      <c r="E4" s="136" t="s">
        <v>147</v>
      </c>
      <c r="F4" s="137"/>
      <c r="G4" s="137"/>
      <c r="H4" s="137"/>
      <c r="I4" s="137"/>
      <c r="J4" s="137"/>
      <c r="K4" s="137"/>
      <c r="L4" s="137"/>
      <c r="M4" s="137"/>
      <c r="N4" s="137"/>
      <c r="O4" s="138"/>
    </row>
    <row r="5" spans="1:15" ht="16" thickBot="1" x14ac:dyDescent="0.4">
      <c r="E5" s="87">
        <v>0</v>
      </c>
      <c r="F5" s="90">
        <f>E5+10</f>
        <v>10</v>
      </c>
      <c r="G5" s="88">
        <f t="shared" ref="G5:O5" si="0">F5+10</f>
        <v>20</v>
      </c>
      <c r="H5" s="90">
        <f t="shared" si="0"/>
        <v>30</v>
      </c>
      <c r="I5" s="88">
        <f t="shared" si="0"/>
        <v>40</v>
      </c>
      <c r="J5" s="90">
        <f t="shared" si="0"/>
        <v>50</v>
      </c>
      <c r="K5" s="88">
        <f t="shared" si="0"/>
        <v>60</v>
      </c>
      <c r="L5" s="90">
        <f t="shared" si="0"/>
        <v>70</v>
      </c>
      <c r="M5" s="88">
        <f t="shared" si="0"/>
        <v>80</v>
      </c>
      <c r="N5" s="90">
        <f t="shared" si="0"/>
        <v>90</v>
      </c>
      <c r="O5" s="44">
        <f t="shared" si="0"/>
        <v>100</v>
      </c>
    </row>
    <row r="6" spans="1:15" x14ac:dyDescent="0.35">
      <c r="B6" s="163" t="s">
        <v>143</v>
      </c>
      <c r="C6" s="172" t="s">
        <v>148</v>
      </c>
      <c r="D6" s="172"/>
      <c r="E6" s="85">
        <f>'Task3 - Value Funcs and Weights'!$F$91 - 'Task3 - Value Funcs and Weights'!$F$86 + E$5</f>
        <v>270</v>
      </c>
      <c r="F6" s="82">
        <f>'Task3 - Value Funcs and Weights'!$F$91 - 'Task3 - Value Funcs and Weights'!$F$86 + F$5</f>
        <v>280</v>
      </c>
      <c r="G6" s="89">
        <f>'Task3 - Value Funcs and Weights'!$F$91 - 'Task3 - Value Funcs and Weights'!$F$86 + G$5</f>
        <v>290</v>
      </c>
      <c r="H6" s="82">
        <f>'Task3 - Value Funcs and Weights'!$F$91 - 'Task3 - Value Funcs and Weights'!$F$86 + H$5</f>
        <v>300</v>
      </c>
      <c r="I6" s="89">
        <f>'Task3 - Value Funcs and Weights'!$F$91 - 'Task3 - Value Funcs and Weights'!$F$86 + I$5</f>
        <v>310</v>
      </c>
      <c r="J6" s="82">
        <f>'Task3 - Value Funcs and Weights'!$F$91 - 'Task3 - Value Funcs and Weights'!$F$86 + J$5</f>
        <v>320</v>
      </c>
      <c r="K6" s="89">
        <f>'Task3 - Value Funcs and Weights'!$F$91 - 'Task3 - Value Funcs and Weights'!$F$86 + K$5</f>
        <v>330</v>
      </c>
      <c r="L6" s="82">
        <f>'Task3 - Value Funcs and Weights'!$F$91 - 'Task3 - Value Funcs and Weights'!$F$86 + L$5</f>
        <v>340</v>
      </c>
      <c r="M6" s="89">
        <f>'Task3 - Value Funcs and Weights'!$F$91 - 'Task3 - Value Funcs and Weights'!$F$86 + M$5</f>
        <v>350</v>
      </c>
      <c r="N6" s="82">
        <f>'Task3 - Value Funcs and Weights'!$F$91 - 'Task3 - Value Funcs and Weights'!$F$86 + N$5</f>
        <v>360</v>
      </c>
      <c r="O6" s="74">
        <f>'Task3 - Value Funcs and Weights'!$F$91 - 'Task3 - Value Funcs and Weights'!$F$86 + O$5</f>
        <v>370</v>
      </c>
    </row>
    <row r="7" spans="1:15" x14ac:dyDescent="0.35">
      <c r="B7" s="164"/>
      <c r="C7" s="169" t="s">
        <v>146</v>
      </c>
      <c r="D7" t="s">
        <v>138</v>
      </c>
      <c r="E7" s="86">
        <f>E5/E6*100</f>
        <v>0</v>
      </c>
      <c r="F7" s="14">
        <f t="shared" ref="F7:O7" si="1">F5/F6*100</f>
        <v>3.5714285714285712</v>
      </c>
      <c r="G7" s="79">
        <f t="shared" si="1"/>
        <v>6.8965517241379306</v>
      </c>
      <c r="H7" s="14">
        <f t="shared" si="1"/>
        <v>10</v>
      </c>
      <c r="I7" s="79">
        <f t="shared" si="1"/>
        <v>12.903225806451612</v>
      </c>
      <c r="J7" s="14">
        <f t="shared" si="1"/>
        <v>15.625</v>
      </c>
      <c r="K7" s="79">
        <f t="shared" si="1"/>
        <v>18.181818181818183</v>
      </c>
      <c r="L7" s="14">
        <f t="shared" si="1"/>
        <v>20.588235294117645</v>
      </c>
      <c r="M7" s="79">
        <f t="shared" si="1"/>
        <v>22.857142857142858</v>
      </c>
      <c r="N7" s="14">
        <f t="shared" si="1"/>
        <v>25</v>
      </c>
      <c r="O7" s="75">
        <f t="shared" si="1"/>
        <v>27.027027027027028</v>
      </c>
    </row>
    <row r="8" spans="1:15" x14ac:dyDescent="0.35">
      <c r="B8" s="164"/>
      <c r="C8" s="170"/>
      <c r="D8" t="s">
        <v>139</v>
      </c>
      <c r="E8" s="83">
        <f>'Task3 - Value Funcs and Weights'!$F$87 / E$6 * 100</f>
        <v>29.629629629629626</v>
      </c>
      <c r="F8" s="14">
        <f>'Task3 - Value Funcs and Weights'!$F$87 / F$6 * 100</f>
        <v>28.571428571428569</v>
      </c>
      <c r="G8" s="80">
        <f>'Task3 - Value Funcs and Weights'!$F$87 / G$6 * 100</f>
        <v>27.586206896551722</v>
      </c>
      <c r="H8" s="14">
        <f>'Task3 - Value Funcs and Weights'!$F$87 / H$6 * 100</f>
        <v>26.666666666666668</v>
      </c>
      <c r="I8" s="80">
        <f>'Task3 - Value Funcs and Weights'!$F$87 / I$6 * 100</f>
        <v>25.806451612903224</v>
      </c>
      <c r="J8" s="14">
        <f>'Task3 - Value Funcs and Weights'!$F$87 / J$6 * 100</f>
        <v>25</v>
      </c>
      <c r="K8" s="80">
        <f>'Task3 - Value Funcs and Weights'!$F$87 / K$6 * 100</f>
        <v>24.242424242424242</v>
      </c>
      <c r="L8" s="14">
        <f>'Task3 - Value Funcs and Weights'!$F$87 / L$6 * 100</f>
        <v>23.52941176470588</v>
      </c>
      <c r="M8" s="80">
        <f>'Task3 - Value Funcs and Weights'!$F$87 / M$6 * 100</f>
        <v>22.857142857142858</v>
      </c>
      <c r="N8" s="14">
        <f>'Task3 - Value Funcs and Weights'!$F$87 / N$6 * 100</f>
        <v>22.222222222222221</v>
      </c>
      <c r="O8" s="76">
        <f>'Task3 - Value Funcs and Weights'!$F$87 / O$6 * 100</f>
        <v>21.621621621621621</v>
      </c>
    </row>
    <row r="9" spans="1:15" x14ac:dyDescent="0.35">
      <c r="B9" s="164"/>
      <c r="C9" s="170"/>
      <c r="D9" t="s">
        <v>140</v>
      </c>
      <c r="E9" s="83">
        <f>'Task3 - Value Funcs and Weights'!$F$88 / E$6 * 100</f>
        <v>29.629629629629626</v>
      </c>
      <c r="F9" s="14">
        <f>'Task3 - Value Funcs and Weights'!$F$88 / F$6 * 100</f>
        <v>28.571428571428569</v>
      </c>
      <c r="G9" s="80">
        <f>'Task3 - Value Funcs and Weights'!$F$88 / G$6 * 100</f>
        <v>27.586206896551722</v>
      </c>
      <c r="H9" s="14">
        <f>'Task3 - Value Funcs and Weights'!$F$88 / H$6 * 100</f>
        <v>26.666666666666668</v>
      </c>
      <c r="I9" s="80">
        <f>'Task3 - Value Funcs and Weights'!$F$88 / I$6 * 100</f>
        <v>25.806451612903224</v>
      </c>
      <c r="J9" s="14">
        <f>'Task3 - Value Funcs and Weights'!$F$88 / J$6 * 100</f>
        <v>25</v>
      </c>
      <c r="K9" s="80">
        <f>'Task3 - Value Funcs and Weights'!$F$88 / K$6 * 100</f>
        <v>24.242424242424242</v>
      </c>
      <c r="L9" s="14">
        <f>'Task3 - Value Funcs and Weights'!$F$88 / L$6 * 100</f>
        <v>23.52941176470588</v>
      </c>
      <c r="M9" s="80">
        <f>'Task3 - Value Funcs and Weights'!$F$88 / M$6 * 100</f>
        <v>22.857142857142858</v>
      </c>
      <c r="N9" s="14">
        <f>'Task3 - Value Funcs and Weights'!$F$88 / N$6 * 100</f>
        <v>22.222222222222221</v>
      </c>
      <c r="O9" s="76">
        <f>'Task3 - Value Funcs and Weights'!$F$88 / O$6 * 100</f>
        <v>21.621621621621621</v>
      </c>
    </row>
    <row r="10" spans="1:15" x14ac:dyDescent="0.35">
      <c r="B10" s="164"/>
      <c r="C10" s="170"/>
      <c r="D10" t="s">
        <v>141</v>
      </c>
      <c r="E10" s="83">
        <f>'Task3 - Value Funcs and Weights'!$F$89 / E$6 * 100</f>
        <v>22.222222222222221</v>
      </c>
      <c r="F10" s="14">
        <f>'Task3 - Value Funcs and Weights'!$F$89 / F$6 * 100</f>
        <v>21.428571428571427</v>
      </c>
      <c r="G10" s="80">
        <f>'Task3 - Value Funcs and Weights'!$F$89 / G$6 * 100</f>
        <v>20.689655172413794</v>
      </c>
      <c r="H10" s="14">
        <f>'Task3 - Value Funcs and Weights'!$F$89 / H$6 * 100</f>
        <v>20</v>
      </c>
      <c r="I10" s="80">
        <f>'Task3 - Value Funcs and Weights'!$F$89 / I$6 * 100</f>
        <v>19.35483870967742</v>
      </c>
      <c r="J10" s="14">
        <f>'Task3 - Value Funcs and Weights'!$F$89 / J$6 * 100</f>
        <v>18.75</v>
      </c>
      <c r="K10" s="80">
        <f>'Task3 - Value Funcs and Weights'!$F$89 / K$6 * 100</f>
        <v>18.181818181818183</v>
      </c>
      <c r="L10" s="14">
        <f>'Task3 - Value Funcs and Weights'!$F$89 / L$6 * 100</f>
        <v>17.647058823529413</v>
      </c>
      <c r="M10" s="80">
        <f>'Task3 - Value Funcs and Weights'!$F$89 / M$6 * 100</f>
        <v>17.142857142857142</v>
      </c>
      <c r="N10" s="14">
        <f>'Task3 - Value Funcs and Weights'!$F$89 / N$6 * 100</f>
        <v>16.666666666666664</v>
      </c>
      <c r="O10" s="76">
        <f>'Task3 - Value Funcs and Weights'!$F$89 / O$6 * 100</f>
        <v>16.216216216216218</v>
      </c>
    </row>
    <row r="11" spans="1:15" ht="16" thickBot="1" x14ac:dyDescent="0.4">
      <c r="B11" s="165"/>
      <c r="C11" s="171"/>
      <c r="D11" s="48" t="s">
        <v>142</v>
      </c>
      <c r="E11" s="84">
        <f>'Task3 - Value Funcs and Weights'!$F$90 / E$6 * 100</f>
        <v>18.518518518518519</v>
      </c>
      <c r="F11" s="72">
        <f>'Task3 - Value Funcs and Weights'!$F$90 / F$6 * 100</f>
        <v>17.857142857142858</v>
      </c>
      <c r="G11" s="81">
        <f>'Task3 - Value Funcs and Weights'!$F$90 / G$6 * 100</f>
        <v>17.241379310344829</v>
      </c>
      <c r="H11" s="72">
        <f>'Task3 - Value Funcs and Weights'!$F$90 / H$6 * 100</f>
        <v>16.666666666666664</v>
      </c>
      <c r="I11" s="81">
        <f>'Task3 - Value Funcs and Weights'!$F$90 / I$6 * 100</f>
        <v>16.129032258064516</v>
      </c>
      <c r="J11" s="72">
        <f>'Task3 - Value Funcs and Weights'!$F$90 / J$6 * 100</f>
        <v>15.625</v>
      </c>
      <c r="K11" s="81">
        <f>'Task3 - Value Funcs and Weights'!$F$90 / K$6 * 100</f>
        <v>15.151515151515152</v>
      </c>
      <c r="L11" s="72">
        <f>'Task3 - Value Funcs and Weights'!$F$90 / L$6 * 100</f>
        <v>14.705882352941178</v>
      </c>
      <c r="M11" s="81">
        <f>'Task3 - Value Funcs and Weights'!$F$90 / M$6 * 100</f>
        <v>14.285714285714285</v>
      </c>
      <c r="N11" s="72">
        <f>'Task3 - Value Funcs and Weights'!$F$90 / N$6 * 100</f>
        <v>13.888888888888889</v>
      </c>
      <c r="O11" s="77">
        <f>'Task3 - Value Funcs and Weights'!$F$90 / O$6 * 100</f>
        <v>13.513513513513514</v>
      </c>
    </row>
    <row r="12" spans="1:15" x14ac:dyDescent="0.35">
      <c r="B12" s="163" t="s">
        <v>144</v>
      </c>
      <c r="C12" s="172" t="s">
        <v>148</v>
      </c>
      <c r="D12" s="172"/>
      <c r="E12" s="85">
        <f>'Task3 - Value Funcs and Weights'!$F$91 - 'Task3 - Value Funcs and Weights'!$F$88 + E$5</f>
        <v>290</v>
      </c>
      <c r="F12" s="73">
        <f>'Task3 - Value Funcs and Weights'!$F$91 - 'Task3 - Value Funcs and Weights'!$F$88 + F$5</f>
        <v>300</v>
      </c>
      <c r="G12" s="82">
        <f>'Task3 - Value Funcs and Weights'!$F$91 - 'Task3 - Value Funcs and Weights'!$F$88 + G$5</f>
        <v>310</v>
      </c>
      <c r="H12" s="73">
        <f>'Task3 - Value Funcs and Weights'!$F$91 - 'Task3 - Value Funcs and Weights'!$F$88 + H$5</f>
        <v>320</v>
      </c>
      <c r="I12" s="82">
        <f>'Task3 - Value Funcs and Weights'!$F$91 - 'Task3 - Value Funcs and Weights'!$F$88 + I$5</f>
        <v>330</v>
      </c>
      <c r="J12" s="73">
        <f>'Task3 - Value Funcs and Weights'!$F$91 - 'Task3 - Value Funcs and Weights'!$F$88 + J$5</f>
        <v>340</v>
      </c>
      <c r="K12" s="82">
        <f>'Task3 - Value Funcs and Weights'!$F$91 - 'Task3 - Value Funcs and Weights'!$F$88 + K$5</f>
        <v>350</v>
      </c>
      <c r="L12" s="73">
        <f>'Task3 - Value Funcs and Weights'!$F$91 - 'Task3 - Value Funcs and Weights'!$F$88 + L$5</f>
        <v>360</v>
      </c>
      <c r="M12" s="82">
        <f>'Task3 - Value Funcs and Weights'!$F$91 - 'Task3 - Value Funcs and Weights'!$F$88 + M$5</f>
        <v>370</v>
      </c>
      <c r="N12" s="73">
        <f>'Task3 - Value Funcs and Weights'!$F$91 - 'Task3 - Value Funcs and Weights'!$F$88 + N$5</f>
        <v>380</v>
      </c>
      <c r="O12" s="78">
        <f>'Task3 - Value Funcs and Weights'!$F$91 - 'Task3 - Value Funcs and Weights'!$F$88 + O$5</f>
        <v>390</v>
      </c>
    </row>
    <row r="13" spans="1:15" x14ac:dyDescent="0.35">
      <c r="B13" s="164"/>
      <c r="C13" s="169" t="s">
        <v>146</v>
      </c>
      <c r="D13" t="s">
        <v>138</v>
      </c>
      <c r="E13" s="83">
        <f>'Task3 - Value Funcs and Weights'!$F$86 / E$12 * 100</f>
        <v>34.482758620689658</v>
      </c>
      <c r="F13" s="14">
        <f>'Task3 - Value Funcs and Weights'!$F$86 / F$12 * 100</f>
        <v>33.333333333333329</v>
      </c>
      <c r="G13" s="80">
        <f>'Task3 - Value Funcs and Weights'!$F$86 / G$12 * 100</f>
        <v>32.258064516129032</v>
      </c>
      <c r="H13" s="14">
        <f>'Task3 - Value Funcs and Weights'!$F$86 / H$12 * 100</f>
        <v>31.25</v>
      </c>
      <c r="I13" s="80">
        <f>'Task3 - Value Funcs and Weights'!$F$86 / I$12 * 100</f>
        <v>30.303030303030305</v>
      </c>
      <c r="J13" s="14">
        <f>'Task3 - Value Funcs and Weights'!$F$86 / J$12 * 100</f>
        <v>29.411764705882355</v>
      </c>
      <c r="K13" s="80">
        <f>'Task3 - Value Funcs and Weights'!$F$86 / K$12 * 100</f>
        <v>28.571428571428569</v>
      </c>
      <c r="L13" s="14">
        <f>'Task3 - Value Funcs and Weights'!$F$86 / L$12 * 100</f>
        <v>27.777777777777779</v>
      </c>
      <c r="M13" s="80">
        <f>'Task3 - Value Funcs and Weights'!$F$86 / M$12 * 100</f>
        <v>27.027027027027028</v>
      </c>
      <c r="N13" s="14">
        <f>'Task3 - Value Funcs and Weights'!$F$86 / N$12 * 100</f>
        <v>26.315789473684209</v>
      </c>
      <c r="O13" s="76">
        <f>'Task3 - Value Funcs and Weights'!$F$86 / O$12 * 100</f>
        <v>25.641025641025639</v>
      </c>
    </row>
    <row r="14" spans="1:15" x14ac:dyDescent="0.35">
      <c r="B14" s="164"/>
      <c r="C14" s="170"/>
      <c r="D14" t="s">
        <v>139</v>
      </c>
      <c r="E14" s="83">
        <f>'Task3 - Value Funcs and Weights'!$F$87 / E$12 * 100</f>
        <v>27.586206896551722</v>
      </c>
      <c r="F14" s="14">
        <f>'Task3 - Value Funcs and Weights'!$F$87 / F$12 * 100</f>
        <v>26.666666666666668</v>
      </c>
      <c r="G14" s="80">
        <f>'Task3 - Value Funcs and Weights'!$F$87 / G$12 * 100</f>
        <v>25.806451612903224</v>
      </c>
      <c r="H14" s="14">
        <f>'Task3 - Value Funcs and Weights'!$F$87 / H$12 * 100</f>
        <v>25</v>
      </c>
      <c r="I14" s="80">
        <f>'Task3 - Value Funcs and Weights'!$F$87 / I$12 * 100</f>
        <v>24.242424242424242</v>
      </c>
      <c r="J14" s="14">
        <f>'Task3 - Value Funcs and Weights'!$F$87 / J$12 * 100</f>
        <v>23.52941176470588</v>
      </c>
      <c r="K14" s="80">
        <f>'Task3 - Value Funcs and Weights'!$F$87 / K$12 * 100</f>
        <v>22.857142857142858</v>
      </c>
      <c r="L14" s="14">
        <f>'Task3 - Value Funcs and Weights'!$F$87 / L$12 * 100</f>
        <v>22.222222222222221</v>
      </c>
      <c r="M14" s="80">
        <f>'Task3 - Value Funcs and Weights'!$F$87 / M$12 * 100</f>
        <v>21.621621621621621</v>
      </c>
      <c r="N14" s="14">
        <f>'Task3 - Value Funcs and Weights'!$F$87 / N$12 * 100</f>
        <v>21.052631578947366</v>
      </c>
      <c r="O14" s="76">
        <f>'Task3 - Value Funcs and Weights'!$F$87 / O$12 * 100</f>
        <v>20.512820512820511</v>
      </c>
    </row>
    <row r="15" spans="1:15" x14ac:dyDescent="0.35">
      <c r="B15" s="164"/>
      <c r="C15" s="170"/>
      <c r="D15" t="s">
        <v>140</v>
      </c>
      <c r="E15" s="83">
        <f>E5/E12*100</f>
        <v>0</v>
      </c>
      <c r="F15" s="14">
        <f t="shared" ref="F15:O15" si="2">F5/F12*100</f>
        <v>3.3333333333333335</v>
      </c>
      <c r="G15" s="80">
        <f t="shared" si="2"/>
        <v>6.4516129032258061</v>
      </c>
      <c r="H15" s="14">
        <f t="shared" si="2"/>
        <v>9.375</v>
      </c>
      <c r="I15" s="80">
        <f t="shared" si="2"/>
        <v>12.121212121212121</v>
      </c>
      <c r="J15" s="14">
        <f t="shared" si="2"/>
        <v>14.705882352941178</v>
      </c>
      <c r="K15" s="80">
        <f t="shared" si="2"/>
        <v>17.142857142857142</v>
      </c>
      <c r="L15" s="14">
        <f t="shared" si="2"/>
        <v>19.444444444444446</v>
      </c>
      <c r="M15" s="80">
        <f t="shared" si="2"/>
        <v>21.621621621621621</v>
      </c>
      <c r="N15" s="14">
        <f t="shared" si="2"/>
        <v>23.684210526315788</v>
      </c>
      <c r="O15" s="76">
        <f t="shared" si="2"/>
        <v>25.641025641025639</v>
      </c>
    </row>
    <row r="16" spans="1:15" x14ac:dyDescent="0.35">
      <c r="B16" s="164"/>
      <c r="C16" s="170"/>
      <c r="D16" t="s">
        <v>141</v>
      </c>
      <c r="E16" s="83">
        <f>'Task3 - Value Funcs and Weights'!$F$89 / E$12 * 100</f>
        <v>20.689655172413794</v>
      </c>
      <c r="F16" s="14">
        <f>'Task3 - Value Funcs and Weights'!$F$89 / F$12 * 100</f>
        <v>20</v>
      </c>
      <c r="G16" s="80">
        <f>'Task3 - Value Funcs and Weights'!$F$89 / G$12 * 100</f>
        <v>19.35483870967742</v>
      </c>
      <c r="H16" s="14">
        <f>'Task3 - Value Funcs and Weights'!$F$89 / H$12 * 100</f>
        <v>18.75</v>
      </c>
      <c r="I16" s="80">
        <f>'Task3 - Value Funcs and Weights'!$F$89 / I$12 * 100</f>
        <v>18.181818181818183</v>
      </c>
      <c r="J16" s="14">
        <f>'Task3 - Value Funcs and Weights'!$F$89 / J$12 * 100</f>
        <v>17.647058823529413</v>
      </c>
      <c r="K16" s="80">
        <f>'Task3 - Value Funcs and Weights'!$F$89 / K$12 * 100</f>
        <v>17.142857142857142</v>
      </c>
      <c r="L16" s="14">
        <f>'Task3 - Value Funcs and Weights'!$F$89 / L$12 * 100</f>
        <v>16.666666666666664</v>
      </c>
      <c r="M16" s="80">
        <f>'Task3 - Value Funcs and Weights'!$F$89 / M$12 * 100</f>
        <v>16.216216216216218</v>
      </c>
      <c r="N16" s="14">
        <f>'Task3 - Value Funcs and Weights'!$F$89 / N$12 * 100</f>
        <v>15.789473684210526</v>
      </c>
      <c r="O16" s="76">
        <f>'Task3 - Value Funcs and Weights'!$F$89 / O$12 * 100</f>
        <v>15.384615384615385</v>
      </c>
    </row>
    <row r="17" spans="1:15" ht="16" thickBot="1" x14ac:dyDescent="0.4">
      <c r="B17" s="165"/>
      <c r="C17" s="171"/>
      <c r="D17" s="48" t="s">
        <v>142</v>
      </c>
      <c r="E17" s="84">
        <f>'Task3 - Value Funcs and Weights'!$F$90 / E$12 * 100</f>
        <v>17.241379310344829</v>
      </c>
      <c r="F17" s="72">
        <f>'Task3 - Value Funcs and Weights'!$F$90 / F$12 * 100</f>
        <v>16.666666666666664</v>
      </c>
      <c r="G17" s="81">
        <f>'Task3 - Value Funcs and Weights'!$F$90 / G$12 * 100</f>
        <v>16.129032258064516</v>
      </c>
      <c r="H17" s="72">
        <f>'Task3 - Value Funcs and Weights'!$F$90 / H$12 * 100</f>
        <v>15.625</v>
      </c>
      <c r="I17" s="81">
        <f>'Task3 - Value Funcs and Weights'!$F$90 / I$12 * 100</f>
        <v>15.151515151515152</v>
      </c>
      <c r="J17" s="72">
        <f>'Task3 - Value Funcs and Weights'!$F$90 / J$12 * 100</f>
        <v>14.705882352941178</v>
      </c>
      <c r="K17" s="81">
        <f>'Task3 - Value Funcs and Weights'!$F$90 / K$12 * 100</f>
        <v>14.285714285714285</v>
      </c>
      <c r="L17" s="72">
        <f>'Task3 - Value Funcs and Weights'!$F$90 / L$12 * 100</f>
        <v>13.888888888888889</v>
      </c>
      <c r="M17" s="81">
        <f>'Task3 - Value Funcs and Weights'!$F$90 / M$12 * 100</f>
        <v>13.513513513513514</v>
      </c>
      <c r="N17" s="72">
        <f>'Task3 - Value Funcs and Weights'!$F$90 / N$12 * 100</f>
        <v>13.157894736842104</v>
      </c>
      <c r="O17" s="77">
        <f>'Task3 - Value Funcs and Weights'!$F$90 / O$12 * 100</f>
        <v>12.820512820512819</v>
      </c>
    </row>
    <row r="18" spans="1:15" x14ac:dyDescent="0.35">
      <c r="B18" s="163" t="s">
        <v>145</v>
      </c>
      <c r="C18" s="172" t="s">
        <v>148</v>
      </c>
      <c r="D18" s="172"/>
      <c r="E18" s="85">
        <f>'Task3 - Value Funcs and Weights'!$F$91 - 'Task3 - Value Funcs and Weights'!$F$90 + E$5</f>
        <v>320</v>
      </c>
      <c r="F18" s="73">
        <f>'Task3 - Value Funcs and Weights'!$F$91 - 'Task3 - Value Funcs and Weights'!$F$90 + F$5</f>
        <v>330</v>
      </c>
      <c r="G18" s="82">
        <f>'Task3 - Value Funcs and Weights'!$F$91 - 'Task3 - Value Funcs and Weights'!$F$90 + G$5</f>
        <v>340</v>
      </c>
      <c r="H18" s="73">
        <f>'Task3 - Value Funcs and Weights'!$F$91 - 'Task3 - Value Funcs and Weights'!$F$90 + H$5</f>
        <v>350</v>
      </c>
      <c r="I18" s="82">
        <f>'Task3 - Value Funcs and Weights'!$F$91 - 'Task3 - Value Funcs and Weights'!$F$90 + I$5</f>
        <v>360</v>
      </c>
      <c r="J18" s="73">
        <f>'Task3 - Value Funcs and Weights'!$F$91 - 'Task3 - Value Funcs and Weights'!$F$90 + J$5</f>
        <v>370</v>
      </c>
      <c r="K18" s="82">
        <f>'Task3 - Value Funcs and Weights'!$F$91 - 'Task3 - Value Funcs and Weights'!$F$90 + K$5</f>
        <v>380</v>
      </c>
      <c r="L18" s="73">
        <f>'Task3 - Value Funcs and Weights'!$F$91 - 'Task3 - Value Funcs and Weights'!$F$90 + L$5</f>
        <v>390</v>
      </c>
      <c r="M18" s="82">
        <f>'Task3 - Value Funcs and Weights'!$F$91 - 'Task3 - Value Funcs and Weights'!$F$90 + M$5</f>
        <v>400</v>
      </c>
      <c r="N18" s="73">
        <f>'Task3 - Value Funcs and Weights'!$F$91 - 'Task3 - Value Funcs and Weights'!$F$90 + N$5</f>
        <v>410</v>
      </c>
      <c r="O18" s="78">
        <f>'Task3 - Value Funcs and Weights'!$F$91 - 'Task3 - Value Funcs and Weights'!$F$90 + O$5</f>
        <v>420</v>
      </c>
    </row>
    <row r="19" spans="1:15" x14ac:dyDescent="0.35">
      <c r="B19" s="164"/>
      <c r="C19" s="169" t="s">
        <v>146</v>
      </c>
      <c r="D19" t="s">
        <v>138</v>
      </c>
      <c r="E19" s="83">
        <f>'Task3 - Value Funcs and Weights'!$F$86 / E$18 * 100</f>
        <v>31.25</v>
      </c>
      <c r="F19" s="14">
        <f>'Task3 - Value Funcs and Weights'!$F$86 / F$18 * 100</f>
        <v>30.303030303030305</v>
      </c>
      <c r="G19" s="80">
        <f>'Task3 - Value Funcs and Weights'!$F$86 / G$18 * 100</f>
        <v>29.411764705882355</v>
      </c>
      <c r="H19" s="14">
        <f>'Task3 - Value Funcs and Weights'!$F$86 / H$18 * 100</f>
        <v>28.571428571428569</v>
      </c>
      <c r="I19" s="80">
        <f>'Task3 - Value Funcs and Weights'!$F$86 / I$18 * 100</f>
        <v>27.777777777777779</v>
      </c>
      <c r="J19" s="14">
        <f>'Task3 - Value Funcs and Weights'!$F$86 / J$18 * 100</f>
        <v>27.027027027027028</v>
      </c>
      <c r="K19" s="80">
        <f>'Task3 - Value Funcs and Weights'!$F$86 / K$18 * 100</f>
        <v>26.315789473684209</v>
      </c>
      <c r="L19" s="14">
        <f>'Task3 - Value Funcs and Weights'!$F$86 / L$18 * 100</f>
        <v>25.641025641025639</v>
      </c>
      <c r="M19" s="80">
        <f>'Task3 - Value Funcs and Weights'!$F$86 / M$18 * 100</f>
        <v>25</v>
      </c>
      <c r="N19" s="14">
        <f>'Task3 - Value Funcs and Weights'!$F$86 / N$18 * 100</f>
        <v>24.390243902439025</v>
      </c>
      <c r="O19" s="76">
        <f>'Task3 - Value Funcs and Weights'!$F$86 / O$18 * 100</f>
        <v>23.809523809523807</v>
      </c>
    </row>
    <row r="20" spans="1:15" x14ac:dyDescent="0.35">
      <c r="B20" s="164"/>
      <c r="C20" s="170"/>
      <c r="D20" t="s">
        <v>139</v>
      </c>
      <c r="E20" s="83">
        <f>'Task3 - Value Funcs and Weights'!$F$87 / E$18 * 100</f>
        <v>25</v>
      </c>
      <c r="F20" s="14">
        <f>'Task3 - Value Funcs and Weights'!$F$87 / F$18 * 100</f>
        <v>24.242424242424242</v>
      </c>
      <c r="G20" s="80">
        <f>'Task3 - Value Funcs and Weights'!$F$87 / G$18 * 100</f>
        <v>23.52941176470588</v>
      </c>
      <c r="H20" s="14">
        <f>'Task3 - Value Funcs and Weights'!$F$87 / H$18 * 100</f>
        <v>22.857142857142858</v>
      </c>
      <c r="I20" s="80">
        <f>'Task3 - Value Funcs and Weights'!$F$87 / I$18 * 100</f>
        <v>22.222222222222221</v>
      </c>
      <c r="J20" s="14">
        <f>'Task3 - Value Funcs and Weights'!$F$87 / J$18 * 100</f>
        <v>21.621621621621621</v>
      </c>
      <c r="K20" s="80">
        <f>'Task3 - Value Funcs and Weights'!$F$87 / K$18 * 100</f>
        <v>21.052631578947366</v>
      </c>
      <c r="L20" s="14">
        <f>'Task3 - Value Funcs and Weights'!$F$87 / L$18 * 100</f>
        <v>20.512820512820511</v>
      </c>
      <c r="M20" s="80">
        <f>'Task3 - Value Funcs and Weights'!$F$87 / M$18 * 100</f>
        <v>20</v>
      </c>
      <c r="N20" s="14">
        <f>'Task3 - Value Funcs and Weights'!$F$87 / N$18 * 100</f>
        <v>19.512195121951219</v>
      </c>
      <c r="O20" s="76">
        <f>'Task3 - Value Funcs and Weights'!$F$87 / O$18 * 100</f>
        <v>19.047619047619047</v>
      </c>
    </row>
    <row r="21" spans="1:15" x14ac:dyDescent="0.35">
      <c r="B21" s="164"/>
      <c r="C21" s="170"/>
      <c r="D21" t="s">
        <v>140</v>
      </c>
      <c r="E21" s="83">
        <f>'Task3 - Value Funcs and Weights'!$F$88 / E$18 * 100</f>
        <v>25</v>
      </c>
      <c r="F21" s="14">
        <f>'Task3 - Value Funcs and Weights'!$F$88 / F$18 * 100</f>
        <v>24.242424242424242</v>
      </c>
      <c r="G21" s="80">
        <f>'Task3 - Value Funcs and Weights'!$F$88 / G$18 * 100</f>
        <v>23.52941176470588</v>
      </c>
      <c r="H21" s="14">
        <f>'Task3 - Value Funcs and Weights'!$F$88 / H$18 * 100</f>
        <v>22.857142857142858</v>
      </c>
      <c r="I21" s="80">
        <f>'Task3 - Value Funcs and Weights'!$F$88 / I$18 * 100</f>
        <v>22.222222222222221</v>
      </c>
      <c r="J21" s="14">
        <f>'Task3 - Value Funcs and Weights'!$F$88 / J$18 * 100</f>
        <v>21.621621621621621</v>
      </c>
      <c r="K21" s="80">
        <f>'Task3 - Value Funcs and Weights'!$F$88 / K$18 * 100</f>
        <v>21.052631578947366</v>
      </c>
      <c r="L21" s="14">
        <f>'Task3 - Value Funcs and Weights'!$F$88 / L$18 * 100</f>
        <v>20.512820512820511</v>
      </c>
      <c r="M21" s="80">
        <f>'Task3 - Value Funcs and Weights'!$F$88 / M$18 * 100</f>
        <v>20</v>
      </c>
      <c r="N21" s="14">
        <f>'Task3 - Value Funcs and Weights'!$F$88 / N$18 * 100</f>
        <v>19.512195121951219</v>
      </c>
      <c r="O21" s="76">
        <f>'Task3 - Value Funcs and Weights'!$F$88 / O$18 * 100</f>
        <v>19.047619047619047</v>
      </c>
    </row>
    <row r="22" spans="1:15" x14ac:dyDescent="0.35">
      <c r="B22" s="164"/>
      <c r="C22" s="170"/>
      <c r="D22" t="s">
        <v>141</v>
      </c>
      <c r="E22" s="83">
        <f>'Task3 - Value Funcs and Weights'!$F$89 / E$18 * 100</f>
        <v>18.75</v>
      </c>
      <c r="F22" s="14">
        <f>'Task3 - Value Funcs and Weights'!$F$89 / F$18 * 100</f>
        <v>18.181818181818183</v>
      </c>
      <c r="G22" s="80">
        <f>'Task3 - Value Funcs and Weights'!$F$89 / G$18 * 100</f>
        <v>17.647058823529413</v>
      </c>
      <c r="H22" s="14">
        <f>'Task3 - Value Funcs and Weights'!$F$89 / H$18 * 100</f>
        <v>17.142857142857142</v>
      </c>
      <c r="I22" s="80">
        <f>'Task3 - Value Funcs and Weights'!$F$89 / I$18 * 100</f>
        <v>16.666666666666664</v>
      </c>
      <c r="J22" s="14">
        <f>'Task3 - Value Funcs and Weights'!$F$89 / J$18 * 100</f>
        <v>16.216216216216218</v>
      </c>
      <c r="K22" s="80">
        <f>'Task3 - Value Funcs and Weights'!$F$89 / K$18 * 100</f>
        <v>15.789473684210526</v>
      </c>
      <c r="L22" s="14">
        <f>'Task3 - Value Funcs and Weights'!$F$89 / L$18 * 100</f>
        <v>15.384615384615385</v>
      </c>
      <c r="M22" s="80">
        <f>'Task3 - Value Funcs and Weights'!$F$89 / M$18 * 100</f>
        <v>15</v>
      </c>
      <c r="N22" s="14">
        <f>'Task3 - Value Funcs and Weights'!$F$89 / N$18 * 100</f>
        <v>14.634146341463413</v>
      </c>
      <c r="O22" s="76">
        <f>'Task3 - Value Funcs and Weights'!$F$89 / O$18 * 100</f>
        <v>14.285714285714285</v>
      </c>
    </row>
    <row r="23" spans="1:15" ht="16" thickBot="1" x14ac:dyDescent="0.4">
      <c r="B23" s="165"/>
      <c r="C23" s="171"/>
      <c r="D23" s="48" t="s">
        <v>142</v>
      </c>
      <c r="E23" s="84">
        <f>E5/E18*100</f>
        <v>0</v>
      </c>
      <c r="F23" s="72">
        <f t="shared" ref="F23:O23" si="3">F5/F18*100</f>
        <v>3.0303030303030303</v>
      </c>
      <c r="G23" s="81">
        <f t="shared" si="3"/>
        <v>5.8823529411764701</v>
      </c>
      <c r="H23" s="72">
        <f t="shared" si="3"/>
        <v>8.5714285714285712</v>
      </c>
      <c r="I23" s="81">
        <f t="shared" si="3"/>
        <v>11.111111111111111</v>
      </c>
      <c r="J23" s="72">
        <f t="shared" si="3"/>
        <v>13.513513513513514</v>
      </c>
      <c r="K23" s="81">
        <f t="shared" si="3"/>
        <v>15.789473684210526</v>
      </c>
      <c r="L23" s="72">
        <f t="shared" si="3"/>
        <v>17.948717948717949</v>
      </c>
      <c r="M23" s="81">
        <f t="shared" si="3"/>
        <v>20</v>
      </c>
      <c r="N23" s="72">
        <f t="shared" si="3"/>
        <v>21.951219512195124</v>
      </c>
      <c r="O23" s="77">
        <f t="shared" si="3"/>
        <v>23.809523809523807</v>
      </c>
    </row>
    <row r="25" spans="1:15" ht="16" thickBot="1" x14ac:dyDescent="0.4">
      <c r="A25" s="11" t="s">
        <v>150</v>
      </c>
    </row>
    <row r="26" spans="1:15" x14ac:dyDescent="0.35">
      <c r="E26" s="136" t="s">
        <v>147</v>
      </c>
      <c r="F26" s="137"/>
      <c r="G26" s="137"/>
      <c r="H26" s="137"/>
      <c r="I26" s="137"/>
      <c r="J26" s="137"/>
      <c r="K26" s="137"/>
      <c r="L26" s="137"/>
      <c r="M26" s="137"/>
      <c r="N26" s="137"/>
      <c r="O26" s="138"/>
    </row>
    <row r="27" spans="1:15" ht="16" thickBot="1" x14ac:dyDescent="0.4">
      <c r="E27" s="50">
        <v>0</v>
      </c>
      <c r="F27" s="95">
        <f>E27+10</f>
        <v>10</v>
      </c>
      <c r="G27" s="95">
        <f t="shared" ref="G27:O27" si="4">F27+10</f>
        <v>20</v>
      </c>
      <c r="H27" s="95">
        <f t="shared" si="4"/>
        <v>30</v>
      </c>
      <c r="I27" s="95">
        <f t="shared" si="4"/>
        <v>40</v>
      </c>
      <c r="J27" s="95">
        <f t="shared" si="4"/>
        <v>50</v>
      </c>
      <c r="K27" s="95">
        <f t="shared" si="4"/>
        <v>60</v>
      </c>
      <c r="L27" s="95">
        <f t="shared" si="4"/>
        <v>70</v>
      </c>
      <c r="M27" s="95">
        <f t="shared" si="4"/>
        <v>80</v>
      </c>
      <c r="N27" s="95">
        <f t="shared" si="4"/>
        <v>90</v>
      </c>
      <c r="O27" s="44">
        <f t="shared" si="4"/>
        <v>100</v>
      </c>
    </row>
    <row r="28" spans="1:15" x14ac:dyDescent="0.35">
      <c r="B28" s="163" t="s">
        <v>143</v>
      </c>
      <c r="C28" s="166" t="s">
        <v>152</v>
      </c>
      <c r="D28" s="29" t="s">
        <v>75</v>
      </c>
      <c r="E28" s="92" cm="1">
        <f t="array" ref="E28">SUMPRODUCT(E$7:E$11,TRANSPOSE('Task3 - Analysis'!$C6:$G6))/100</f>
        <v>94.814814814814824</v>
      </c>
      <c r="F28" s="92" cm="1">
        <f t="array" ref="F28">SUMPRODUCT(F$7:F$11,TRANSPOSE('Task3 - Analysis'!$C6:$G6))/100</f>
        <v>93.214285714285708</v>
      </c>
      <c r="G28" s="92" cm="1">
        <f t="array" ref="G28">SUMPRODUCT(G$7:G$11,TRANSPOSE('Task3 - Analysis'!$C6:$G6))/100</f>
        <v>91.724137931034477</v>
      </c>
      <c r="H28" s="92" cm="1">
        <f t="array" ref="H28">SUMPRODUCT(H$7:H$11,TRANSPOSE('Task3 - Analysis'!$C6:$G6))/100</f>
        <v>90.333333333333343</v>
      </c>
      <c r="I28" s="92" cm="1">
        <f t="array" ref="I28">SUMPRODUCT(I$7:I$11,TRANSPOSE('Task3 - Analysis'!$C6:$G6))/100</f>
        <v>89.032258064516142</v>
      </c>
      <c r="J28" s="92" cm="1">
        <f t="array" ref="J28">SUMPRODUCT(J$7:J$11,TRANSPOSE('Task3 - Analysis'!$C6:$G6))/100</f>
        <v>87.8125</v>
      </c>
      <c r="K28" s="92" cm="1">
        <f t="array" ref="K28">SUMPRODUCT(K$7:K$11,TRANSPOSE('Task3 - Analysis'!$C6:$G6))/100</f>
        <v>86.666666666666657</v>
      </c>
      <c r="L28" s="92" cm="1">
        <f t="array" ref="L28">SUMPRODUCT(L$7:L$11,TRANSPOSE('Task3 - Analysis'!$C6:$G6))/100</f>
        <v>85.588235294117638</v>
      </c>
      <c r="M28" s="92" cm="1">
        <f t="array" ref="M28">SUMPRODUCT(M$7:M$11,TRANSPOSE('Task3 - Analysis'!$C6:$G6))/100</f>
        <v>84.571428571428555</v>
      </c>
      <c r="N28" s="92" cm="1">
        <f t="array" ref="N28">SUMPRODUCT(N$7:N$11,TRANSPOSE('Task3 - Analysis'!$C6:$G6))/100</f>
        <v>83.611111111111114</v>
      </c>
      <c r="O28" s="91" cm="1">
        <f t="array" ref="O28">SUMPRODUCT(O$7:O$11,TRANSPOSE('Task3 - Analysis'!$C6:$G6))/100</f>
        <v>82.702702702702695</v>
      </c>
    </row>
    <row r="29" spans="1:15" x14ac:dyDescent="0.35">
      <c r="B29" s="164"/>
      <c r="C29" s="167"/>
      <c r="D29" s="36" t="s">
        <v>78</v>
      </c>
      <c r="E29" s="93" cm="1">
        <f t="array" ref="E29">SUMPRODUCT(E$7:E$11,TRANSPOSE('Task3 - Analysis'!$C7:$G7))/100</f>
        <v>44.629629629629626</v>
      </c>
      <c r="F29" s="93" cm="1">
        <f t="array" ref="F29">SUMPRODUCT(F$7:F$11,TRANSPOSE('Task3 - Analysis'!$C7:$G7))/100</f>
        <v>46.607142857142854</v>
      </c>
      <c r="G29" s="93" cm="1">
        <f t="array" ref="G29">SUMPRODUCT(G$7:G$11,TRANSPOSE('Task3 - Analysis'!$C7:$G7))/100</f>
        <v>48.448275862068968</v>
      </c>
      <c r="H29" s="93" cm="1">
        <f t="array" ref="H29">SUMPRODUCT(H$7:H$11,TRANSPOSE('Task3 - Analysis'!$C7:$G7))/100</f>
        <v>50.166666666666671</v>
      </c>
      <c r="I29" s="93" cm="1">
        <f t="array" ref="I29">SUMPRODUCT(I$7:I$11,TRANSPOSE('Task3 - Analysis'!$C7:$G7))/100</f>
        <v>51.774193548387096</v>
      </c>
      <c r="J29" s="93" cm="1">
        <f t="array" ref="J29">SUMPRODUCT(J$7:J$11,TRANSPOSE('Task3 - Analysis'!$C7:$G7))/100</f>
        <v>53.28125</v>
      </c>
      <c r="K29" s="93" cm="1">
        <f t="array" ref="K29">SUMPRODUCT(K$7:K$11,TRANSPOSE('Task3 - Analysis'!$C7:$G7))/100</f>
        <v>54.696969696969703</v>
      </c>
      <c r="L29" s="93" cm="1">
        <f t="array" ref="L29">SUMPRODUCT(L$7:L$11,TRANSPOSE('Task3 - Analysis'!$C7:$G7))/100</f>
        <v>56.029411764705877</v>
      </c>
      <c r="M29" s="93" cm="1">
        <f t="array" ref="M29">SUMPRODUCT(M$7:M$11,TRANSPOSE('Task3 - Analysis'!$C7:$G7))/100</f>
        <v>57.285714285714292</v>
      </c>
      <c r="N29" s="93" cm="1">
        <f t="array" ref="N29">SUMPRODUCT(N$7:N$11,TRANSPOSE('Task3 - Analysis'!$C7:$G7))/100</f>
        <v>58.472222222222214</v>
      </c>
      <c r="O29" s="51" cm="1">
        <f t="array" ref="O29">SUMPRODUCT(O$7:O$11,TRANSPOSE('Task3 - Analysis'!$C7:$G7))/100</f>
        <v>59.594594594594604</v>
      </c>
    </row>
    <row r="30" spans="1:15" x14ac:dyDescent="0.35">
      <c r="B30" s="164"/>
      <c r="C30" s="167"/>
      <c r="D30" s="36" t="s">
        <v>81</v>
      </c>
      <c r="E30" s="93" cm="1">
        <f t="array" ref="E30">SUMPRODUCT(E$7:E$11,TRANSPOSE('Task3 - Analysis'!$C8:$G8))/100</f>
        <v>25.222222222222221</v>
      </c>
      <c r="F30" s="93" cm="1">
        <f t="array" ref="F30">SUMPRODUCT(F$7:F$11,TRANSPOSE('Task3 - Analysis'!$C8:$G8))/100</f>
        <v>25.5</v>
      </c>
      <c r="G30" s="93" cm="1">
        <f t="array" ref="G30">SUMPRODUCT(G$7:G$11,TRANSPOSE('Task3 - Analysis'!$C8:$G8))/100</f>
        <v>25.758620689655171</v>
      </c>
      <c r="H30" s="93" cm="1">
        <f t="array" ref="H30">SUMPRODUCT(H$7:H$11,TRANSPOSE('Task3 - Analysis'!$C8:$G8))/100</f>
        <v>26</v>
      </c>
      <c r="I30" s="93" cm="1">
        <f t="array" ref="I30">SUMPRODUCT(I$7:I$11,TRANSPOSE('Task3 - Analysis'!$C8:$G8))/100</f>
        <v>26.225806451612907</v>
      </c>
      <c r="J30" s="93" cm="1">
        <f t="array" ref="J30">SUMPRODUCT(J$7:J$11,TRANSPOSE('Task3 - Analysis'!$C8:$G8))/100</f>
        <v>26.4375</v>
      </c>
      <c r="K30" s="93" cm="1">
        <f t="array" ref="K30">SUMPRODUCT(K$7:K$11,TRANSPOSE('Task3 - Analysis'!$C8:$G8))/100</f>
        <v>26.636363636363637</v>
      </c>
      <c r="L30" s="93" cm="1">
        <f t="array" ref="L30">SUMPRODUCT(L$7:L$11,TRANSPOSE('Task3 - Analysis'!$C8:$G8))/100</f>
        <v>26.823529411764703</v>
      </c>
      <c r="M30" s="93" cm="1">
        <f t="array" ref="M30">SUMPRODUCT(M$7:M$11,TRANSPOSE('Task3 - Analysis'!$C8:$G8))/100</f>
        <v>27</v>
      </c>
      <c r="N30" s="93" cm="1">
        <f t="array" ref="N30">SUMPRODUCT(N$7:N$11,TRANSPOSE('Task3 - Analysis'!$C8:$G8))/100</f>
        <v>27.166666666666664</v>
      </c>
      <c r="O30" s="51" cm="1">
        <f t="array" ref="O30">SUMPRODUCT(O$7:O$11,TRANSPOSE('Task3 - Analysis'!$C8:$G8))/100</f>
        <v>27.324324324324326</v>
      </c>
    </row>
    <row r="31" spans="1:15" x14ac:dyDescent="0.35">
      <c r="B31" s="164"/>
      <c r="C31" s="167"/>
      <c r="D31" s="36" t="s">
        <v>9</v>
      </c>
      <c r="E31" s="93" cm="1">
        <f t="array" ref="E31">SUMPRODUCT(E$7:E$11,TRANSPOSE('Task3 - Analysis'!$C9:$G9))/100</f>
        <v>58.296296296296298</v>
      </c>
      <c r="F31" s="93" cm="1">
        <f t="array" ref="F31">SUMPRODUCT(F$7:F$11,TRANSPOSE('Task3 - Analysis'!$C9:$G9))/100</f>
        <v>56.821428571428569</v>
      </c>
      <c r="G31" s="93" cm="1">
        <f t="array" ref="G31">SUMPRODUCT(G$7:G$11,TRANSPOSE('Task3 - Analysis'!$C9:$G9))/100</f>
        <v>55.448275862068968</v>
      </c>
      <c r="H31" s="93" cm="1">
        <f t="array" ref="H31">SUMPRODUCT(H$7:H$11,TRANSPOSE('Task3 - Analysis'!$C9:$G9))/100</f>
        <v>54.166666666666657</v>
      </c>
      <c r="I31" s="93" cm="1">
        <f t="array" ref="I31">SUMPRODUCT(I$7:I$11,TRANSPOSE('Task3 - Analysis'!$C9:$G9))/100</f>
        <v>52.967741935483872</v>
      </c>
      <c r="J31" s="93" cm="1">
        <f t="array" ref="J31">SUMPRODUCT(J$7:J$11,TRANSPOSE('Task3 - Analysis'!$C9:$G9))/100</f>
        <v>51.84375</v>
      </c>
      <c r="K31" s="93" cm="1">
        <f t="array" ref="K31">SUMPRODUCT(K$7:K$11,TRANSPOSE('Task3 - Analysis'!$C9:$G9))/100</f>
        <v>50.787878787878789</v>
      </c>
      <c r="L31" s="93" cm="1">
        <f t="array" ref="L31">SUMPRODUCT(L$7:L$11,TRANSPOSE('Task3 - Analysis'!$C9:$G9))/100</f>
        <v>49.794117647058819</v>
      </c>
      <c r="M31" s="93" cm="1">
        <f t="array" ref="M31">SUMPRODUCT(M$7:M$11,TRANSPOSE('Task3 - Analysis'!$C9:$G9))/100</f>
        <v>48.857142857142861</v>
      </c>
      <c r="N31" s="93" cm="1">
        <f t="array" ref="N31">SUMPRODUCT(N$7:N$11,TRANSPOSE('Task3 - Analysis'!$C9:$G9))/100</f>
        <v>47.972222222222214</v>
      </c>
      <c r="O31" s="51" cm="1">
        <f t="array" ref="O31">SUMPRODUCT(O$7:O$11,TRANSPOSE('Task3 - Analysis'!$C9:$G9))/100</f>
        <v>47.13513513513513</v>
      </c>
    </row>
    <row r="32" spans="1:15" x14ac:dyDescent="0.35">
      <c r="B32" s="164"/>
      <c r="C32" s="167"/>
      <c r="D32" s="36" t="s">
        <v>11</v>
      </c>
      <c r="E32" s="93" cm="1">
        <f t="array" ref="E32">SUMPRODUCT(E$7:E$11,TRANSPOSE('Task3 - Analysis'!$C10:$G10))/100</f>
        <v>52.888888888888886</v>
      </c>
      <c r="F32" s="93" cm="1">
        <f t="array" ref="F32">SUMPRODUCT(F$7:F$11,TRANSPOSE('Task3 - Analysis'!$C10:$G10))/100</f>
        <v>51</v>
      </c>
      <c r="G32" s="93" cm="1">
        <f t="array" ref="G32">SUMPRODUCT(G$7:G$11,TRANSPOSE('Task3 - Analysis'!$C10:$G10))/100</f>
        <v>49.241379310344826</v>
      </c>
      <c r="H32" s="93" cm="1">
        <f t="array" ref="H32">SUMPRODUCT(H$7:H$11,TRANSPOSE('Task3 - Analysis'!$C10:$G10))/100</f>
        <v>47.6</v>
      </c>
      <c r="I32" s="93" cm="1">
        <f t="array" ref="I32">SUMPRODUCT(I$7:I$11,TRANSPOSE('Task3 - Analysis'!$C10:$G10))/100</f>
        <v>46.064516129032263</v>
      </c>
      <c r="J32" s="93" cm="1">
        <f t="array" ref="J32">SUMPRODUCT(J$7:J$11,TRANSPOSE('Task3 - Analysis'!$C10:$G10))/100</f>
        <v>44.625</v>
      </c>
      <c r="K32" s="93" cm="1">
        <f t="array" ref="K32">SUMPRODUCT(K$7:K$11,TRANSPOSE('Task3 - Analysis'!$C10:$G10))/100</f>
        <v>43.27272727272728</v>
      </c>
      <c r="L32" s="93" cm="1">
        <f t="array" ref="L32">SUMPRODUCT(L$7:L$11,TRANSPOSE('Task3 - Analysis'!$C10:$G10))/100</f>
        <v>42</v>
      </c>
      <c r="M32" s="93" cm="1">
        <f t="array" ref="M32">SUMPRODUCT(M$7:M$11,TRANSPOSE('Task3 - Analysis'!$C10:$G10))/100</f>
        <v>40.799999999999997</v>
      </c>
      <c r="N32" s="93" cm="1">
        <f t="array" ref="N32">SUMPRODUCT(N$7:N$11,TRANSPOSE('Task3 - Analysis'!$C10:$G10))/100</f>
        <v>39.666666666666657</v>
      </c>
      <c r="O32" s="51" cm="1">
        <f t="array" ref="O32">SUMPRODUCT(O$7:O$11,TRANSPOSE('Task3 - Analysis'!$C10:$G10))/100</f>
        <v>38.594594594594604</v>
      </c>
    </row>
    <row r="33" spans="2:15" ht="16" thickBot="1" x14ac:dyDescent="0.4">
      <c r="B33" s="165"/>
      <c r="C33" s="168"/>
      <c r="D33" s="44" t="s">
        <v>87</v>
      </c>
      <c r="E33" s="94" cm="1">
        <f t="array" ref="E33">SUMPRODUCT(E$7:E$11,TRANSPOSE('Task3 - Analysis'!$C11:$G11))/100</f>
        <v>50.55555555555555</v>
      </c>
      <c r="F33" s="94" cm="1">
        <f t="array" ref="F33">SUMPRODUCT(F$7:F$11,TRANSPOSE('Task3 - Analysis'!$C11:$G11))/100</f>
        <v>49.928571428571423</v>
      </c>
      <c r="G33" s="94" cm="1">
        <f t="array" ref="G33">SUMPRODUCT(G$7:G$11,TRANSPOSE('Task3 - Analysis'!$C11:$G11))/100</f>
        <v>49.34482758620689</v>
      </c>
      <c r="H33" s="94" cm="1">
        <f t="array" ref="H33">SUMPRODUCT(H$7:H$11,TRANSPOSE('Task3 - Analysis'!$C11:$G11))/100</f>
        <v>48.8</v>
      </c>
      <c r="I33" s="94" cm="1">
        <f t="array" ref="I33">SUMPRODUCT(I$7:I$11,TRANSPOSE('Task3 - Analysis'!$C11:$G11))/100</f>
        <v>48.290322580645153</v>
      </c>
      <c r="J33" s="94" cm="1">
        <f t="array" ref="J33">SUMPRODUCT(J$7:J$11,TRANSPOSE('Task3 - Analysis'!$C11:$G11))/100</f>
        <v>47.8125</v>
      </c>
      <c r="K33" s="94" cm="1">
        <f t="array" ref="K33">SUMPRODUCT(K$7:K$11,TRANSPOSE('Task3 - Analysis'!$C11:$G11))/100</f>
        <v>47.36363636363636</v>
      </c>
      <c r="L33" s="94" cm="1">
        <f t="array" ref="L33">SUMPRODUCT(L$7:L$11,TRANSPOSE('Task3 - Analysis'!$C11:$G11))/100</f>
        <v>46.941176470588225</v>
      </c>
      <c r="M33" s="94" cm="1">
        <f t="array" ref="M33">SUMPRODUCT(M$7:M$11,TRANSPOSE('Task3 - Analysis'!$C11:$G11))/100</f>
        <v>46.542857142857144</v>
      </c>
      <c r="N33" s="94" cm="1">
        <f t="array" ref="N33">SUMPRODUCT(N$7:N$11,TRANSPOSE('Task3 - Analysis'!$C11:$G11))/100</f>
        <v>46.166666666666657</v>
      </c>
      <c r="O33" s="52" cm="1">
        <f t="array" ref="O33">SUMPRODUCT(O$7:O$11,TRANSPOSE('Task3 - Analysis'!$C11:$G11))/100</f>
        <v>45.810810810810807</v>
      </c>
    </row>
    <row r="34" spans="2:15" x14ac:dyDescent="0.35">
      <c r="B34" s="163" t="s">
        <v>144</v>
      </c>
      <c r="C34" s="166" t="s">
        <v>152</v>
      </c>
      <c r="D34" s="29" t="s">
        <v>75</v>
      </c>
      <c r="E34" s="92" cm="1">
        <f t="array" ref="E34">SUMPRODUCT(E$13:E$17,TRANSPOSE('Task3 - Analysis'!$C6:$G6))/100</f>
        <v>77.931034482758619</v>
      </c>
      <c r="F34" s="92" cm="1">
        <f t="array" ref="F34">SUMPRODUCT(F$13:F$17,TRANSPOSE('Task3 - Analysis'!$C6:$G6))/100</f>
        <v>78.666666666666671</v>
      </c>
      <c r="G34" s="92" cm="1">
        <f t="array" ref="G34">SUMPRODUCT(G$13:G$17,TRANSPOSE('Task3 - Analysis'!$C6:$G6))/100</f>
        <v>79.354838709677409</v>
      </c>
      <c r="H34" s="92" cm="1">
        <f t="array" ref="H34">SUMPRODUCT(H$13:H$17,TRANSPOSE('Task3 - Analysis'!$C6:$G6))/100</f>
        <v>80</v>
      </c>
      <c r="I34" s="92" cm="1">
        <f t="array" ref="I34">SUMPRODUCT(I$13:I$17,TRANSPOSE('Task3 - Analysis'!$C6:$G6))/100</f>
        <v>80.606060606060595</v>
      </c>
      <c r="J34" s="92" cm="1">
        <f t="array" ref="J34">SUMPRODUCT(J$13:J$17,TRANSPOSE('Task3 - Analysis'!$C6:$G6))/100</f>
        <v>81.176470588235304</v>
      </c>
      <c r="K34" s="92" cm="1">
        <f t="array" ref="K34">SUMPRODUCT(K$13:K$17,TRANSPOSE('Task3 - Analysis'!$C6:$G6))/100</f>
        <v>81.714285714285722</v>
      </c>
      <c r="L34" s="92" cm="1">
        <f t="array" ref="L34">SUMPRODUCT(L$13:L$17,TRANSPOSE('Task3 - Analysis'!$C6:$G6))/100</f>
        <v>82.222222222222229</v>
      </c>
      <c r="M34" s="92" cm="1">
        <f t="array" ref="M34">SUMPRODUCT(M$13:M$17,TRANSPOSE('Task3 - Analysis'!$C6:$G6))/100</f>
        <v>82.702702702702695</v>
      </c>
      <c r="N34" s="92" cm="1">
        <f t="array" ref="N34">SUMPRODUCT(N$13:N$17,TRANSPOSE('Task3 - Analysis'!$C6:$G6))/100</f>
        <v>83.157894736842096</v>
      </c>
      <c r="O34" s="91" cm="1">
        <f t="array" ref="O34">SUMPRODUCT(O$13:O$17,TRANSPOSE('Task3 - Analysis'!$C6:$G6))/100</f>
        <v>83.589743589743591</v>
      </c>
    </row>
    <row r="35" spans="2:15" x14ac:dyDescent="0.35">
      <c r="B35" s="164"/>
      <c r="C35" s="167"/>
      <c r="D35" s="36" t="s">
        <v>78</v>
      </c>
      <c r="E35" s="93" cm="1">
        <f t="array" ref="E35">SUMPRODUCT(E$13:E$17,TRANSPOSE('Task3 - Analysis'!$C7:$G7))/100</f>
        <v>69.137931034482762</v>
      </c>
      <c r="F35" s="93" cm="1">
        <f t="array" ref="F35">SUMPRODUCT(F$13:F$17,TRANSPOSE('Task3 - Analysis'!$C7:$G7))/100</f>
        <v>67.666666666666657</v>
      </c>
      <c r="G35" s="93" cm="1">
        <f t="array" ref="G35">SUMPRODUCT(G$13:G$17,TRANSPOSE('Task3 - Analysis'!$C7:$G7))/100</f>
        <v>66.290322580645167</v>
      </c>
      <c r="H35" s="93" cm="1">
        <f t="array" ref="H35">SUMPRODUCT(H$13:H$17,TRANSPOSE('Task3 - Analysis'!$C7:$G7))/100</f>
        <v>65</v>
      </c>
      <c r="I35" s="93" cm="1">
        <f t="array" ref="I35">SUMPRODUCT(I$13:I$17,TRANSPOSE('Task3 - Analysis'!$C7:$G7))/100</f>
        <v>63.787878787878789</v>
      </c>
      <c r="J35" s="93" cm="1">
        <f t="array" ref="J35">SUMPRODUCT(J$13:J$17,TRANSPOSE('Task3 - Analysis'!$C7:$G7))/100</f>
        <v>62.64705882352942</v>
      </c>
      <c r="K35" s="93" cm="1">
        <f t="array" ref="K35">SUMPRODUCT(K$13:K$17,TRANSPOSE('Task3 - Analysis'!$C7:$G7))/100</f>
        <v>61.571428571428569</v>
      </c>
      <c r="L35" s="93" cm="1">
        <f t="array" ref="L35">SUMPRODUCT(L$13:L$17,TRANSPOSE('Task3 - Analysis'!$C7:$G7))/100</f>
        <v>60.555555555555557</v>
      </c>
      <c r="M35" s="93" cm="1">
        <f t="array" ref="M35">SUMPRODUCT(M$13:M$17,TRANSPOSE('Task3 - Analysis'!$C7:$G7))/100</f>
        <v>59.594594594594604</v>
      </c>
      <c r="N35" s="93" cm="1">
        <f t="array" ref="N35">SUMPRODUCT(N$13:N$17,TRANSPOSE('Task3 - Analysis'!$C7:$G7))/100</f>
        <v>58.68421052631578</v>
      </c>
      <c r="O35" s="51" cm="1">
        <f t="array" ref="O35">SUMPRODUCT(O$13:O$17,TRANSPOSE('Task3 - Analysis'!$C7:$G7))/100</f>
        <v>57.820512820512825</v>
      </c>
    </row>
    <row r="36" spans="2:15" x14ac:dyDescent="0.35">
      <c r="B36" s="164"/>
      <c r="C36" s="167"/>
      <c r="D36" s="36" t="s">
        <v>81</v>
      </c>
      <c r="E36" s="93" cm="1">
        <f t="array" ref="E36">SUMPRODUCT(E$13:E$17,TRANSPOSE('Task3 - Analysis'!$C8:$G8))/100</f>
        <v>34.862068965517238</v>
      </c>
      <c r="F36" s="93" cm="1">
        <f t="array" ref="F36">SUMPRODUCT(F$13:F$17,TRANSPOSE('Task3 - Analysis'!$C8:$G8))/100</f>
        <v>33.700000000000003</v>
      </c>
      <c r="G36" s="93" cm="1">
        <f t="array" ref="G36">SUMPRODUCT(G$13:G$17,TRANSPOSE('Task3 - Analysis'!$C8:$G8))/100</f>
        <v>32.612903225806448</v>
      </c>
      <c r="H36" s="93" cm="1">
        <f t="array" ref="H36">SUMPRODUCT(H$13:H$17,TRANSPOSE('Task3 - Analysis'!$C8:$G8))/100</f>
        <v>31.59375</v>
      </c>
      <c r="I36" s="93" cm="1">
        <f t="array" ref="I36">SUMPRODUCT(I$13:I$17,TRANSPOSE('Task3 - Analysis'!$C8:$G8))/100</f>
        <v>30.636363636363637</v>
      </c>
      <c r="J36" s="93" cm="1">
        <f t="array" ref="J36">SUMPRODUCT(J$13:J$17,TRANSPOSE('Task3 - Analysis'!$C8:$G8))/100</f>
        <v>29.735294117647058</v>
      </c>
      <c r="K36" s="93" cm="1">
        <f t="array" ref="K36">SUMPRODUCT(K$13:K$17,TRANSPOSE('Task3 - Analysis'!$C8:$G8))/100</f>
        <v>28.885714285714286</v>
      </c>
      <c r="L36" s="93" cm="1">
        <f t="array" ref="L36">SUMPRODUCT(L$13:L$17,TRANSPOSE('Task3 - Analysis'!$C8:$G8))/100</f>
        <v>28.083333333333336</v>
      </c>
      <c r="M36" s="93" cm="1">
        <f t="array" ref="M36">SUMPRODUCT(M$13:M$17,TRANSPOSE('Task3 - Analysis'!$C8:$G8))/100</f>
        <v>27.324324324324326</v>
      </c>
      <c r="N36" s="93" cm="1">
        <f t="array" ref="N36">SUMPRODUCT(N$13:N$17,TRANSPOSE('Task3 - Analysis'!$C8:$G8))/100</f>
        <v>26.605263157894733</v>
      </c>
      <c r="O36" s="51" cm="1">
        <f t="array" ref="O36">SUMPRODUCT(O$13:O$17,TRANSPOSE('Task3 - Analysis'!$C8:$G8))/100</f>
        <v>25.92307692307692</v>
      </c>
    </row>
    <row r="37" spans="2:15" x14ac:dyDescent="0.35">
      <c r="B37" s="164"/>
      <c r="C37" s="167"/>
      <c r="D37" s="36" t="s">
        <v>9</v>
      </c>
      <c r="E37" s="93" cm="1">
        <f t="array" ref="E37">SUMPRODUCT(E$13:E$17,TRANSPOSE('Task3 - Analysis'!$C9:$G9))/100</f>
        <v>53.241379310344826</v>
      </c>
      <c r="F37" s="93" cm="1">
        <f t="array" ref="F37">SUMPRODUCT(F$13:F$17,TRANSPOSE('Task3 - Analysis'!$C9:$G9))/100</f>
        <v>52.3</v>
      </c>
      <c r="G37" s="93" cm="1">
        <f t="array" ref="G37">SUMPRODUCT(G$13:G$17,TRANSPOSE('Task3 - Analysis'!$C9:$G9))/100</f>
        <v>51.41935483870968</v>
      </c>
      <c r="H37" s="93" cm="1">
        <f t="array" ref="H37">SUMPRODUCT(H$13:H$17,TRANSPOSE('Task3 - Analysis'!$C9:$G9))/100</f>
        <v>50.59375</v>
      </c>
      <c r="I37" s="93" cm="1">
        <f t="array" ref="I37">SUMPRODUCT(I$13:I$17,TRANSPOSE('Task3 - Analysis'!$C9:$G9))/100</f>
        <v>49.81818181818182</v>
      </c>
      <c r="J37" s="93" cm="1">
        <f t="array" ref="J37">SUMPRODUCT(J$13:J$17,TRANSPOSE('Task3 - Analysis'!$C9:$G9))/100</f>
        <v>49.088235294117652</v>
      </c>
      <c r="K37" s="93" cm="1">
        <f t="array" ref="K37">SUMPRODUCT(K$13:K$17,TRANSPOSE('Task3 - Analysis'!$C9:$G9))/100</f>
        <v>48.4</v>
      </c>
      <c r="L37" s="93" cm="1">
        <f t="array" ref="L37">SUMPRODUCT(L$13:L$17,TRANSPOSE('Task3 - Analysis'!$C9:$G9))/100</f>
        <v>47.75</v>
      </c>
      <c r="M37" s="93" cm="1">
        <f t="array" ref="M37">SUMPRODUCT(M$13:M$17,TRANSPOSE('Task3 - Analysis'!$C9:$G9))/100</f>
        <v>47.13513513513513</v>
      </c>
      <c r="N37" s="93" cm="1">
        <f t="array" ref="N37">SUMPRODUCT(N$13:N$17,TRANSPOSE('Task3 - Analysis'!$C9:$G9))/100</f>
        <v>46.55263157894737</v>
      </c>
      <c r="O37" s="51" cm="1">
        <f t="array" ref="O37">SUMPRODUCT(O$13:O$17,TRANSPOSE('Task3 - Analysis'!$C9:$G9))/100</f>
        <v>46</v>
      </c>
    </row>
    <row r="38" spans="2:15" x14ac:dyDescent="0.35">
      <c r="B38" s="164"/>
      <c r="C38" s="167"/>
      <c r="D38" s="36" t="s">
        <v>11</v>
      </c>
      <c r="E38" s="93" cm="1">
        <f t="array" ref="E38">SUMPRODUCT(E$13:E$17,TRANSPOSE('Task3 - Analysis'!$C10:$G10))/100</f>
        <v>43.172413793103452</v>
      </c>
      <c r="F38" s="93" cm="1">
        <f t="array" ref="F38">SUMPRODUCT(F$13:F$17,TRANSPOSE('Task3 - Analysis'!$C10:$G10))/100</f>
        <v>42.466666666666669</v>
      </c>
      <c r="G38" s="93" cm="1">
        <f t="array" ref="G38">SUMPRODUCT(G$13:G$17,TRANSPOSE('Task3 - Analysis'!$C10:$G10))/100</f>
        <v>41.806451612903231</v>
      </c>
      <c r="H38" s="93" cm="1">
        <f t="array" ref="H38">SUMPRODUCT(H$13:H$17,TRANSPOSE('Task3 - Analysis'!$C10:$G10))/100</f>
        <v>41.1875</v>
      </c>
      <c r="I38" s="93" cm="1">
        <f t="array" ref="I38">SUMPRODUCT(I$13:I$17,TRANSPOSE('Task3 - Analysis'!$C10:$G10))/100</f>
        <v>40.606060606060602</v>
      </c>
      <c r="J38" s="93" cm="1">
        <f t="array" ref="J38">SUMPRODUCT(J$13:J$17,TRANSPOSE('Task3 - Analysis'!$C10:$G10))/100</f>
        <v>40.058823529411768</v>
      </c>
      <c r="K38" s="93" cm="1">
        <f t="array" ref="K38">SUMPRODUCT(K$13:K$17,TRANSPOSE('Task3 - Analysis'!$C10:$G10))/100</f>
        <v>39.542857142857144</v>
      </c>
      <c r="L38" s="93" cm="1">
        <f t="array" ref="L38">SUMPRODUCT(L$13:L$17,TRANSPOSE('Task3 - Analysis'!$C10:$G10))/100</f>
        <v>39.05555555555555</v>
      </c>
      <c r="M38" s="93" cm="1">
        <f t="array" ref="M38">SUMPRODUCT(M$13:M$17,TRANSPOSE('Task3 - Analysis'!$C10:$G10))/100</f>
        <v>38.594594594594604</v>
      </c>
      <c r="N38" s="93" cm="1">
        <f t="array" ref="N38">SUMPRODUCT(N$13:N$17,TRANSPOSE('Task3 - Analysis'!$C10:$G10))/100</f>
        <v>38.157894736842103</v>
      </c>
      <c r="O38" s="51" cm="1">
        <f t="array" ref="O38">SUMPRODUCT(O$13:O$17,TRANSPOSE('Task3 - Analysis'!$C10:$G10))/100</f>
        <v>37.743589743589745</v>
      </c>
    </row>
    <row r="39" spans="2:15" ht="16" thickBot="1" x14ac:dyDescent="0.4">
      <c r="B39" s="165"/>
      <c r="C39" s="168"/>
      <c r="D39" s="44" t="s">
        <v>87</v>
      </c>
      <c r="E39" s="94" cm="1">
        <f t="array" ref="E39">SUMPRODUCT(E$13:E$17,TRANSPOSE('Task3 - Analysis'!$C11:$G11))/100</f>
        <v>51.551724137931039</v>
      </c>
      <c r="F39" s="94" cm="1">
        <f t="array" ref="F39">SUMPRODUCT(F$13:F$17,TRANSPOSE('Task3 - Analysis'!$C11:$G11))/100</f>
        <v>50.666666666666657</v>
      </c>
      <c r="G39" s="94" cm="1">
        <f t="array" ref="G39">SUMPRODUCT(G$13:G$17,TRANSPOSE('Task3 - Analysis'!$C11:$G11))/100</f>
        <v>49.838709677419359</v>
      </c>
      <c r="H39" s="94" cm="1">
        <f t="array" ref="H39">SUMPRODUCT(H$13:H$17,TRANSPOSE('Task3 - Analysis'!$C11:$G11))/100</f>
        <v>49.0625</v>
      </c>
      <c r="I39" s="94" cm="1">
        <f t="array" ref="I39">SUMPRODUCT(I$13:I$17,TRANSPOSE('Task3 - Analysis'!$C11:$G11))/100</f>
        <v>48.333333333333329</v>
      </c>
      <c r="J39" s="94" cm="1">
        <f t="array" ref="J39">SUMPRODUCT(J$13:J$17,TRANSPOSE('Task3 - Analysis'!$C11:$G11))/100</f>
        <v>47.647058823529406</v>
      </c>
      <c r="K39" s="94" cm="1">
        <f t="array" ref="K39">SUMPRODUCT(K$13:K$17,TRANSPOSE('Task3 - Analysis'!$C11:$G11))/100</f>
        <v>47</v>
      </c>
      <c r="L39" s="94" cm="1">
        <f t="array" ref="L39">SUMPRODUCT(L$13:L$17,TRANSPOSE('Task3 - Analysis'!$C11:$G11))/100</f>
        <v>46.388888888888886</v>
      </c>
      <c r="M39" s="94" cm="1">
        <f t="array" ref="M39">SUMPRODUCT(M$13:M$17,TRANSPOSE('Task3 - Analysis'!$C11:$G11))/100</f>
        <v>45.810810810810807</v>
      </c>
      <c r="N39" s="94" cm="1">
        <f t="array" ref="N39">SUMPRODUCT(N$13:N$17,TRANSPOSE('Task3 - Analysis'!$C11:$G11))/100</f>
        <v>45.263157894736835</v>
      </c>
      <c r="O39" s="52" cm="1">
        <f t="array" ref="O39">SUMPRODUCT(O$13:O$17,TRANSPOSE('Task3 - Analysis'!$C11:$G11))/100</f>
        <v>44.743589743589745</v>
      </c>
    </row>
    <row r="40" spans="2:15" x14ac:dyDescent="0.35">
      <c r="B40" s="163" t="s">
        <v>145</v>
      </c>
      <c r="C40" s="166" t="s">
        <v>152</v>
      </c>
      <c r="D40" s="29" t="s">
        <v>75</v>
      </c>
      <c r="E40" s="92" cm="1">
        <f t="array" ref="E40">SUMPRODUCT(E$19:E$23,TRANSPOSE('Task3 - Analysis'!$C6:$G6))/100</f>
        <v>84.375</v>
      </c>
      <c r="F40" s="92" cm="1">
        <f t="array" ref="F40">SUMPRODUCT(F$19:F$23,TRANSPOSE('Task3 - Analysis'!$C6:$G6))/100</f>
        <v>84</v>
      </c>
      <c r="G40" s="92" cm="1">
        <f t="array" ref="G40">SUMPRODUCT(G$19:G$23,TRANSPOSE('Task3 - Analysis'!$C6:$G6))/100</f>
        <v>83.647058823529406</v>
      </c>
      <c r="H40" s="92" cm="1">
        <f t="array" ref="H40">SUMPRODUCT(H$19:H$23,TRANSPOSE('Task3 - Analysis'!$C6:$G6))/100</f>
        <v>83.314285714285703</v>
      </c>
      <c r="I40" s="92" cm="1">
        <f t="array" ref="I40">SUMPRODUCT(I$19:I$23,TRANSPOSE('Task3 - Analysis'!$C6:$G6))/100</f>
        <v>83</v>
      </c>
      <c r="J40" s="92" cm="1">
        <f t="array" ref="J40">SUMPRODUCT(J$19:J$23,TRANSPOSE('Task3 - Analysis'!$C6:$G6))/100</f>
        <v>82.702702702702695</v>
      </c>
      <c r="K40" s="92" cm="1">
        <f t="array" ref="K40">SUMPRODUCT(K$19:K$23,TRANSPOSE('Task3 - Analysis'!$C6:$G6))/100</f>
        <v>82.421052631578931</v>
      </c>
      <c r="L40" s="92" cm="1">
        <f t="array" ref="L40">SUMPRODUCT(L$19:L$23,TRANSPOSE('Task3 - Analysis'!$C6:$G6))/100</f>
        <v>82.153846153846175</v>
      </c>
      <c r="M40" s="92" cm="1">
        <f t="array" ref="M40">SUMPRODUCT(M$19:M$23,TRANSPOSE('Task3 - Analysis'!$C6:$G6))/100</f>
        <v>81.900000000000006</v>
      </c>
      <c r="N40" s="92" cm="1">
        <f t="array" ref="N40">SUMPRODUCT(N$19:N$23,TRANSPOSE('Task3 - Analysis'!$C6:$G6))/100</f>
        <v>81.658536585365852</v>
      </c>
      <c r="O40" s="91" cm="1">
        <f t="array" ref="O40">SUMPRODUCT(O$19:O$23,TRANSPOSE('Task3 - Analysis'!$C6:$G6))/100</f>
        <v>81.428571428571416</v>
      </c>
    </row>
    <row r="41" spans="2:15" x14ac:dyDescent="0.35">
      <c r="B41" s="164"/>
      <c r="C41" s="167"/>
      <c r="D41" s="36" t="s">
        <v>78</v>
      </c>
      <c r="E41" s="93" cm="1">
        <f t="array" ref="E41">SUMPRODUCT(E$19:E$23,TRANSPOSE('Task3 - Analysis'!$C7:$G7))/100</f>
        <v>55.3125</v>
      </c>
      <c r="F41" s="93" cm="1">
        <f t="array" ref="F41">SUMPRODUCT(F$19:F$23,TRANSPOSE('Task3 - Analysis'!$C7:$G7))/100</f>
        <v>56.27272727272728</v>
      </c>
      <c r="G41" s="93" cm="1">
        <f t="array" ref="G41">SUMPRODUCT(G$19:G$23,TRANSPOSE('Task3 - Analysis'!$C7:$G7))/100</f>
        <v>57.176470588235297</v>
      </c>
      <c r="H41" s="93" cm="1">
        <f t="array" ref="H41">SUMPRODUCT(H$19:H$23,TRANSPOSE('Task3 - Analysis'!$C7:$G7))/100</f>
        <v>58.028571428571425</v>
      </c>
      <c r="I41" s="93" cm="1">
        <f t="array" ref="I41">SUMPRODUCT(I$19:I$23,TRANSPOSE('Task3 - Analysis'!$C7:$G7))/100</f>
        <v>58.833333333333329</v>
      </c>
      <c r="J41" s="93" cm="1">
        <f t="array" ref="J41">SUMPRODUCT(J$19:J$23,TRANSPOSE('Task3 - Analysis'!$C7:$G7))/100</f>
        <v>59.594594594594604</v>
      </c>
      <c r="K41" s="93" cm="1">
        <f t="array" ref="K41">SUMPRODUCT(K$19:K$23,TRANSPOSE('Task3 - Analysis'!$C7:$G7))/100</f>
        <v>60.315789473684205</v>
      </c>
      <c r="L41" s="93" cm="1">
        <f t="array" ref="L41">SUMPRODUCT(L$19:L$23,TRANSPOSE('Task3 - Analysis'!$C7:$G7))/100</f>
        <v>61</v>
      </c>
      <c r="M41" s="93" cm="1">
        <f t="array" ref="M41">SUMPRODUCT(M$19:M$23,TRANSPOSE('Task3 - Analysis'!$C7:$G7))/100</f>
        <v>61.65</v>
      </c>
      <c r="N41" s="93" cm="1">
        <f t="array" ref="N41">SUMPRODUCT(N$19:N$23,TRANSPOSE('Task3 - Analysis'!$C7:$G7))/100</f>
        <v>62.268292682926834</v>
      </c>
      <c r="O41" s="51" cm="1">
        <f t="array" ref="O41">SUMPRODUCT(O$19:O$23,TRANSPOSE('Task3 - Analysis'!$C7:$G7))/100</f>
        <v>62.857142857142847</v>
      </c>
    </row>
    <row r="42" spans="2:15" x14ac:dyDescent="0.35">
      <c r="B42" s="164"/>
      <c r="C42" s="167"/>
      <c r="D42" s="36" t="s">
        <v>81</v>
      </c>
      <c r="E42" s="93" cm="1">
        <f t="array" ref="E42">SUMPRODUCT(E$19:E$23,TRANSPOSE('Task3 - Analysis'!$C8:$G8))/100</f>
        <v>27.0625</v>
      </c>
      <c r="F42" s="93" cm="1">
        <f t="array" ref="F42">SUMPRODUCT(F$19:F$23,TRANSPOSE('Task3 - Analysis'!$C8:$G8))/100</f>
        <v>27.121212121212121</v>
      </c>
      <c r="G42" s="93" cm="1">
        <f t="array" ref="G42">SUMPRODUCT(G$19:G$23,TRANSPOSE('Task3 - Analysis'!$C8:$G8))/100</f>
        <v>27.176470588235293</v>
      </c>
      <c r="H42" s="93" cm="1">
        <f t="array" ref="H42">SUMPRODUCT(H$19:H$23,TRANSPOSE('Task3 - Analysis'!$C8:$G8))/100</f>
        <v>27.228571428571428</v>
      </c>
      <c r="I42" s="93" cm="1">
        <f t="array" ref="I42">SUMPRODUCT(I$19:I$23,TRANSPOSE('Task3 - Analysis'!$C8:$G8))/100</f>
        <v>27.277777777777779</v>
      </c>
      <c r="J42" s="93" cm="1">
        <f t="array" ref="J42">SUMPRODUCT(J$19:J$23,TRANSPOSE('Task3 - Analysis'!$C8:$G8))/100</f>
        <v>27.324324324324326</v>
      </c>
      <c r="K42" s="93" cm="1">
        <f t="array" ref="K42">SUMPRODUCT(K$19:K$23,TRANSPOSE('Task3 - Analysis'!$C8:$G8))/100</f>
        <v>27.368421052631579</v>
      </c>
      <c r="L42" s="93" cm="1">
        <f t="array" ref="L42">SUMPRODUCT(L$19:L$23,TRANSPOSE('Task3 - Analysis'!$C8:$G8))/100</f>
        <v>27.410256410256405</v>
      </c>
      <c r="M42" s="93" cm="1">
        <f t="array" ref="M42">SUMPRODUCT(M$19:M$23,TRANSPOSE('Task3 - Analysis'!$C8:$G8))/100</f>
        <v>27.45</v>
      </c>
      <c r="N42" s="93" cm="1">
        <f t="array" ref="N42">SUMPRODUCT(N$19:N$23,TRANSPOSE('Task3 - Analysis'!$C8:$G8))/100</f>
        <v>27.487804878048777</v>
      </c>
      <c r="O42" s="51" cm="1">
        <f t="array" ref="O42">SUMPRODUCT(O$19:O$23,TRANSPOSE('Task3 - Analysis'!$C8:$G8))/100</f>
        <v>27.523809523809522</v>
      </c>
    </row>
    <row r="43" spans="2:15" x14ac:dyDescent="0.35">
      <c r="B43" s="164"/>
      <c r="C43" s="167"/>
      <c r="D43" s="36" t="s">
        <v>9</v>
      </c>
      <c r="E43" s="93" cm="1">
        <f t="array" ref="E43">SUMPRODUCT(E$19:E$23,TRANSPOSE('Task3 - Analysis'!$C9:$G9))/100</f>
        <v>38.875</v>
      </c>
      <c r="F43" s="93" cm="1">
        <f t="array" ref="F43">SUMPRODUCT(F$19:F$23,TRANSPOSE('Task3 - Analysis'!$C9:$G9))/100</f>
        <v>40.727272727272727</v>
      </c>
      <c r="G43" s="93" cm="1">
        <f t="array" ref="G43">SUMPRODUCT(G$19:G$23,TRANSPOSE('Task3 - Analysis'!$C9:$G9))/100</f>
        <v>42.470588235294116</v>
      </c>
      <c r="H43" s="93" cm="1">
        <f t="array" ref="H43">SUMPRODUCT(H$19:H$23,TRANSPOSE('Task3 - Analysis'!$C9:$G9))/100</f>
        <v>44.114285714285714</v>
      </c>
      <c r="I43" s="93" cm="1">
        <f t="array" ref="I43">SUMPRODUCT(I$19:I$23,TRANSPOSE('Task3 - Analysis'!$C9:$G9))/100</f>
        <v>45.666666666666671</v>
      </c>
      <c r="J43" s="93" cm="1">
        <f t="array" ref="J43">SUMPRODUCT(J$19:J$23,TRANSPOSE('Task3 - Analysis'!$C9:$G9))/100</f>
        <v>47.13513513513513</v>
      </c>
      <c r="K43" s="93" cm="1">
        <f t="array" ref="K43">SUMPRODUCT(K$19:K$23,TRANSPOSE('Task3 - Analysis'!$C9:$G9))/100</f>
        <v>48.526315789473685</v>
      </c>
      <c r="L43" s="93" cm="1">
        <f t="array" ref="L43">SUMPRODUCT(L$19:L$23,TRANSPOSE('Task3 - Analysis'!$C9:$G9))/100</f>
        <v>49.846153846153847</v>
      </c>
      <c r="M43" s="93" cm="1">
        <f t="array" ref="M43">SUMPRODUCT(M$19:M$23,TRANSPOSE('Task3 - Analysis'!$C9:$G9))/100</f>
        <v>51.1</v>
      </c>
      <c r="N43" s="93" cm="1">
        <f t="array" ref="N43">SUMPRODUCT(N$19:N$23,TRANSPOSE('Task3 - Analysis'!$C9:$G9))/100</f>
        <v>52.292682926829272</v>
      </c>
      <c r="O43" s="51" cm="1">
        <f t="array" ref="O43">SUMPRODUCT(O$19:O$23,TRANSPOSE('Task3 - Analysis'!$C9:$G9))/100</f>
        <v>53.428571428571431</v>
      </c>
    </row>
    <row r="44" spans="2:15" x14ac:dyDescent="0.35">
      <c r="B44" s="164"/>
      <c r="C44" s="167"/>
      <c r="D44" s="36" t="s">
        <v>11</v>
      </c>
      <c r="E44" s="93" cm="1">
        <f t="array" ref="E44">SUMPRODUCT(E$19:E$23,TRANSPOSE('Task3 - Analysis'!$C10:$G10))/100</f>
        <v>44.625</v>
      </c>
      <c r="F44" s="93" cm="1">
        <f t="array" ref="F44">SUMPRODUCT(F$19:F$23,TRANSPOSE('Task3 - Analysis'!$C10:$G10))/100</f>
        <v>43.27272727272728</v>
      </c>
      <c r="G44" s="93" cm="1">
        <f t="array" ref="G44">SUMPRODUCT(G$19:G$23,TRANSPOSE('Task3 - Analysis'!$C10:$G10))/100</f>
        <v>42</v>
      </c>
      <c r="H44" s="93" cm="1">
        <f t="array" ref="H44">SUMPRODUCT(H$19:H$23,TRANSPOSE('Task3 - Analysis'!$C10:$G10))/100</f>
        <v>40.799999999999997</v>
      </c>
      <c r="I44" s="93" cm="1">
        <f t="array" ref="I44">SUMPRODUCT(I$19:I$23,TRANSPOSE('Task3 - Analysis'!$C10:$G10))/100</f>
        <v>39.666666666666657</v>
      </c>
      <c r="J44" s="93" cm="1">
        <f t="array" ref="J44">SUMPRODUCT(J$19:J$23,TRANSPOSE('Task3 - Analysis'!$C10:$G10))/100</f>
        <v>38.594594594594604</v>
      </c>
      <c r="K44" s="93" cm="1">
        <f t="array" ref="K44">SUMPRODUCT(K$19:K$23,TRANSPOSE('Task3 - Analysis'!$C10:$G10))/100</f>
        <v>37.578947368421048</v>
      </c>
      <c r="L44" s="93" cm="1">
        <f t="array" ref="L44">SUMPRODUCT(L$19:L$23,TRANSPOSE('Task3 - Analysis'!$C10:$G10))/100</f>
        <v>36.615384615384613</v>
      </c>
      <c r="M44" s="93" cm="1">
        <f t="array" ref="M44">SUMPRODUCT(M$19:M$23,TRANSPOSE('Task3 - Analysis'!$C10:$G10))/100</f>
        <v>35.700000000000003</v>
      </c>
      <c r="N44" s="93" cm="1">
        <f t="array" ref="N44">SUMPRODUCT(N$19:N$23,TRANSPOSE('Task3 - Analysis'!$C10:$G10))/100</f>
        <v>34.829268292682926</v>
      </c>
      <c r="O44" s="51" cm="1">
        <f t="array" ref="O44">SUMPRODUCT(O$19:O$23,TRANSPOSE('Task3 - Analysis'!$C10:$G10))/100</f>
        <v>34</v>
      </c>
    </row>
    <row r="45" spans="2:15" ht="16" thickBot="1" x14ac:dyDescent="0.4">
      <c r="B45" s="165"/>
      <c r="C45" s="168"/>
      <c r="D45" s="44" t="s">
        <v>87</v>
      </c>
      <c r="E45" s="94" cm="1">
        <f t="array" ref="E45">SUMPRODUCT(E$19:E$23,TRANSPOSE('Task3 - Analysis'!$C11:$G11))/100</f>
        <v>47.8125</v>
      </c>
      <c r="F45" s="94" cm="1">
        <f t="array" ref="F45">SUMPRODUCT(F$19:F$23,TRANSPOSE('Task3 - Analysis'!$C11:$G11))/100</f>
        <v>47.36363636363636</v>
      </c>
      <c r="G45" s="94" cm="1">
        <f t="array" ref="G45">SUMPRODUCT(G$19:G$23,TRANSPOSE('Task3 - Analysis'!$C11:$G11))/100</f>
        <v>46.941176470588232</v>
      </c>
      <c r="H45" s="94" cm="1">
        <f t="array" ref="H45">SUMPRODUCT(H$19:H$23,TRANSPOSE('Task3 - Analysis'!$C11:$G11))/100</f>
        <v>46.542857142857144</v>
      </c>
      <c r="I45" s="94" cm="1">
        <f t="array" ref="I45">SUMPRODUCT(I$19:I$23,TRANSPOSE('Task3 - Analysis'!$C11:$G11))/100</f>
        <v>46.166666666666671</v>
      </c>
      <c r="J45" s="94" cm="1">
        <f t="array" ref="J45">SUMPRODUCT(J$19:J$23,TRANSPOSE('Task3 - Analysis'!$C11:$G11))/100</f>
        <v>45.810810810810807</v>
      </c>
      <c r="K45" s="94" cm="1">
        <f t="array" ref="K45">SUMPRODUCT(K$19:K$23,TRANSPOSE('Task3 - Analysis'!$C11:$G11))/100</f>
        <v>45.473684210526308</v>
      </c>
      <c r="L45" s="94" cm="1">
        <f t="array" ref="L45">SUMPRODUCT(L$19:L$23,TRANSPOSE('Task3 - Analysis'!$C11:$G11))/100</f>
        <v>45.153846153846153</v>
      </c>
      <c r="M45" s="94" cm="1">
        <f t="array" ref="M45">SUMPRODUCT(M$19:M$23,TRANSPOSE('Task3 - Analysis'!$C11:$G11))/100</f>
        <v>44.85</v>
      </c>
      <c r="N45" s="94" cm="1">
        <f t="array" ref="N45">SUMPRODUCT(N$19:N$23,TRANSPOSE('Task3 - Analysis'!$C11:$G11))/100</f>
        <v>44.560975609756099</v>
      </c>
      <c r="O45" s="52" cm="1">
        <f t="array" ref="O45">SUMPRODUCT(O$19:O$23,TRANSPOSE('Task3 - Analysis'!$C11:$G11))/100</f>
        <v>44.285714285714285</v>
      </c>
    </row>
  </sheetData>
  <mergeCells count="17">
    <mergeCell ref="E4:O4"/>
    <mergeCell ref="B6:B11"/>
    <mergeCell ref="B12:B17"/>
    <mergeCell ref="B18:B23"/>
    <mergeCell ref="C7:C11"/>
    <mergeCell ref="C13:C17"/>
    <mergeCell ref="C19:C23"/>
    <mergeCell ref="C6:D6"/>
    <mergeCell ref="C12:D12"/>
    <mergeCell ref="C18:D18"/>
    <mergeCell ref="E26:O26"/>
    <mergeCell ref="B40:B45"/>
    <mergeCell ref="B34:B39"/>
    <mergeCell ref="B28:B33"/>
    <mergeCell ref="C40:C45"/>
    <mergeCell ref="C34:C39"/>
    <mergeCell ref="C28:C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Task1</vt:lpstr>
      <vt:lpstr>Task2</vt:lpstr>
      <vt:lpstr>Task3 - Raw Data</vt:lpstr>
      <vt:lpstr>Task3 - Value Funcs and Weights</vt:lpstr>
      <vt:lpstr>Task3 - Analysis</vt:lpstr>
      <vt:lpstr>Task3 - Calcs for Sensitivity</vt:lpstr>
      <vt:lpstr>Task1!TreeData</vt:lpstr>
      <vt:lpstr>Task1!TreeDiag</vt:lpstr>
      <vt:lpstr>Task1!TreeOption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Amanjit Gill</dc:creator>
  <cp:lastModifiedBy>Amanjit Gill</cp:lastModifiedBy>
  <cp:lastPrinted>2023-02-01T14:21:00Z</cp:lastPrinted>
  <dcterms:created xsi:type="dcterms:W3CDTF">2023-01-31T13:58:50Z</dcterms:created>
  <dcterms:modified xsi:type="dcterms:W3CDTF">2023-02-04T04:30:52Z</dcterms:modified>
</cp:coreProperties>
</file>