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anj\ds_projects\unsw\decision_making_6510\assessment3\submission\"/>
    </mc:Choice>
  </mc:AlternateContent>
  <xr:revisionPtr revIDLastSave="0" documentId="13_ncr:1_{999EB39C-146A-49E7-A3AE-67FADE35547C}" xr6:coauthVersionLast="47" xr6:coauthVersionMax="47" xr10:uidLastSave="{00000000-0000-0000-0000-000000000000}"/>
  <bookViews>
    <workbookView xWindow="-17760" yWindow="1170" windowWidth="14400" windowHeight="14385" tabRatio="701" activeTab="3" xr2:uid="{25568C85-006A-4435-9ED5-7F79BE0423F4}"/>
  </bookViews>
  <sheets>
    <sheet name="Task1" sheetId="1" r:id="rId1"/>
    <sheet name="Task2" sheetId="7" r:id="rId2"/>
    <sheet name="Task3 Data" sheetId="12" r:id="rId3"/>
    <sheet name="Task3 Model" sheetId="14" r:id="rId4"/>
  </sheets>
  <definedNames>
    <definedName name="solver_adj" localSheetId="0" hidden="1">Task1!$B$8:$D$8</definedName>
    <definedName name="solver_adj" localSheetId="1" hidden="1">Task2!$B$8:$H$8</definedName>
    <definedName name="solver_adj" localSheetId="3" hidden="1">'Task3 Model'!$B$20:$N$20</definedName>
    <definedName name="solver_cvg" localSheetId="0" hidden="1">0.0001</definedName>
    <definedName name="solver_cvg" localSheetId="1" hidden="1">0.0001</definedName>
    <definedName name="solver_cvg" localSheetId="3" hidden="1">0.0001</definedName>
    <definedName name="solver_drv" localSheetId="0" hidden="1">2</definedName>
    <definedName name="solver_drv" localSheetId="1" hidden="1">2</definedName>
    <definedName name="solver_drv" localSheetId="3" hidden="1">1</definedName>
    <definedName name="solver_eng" localSheetId="0" hidden="1">2</definedName>
    <definedName name="solver_eng" localSheetId="1" hidden="1">2</definedName>
    <definedName name="solver_eng" localSheetId="3" hidden="1">2</definedName>
    <definedName name="solver_est" localSheetId="0" hidden="1">1</definedName>
    <definedName name="solver_est" localSheetId="1" hidden="1">1</definedName>
    <definedName name="solver_est" localSheetId="3" hidden="1">1</definedName>
    <definedName name="solver_itr" localSheetId="0" hidden="1">2147483647</definedName>
    <definedName name="solver_itr" localSheetId="1" hidden="1">2147483647</definedName>
    <definedName name="solver_itr" localSheetId="3" hidden="1">2147483647</definedName>
    <definedName name="solver_lhs1" localSheetId="0" hidden="1">Task1!$E$14:$E$20</definedName>
    <definedName name="solver_lhs1" localSheetId="1" hidden="1">Task2!$B$8:$H$8</definedName>
    <definedName name="solver_lhs1" localSheetId="3" hidden="1">'Task3 Model'!$B$20:$N$20</definedName>
    <definedName name="solver_lhs2" localSheetId="0" hidden="1">Task1!$E$14:$E$19</definedName>
    <definedName name="solver_lhs2" localSheetId="1" hidden="1">Task2!$B$8:$H$8</definedName>
    <definedName name="solver_lhs2" localSheetId="3" hidden="1">'Task3 Model'!$C$24</definedName>
    <definedName name="solver_lhs3" localSheetId="1" hidden="1">Task2!$I$14:$I$20</definedName>
    <definedName name="solver_lhs3" localSheetId="3" hidden="1">'Task3 Model'!$C$29:$C$41</definedName>
    <definedName name="solver_lhs4" localSheetId="3" hidden="1">'Task3 Model'!$E$29:$E$41</definedName>
    <definedName name="solver_lhs5" localSheetId="3" hidden="1">'Task3 Model'!$G$29:$G$41</definedName>
    <definedName name="solver_mip" localSheetId="0" hidden="1">2147483647</definedName>
    <definedName name="solver_mip" localSheetId="1" hidden="1">2147483647</definedName>
    <definedName name="solver_mip" localSheetId="3" hidden="1">2147483647</definedName>
    <definedName name="solver_mni" localSheetId="0" hidden="1">30</definedName>
    <definedName name="solver_mni" localSheetId="1" hidden="1">30</definedName>
    <definedName name="solver_mni" localSheetId="3" hidden="1">30</definedName>
    <definedName name="solver_mrt" localSheetId="0" hidden="1">0.075</definedName>
    <definedName name="solver_mrt" localSheetId="1" hidden="1">0.075</definedName>
    <definedName name="solver_mrt" localSheetId="3" hidden="1">0.075</definedName>
    <definedName name="solver_msl" localSheetId="0" hidden="1">2</definedName>
    <definedName name="solver_msl" localSheetId="1" hidden="1">2</definedName>
    <definedName name="solver_msl" localSheetId="3" hidden="1">2</definedName>
    <definedName name="solver_neg" localSheetId="0" hidden="1">1</definedName>
    <definedName name="solver_neg" localSheetId="1" hidden="1">1</definedName>
    <definedName name="solver_neg" localSheetId="3" hidden="1">1</definedName>
    <definedName name="solver_nod" localSheetId="0" hidden="1">2147483647</definedName>
    <definedName name="solver_nod" localSheetId="1" hidden="1">2147483647</definedName>
    <definedName name="solver_nod" localSheetId="3" hidden="1">2147483647</definedName>
    <definedName name="solver_num" localSheetId="0" hidden="1">1</definedName>
    <definedName name="solver_num" localSheetId="1" hidden="1">3</definedName>
    <definedName name="solver_num" localSheetId="3" hidden="1">5</definedName>
    <definedName name="solver_nwt" localSheetId="0" hidden="1">1</definedName>
    <definedName name="solver_nwt" localSheetId="1" hidden="1">1</definedName>
    <definedName name="solver_nwt" localSheetId="3" hidden="1">1</definedName>
    <definedName name="solver_opt" localSheetId="0" hidden="1">Task1!$C$3</definedName>
    <definedName name="solver_opt" localSheetId="1" hidden="1">Task2!$C$3</definedName>
    <definedName name="solver_opt" localSheetId="3" hidden="1">'Task3 Model'!$B$16</definedName>
    <definedName name="solver_pre" localSheetId="0" hidden="1">0.000001</definedName>
    <definedName name="solver_pre" localSheetId="1" hidden="1">0.000001</definedName>
    <definedName name="solver_pre" localSheetId="3" hidden="1">0.000001</definedName>
    <definedName name="solver_rbv" localSheetId="0" hidden="1">2</definedName>
    <definedName name="solver_rbv" localSheetId="1" hidden="1">2</definedName>
    <definedName name="solver_rbv" localSheetId="3" hidden="1">1</definedName>
    <definedName name="solver_rel1" localSheetId="0" hidden="1">1</definedName>
    <definedName name="solver_rel1" localSheetId="1" hidden="1">4</definedName>
    <definedName name="solver_rel1" localSheetId="3" hidden="1">4</definedName>
    <definedName name="solver_rel2" localSheetId="0" hidden="1">1</definedName>
    <definedName name="solver_rel2" localSheetId="1" hidden="1">3</definedName>
    <definedName name="solver_rel2" localSheetId="3" hidden="1">1</definedName>
    <definedName name="solver_rel3" localSheetId="1" hidden="1">3</definedName>
    <definedName name="solver_rel3" localSheetId="3" hidden="1">1</definedName>
    <definedName name="solver_rel4" localSheetId="3" hidden="1">3</definedName>
    <definedName name="solver_rel5" localSheetId="3" hidden="1">1</definedName>
    <definedName name="solver_rhs1" localSheetId="0" hidden="1">Task1!$F$14:$F$20</definedName>
    <definedName name="solver_rhs1" localSheetId="1" hidden="1">"integer"</definedName>
    <definedName name="solver_rhs1" localSheetId="3" hidden="1">"integer"</definedName>
    <definedName name="solver_rhs2" localSheetId="0" hidden="1">Task1!$F$14:$F$19</definedName>
    <definedName name="solver_rhs2" localSheetId="1" hidden="1">1</definedName>
    <definedName name="solver_rhs2" localSheetId="3" hidden="1">'Task3 Model'!$C$25</definedName>
    <definedName name="solver_rhs3" localSheetId="1" hidden="1">Task2!$J$14:$J$20</definedName>
    <definedName name="solver_rhs3" localSheetId="3" hidden="1">'Task3 Model'!$D$29:$D$41</definedName>
    <definedName name="solver_rhs4" localSheetId="3" hidden="1">'Task3 Model'!$F$29:$F$41</definedName>
    <definedName name="solver_rhs5" localSheetId="3" hidden="1">'Task3 Model'!$H$29:$H$41</definedName>
    <definedName name="solver_rlx" localSheetId="0" hidden="1">2</definedName>
    <definedName name="solver_rlx" localSheetId="1" hidden="1">2</definedName>
    <definedName name="solver_rlx" localSheetId="3" hidden="1">2</definedName>
    <definedName name="solver_rsd" localSheetId="0" hidden="1">0</definedName>
    <definedName name="solver_rsd" localSheetId="1" hidden="1">0</definedName>
    <definedName name="solver_rsd" localSheetId="3" hidden="1">0</definedName>
    <definedName name="solver_scl" localSheetId="0" hidden="1">2</definedName>
    <definedName name="solver_scl" localSheetId="1" hidden="1">2</definedName>
    <definedName name="solver_scl" localSheetId="3" hidden="1">1</definedName>
    <definedName name="solver_sho" localSheetId="0" hidden="1">2</definedName>
    <definedName name="solver_sho" localSheetId="1" hidden="1">2</definedName>
    <definedName name="solver_sho" localSheetId="3" hidden="1">2</definedName>
    <definedName name="solver_ssz" localSheetId="0" hidden="1">100</definedName>
    <definedName name="solver_ssz" localSheetId="1" hidden="1">100</definedName>
    <definedName name="solver_ssz" localSheetId="3" hidden="1">100</definedName>
    <definedName name="solver_tim" localSheetId="0" hidden="1">2147483647</definedName>
    <definedName name="solver_tim" localSheetId="1" hidden="1">2147483647</definedName>
    <definedName name="solver_tim" localSheetId="3" hidden="1">2147483647</definedName>
    <definedName name="solver_tol" localSheetId="0" hidden="1">0</definedName>
    <definedName name="solver_tol" localSheetId="1" hidden="1">0</definedName>
    <definedName name="solver_tol" localSheetId="3" hidden="1">0</definedName>
    <definedName name="solver_typ" localSheetId="0" hidden="1">2</definedName>
    <definedName name="solver_typ" localSheetId="1" hidden="1">2</definedName>
    <definedName name="solver_typ" localSheetId="3" hidden="1">2</definedName>
    <definedName name="solver_val" localSheetId="0" hidden="1">0</definedName>
    <definedName name="solver_val" localSheetId="1" hidden="1">0</definedName>
    <definedName name="solver_val" localSheetId="3" hidden="1">0</definedName>
    <definedName name="solver_ver" localSheetId="0" hidden="1">3</definedName>
    <definedName name="solver_ver" localSheetId="1" hidden="1">3</definedName>
    <definedName name="solver_ver" localSheetId="3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20" i="1" l="1"/>
  <c r="G30" i="14"/>
  <c r="G31" i="14"/>
  <c r="G32" i="14"/>
  <c r="G33" i="14"/>
  <c r="G34" i="14"/>
  <c r="G35" i="14"/>
  <c r="G36" i="14"/>
  <c r="G37" i="14"/>
  <c r="G38" i="14"/>
  <c r="G39" i="14"/>
  <c r="G40" i="14"/>
  <c r="G41" i="14"/>
  <c r="G29" i="14"/>
  <c r="B12" i="14" a="1"/>
  <c r="B12" i="14" s="1"/>
  <c r="C24" i="14"/>
  <c r="B16" i="14"/>
  <c r="B13" i="14" a="1"/>
  <c r="B13" i="14" s="1"/>
  <c r="B11" i="14" a="1"/>
  <c r="B11" i="14" s="1"/>
  <c r="C29" i="14" s="1"/>
  <c r="P10" i="12"/>
  <c r="P11" i="12"/>
  <c r="P12" i="12"/>
  <c r="P13" i="12"/>
  <c r="P14" i="12"/>
  <c r="P15" i="12"/>
  <c r="P16" i="12"/>
  <c r="P17" i="12"/>
  <c r="P18" i="12"/>
  <c r="P19" i="12"/>
  <c r="P20" i="12"/>
  <c r="P23" i="12"/>
  <c r="P24" i="12"/>
  <c r="P25" i="12"/>
  <c r="P26" i="12"/>
  <c r="P27" i="12"/>
  <c r="P28" i="12"/>
  <c r="P29" i="12"/>
  <c r="P9" i="12"/>
  <c r="O10" i="12"/>
  <c r="O11" i="12"/>
  <c r="O12" i="12"/>
  <c r="O13" i="12"/>
  <c r="O14" i="12"/>
  <c r="O15" i="12"/>
  <c r="O16" i="12"/>
  <c r="O17" i="12"/>
  <c r="O18" i="12"/>
  <c r="O19" i="12"/>
  <c r="O20" i="12"/>
  <c r="O22" i="12"/>
  <c r="O23" i="12"/>
  <c r="O24" i="12"/>
  <c r="O26" i="12"/>
  <c r="O27" i="12"/>
  <c r="O28" i="12"/>
  <c r="O29" i="12"/>
  <c r="O30" i="12"/>
  <c r="O9" i="12"/>
  <c r="N29" i="12"/>
  <c r="Q29" i="12" s="1"/>
  <c r="K4" i="12"/>
  <c r="G31" i="12"/>
  <c r="G25" i="12" s="1"/>
  <c r="H31" i="12"/>
  <c r="H25" i="12" s="1"/>
  <c r="I31" i="12"/>
  <c r="I21" i="12" s="1"/>
  <c r="J31" i="12"/>
  <c r="J21" i="12" s="1"/>
  <c r="L31" i="12"/>
  <c r="L25" i="12" s="1"/>
  <c r="O25" i="12" s="1"/>
  <c r="K9" i="12"/>
  <c r="N9" i="12" s="1"/>
  <c r="Q9" i="12" s="1"/>
  <c r="K10" i="12"/>
  <c r="N10" i="12" s="1"/>
  <c r="K11" i="12"/>
  <c r="N11" i="12" s="1"/>
  <c r="K12" i="12"/>
  <c r="N12" i="12" s="1"/>
  <c r="K13" i="12"/>
  <c r="N13" i="12" s="1"/>
  <c r="Q13" i="12" s="1"/>
  <c r="K14" i="12"/>
  <c r="N14" i="12" s="1"/>
  <c r="Q14" i="12" s="1"/>
  <c r="K15" i="12"/>
  <c r="N15" i="12" s="1"/>
  <c r="K16" i="12"/>
  <c r="N16" i="12" s="1"/>
  <c r="K17" i="12"/>
  <c r="N17" i="12" s="1"/>
  <c r="Q17" i="12" s="1"/>
  <c r="K18" i="12"/>
  <c r="N18" i="12" s="1"/>
  <c r="K19" i="12"/>
  <c r="N19" i="12" s="1"/>
  <c r="K20" i="12"/>
  <c r="N20" i="12" s="1"/>
  <c r="K22" i="12"/>
  <c r="N22" i="12" s="1"/>
  <c r="K23" i="12"/>
  <c r="N23" i="12" s="1"/>
  <c r="Q23" i="12" s="1"/>
  <c r="K24" i="12"/>
  <c r="N24" i="12" s="1"/>
  <c r="K26" i="12"/>
  <c r="N26" i="12" s="1"/>
  <c r="K27" i="12"/>
  <c r="N27" i="12" s="1"/>
  <c r="Q27" i="12" s="1"/>
  <c r="K28" i="12"/>
  <c r="N28" i="12" s="1"/>
  <c r="K29" i="12"/>
  <c r="K30" i="12"/>
  <c r="N30" i="12" s="1"/>
  <c r="M31" i="12"/>
  <c r="F18" i="12"/>
  <c r="F19" i="12"/>
  <c r="F20" i="12"/>
  <c r="F21" i="12"/>
  <c r="F22" i="12"/>
  <c r="F23" i="12"/>
  <c r="F24" i="12"/>
  <c r="F25" i="12"/>
  <c r="F26" i="12"/>
  <c r="F27" i="12"/>
  <c r="F28" i="12"/>
  <c r="F29" i="12"/>
  <c r="F30" i="12"/>
  <c r="F9" i="12"/>
  <c r="F10" i="12"/>
  <c r="F11" i="12"/>
  <c r="F12" i="12"/>
  <c r="F13" i="12"/>
  <c r="F14" i="12"/>
  <c r="F15" i="12"/>
  <c r="F16" i="12"/>
  <c r="F17" i="12"/>
  <c r="E41" i="12"/>
  <c r="E42" i="12"/>
  <c r="E43" i="12"/>
  <c r="E44" i="12"/>
  <c r="E45" i="12"/>
  <c r="E46" i="12"/>
  <c r="E47" i="12"/>
  <c r="E48" i="12"/>
  <c r="E40" i="12"/>
  <c r="D41" i="12"/>
  <c r="D42" i="12"/>
  <c r="D43" i="12"/>
  <c r="D44" i="12"/>
  <c r="D45" i="12"/>
  <c r="D46" i="12"/>
  <c r="D47" i="12"/>
  <c r="D48" i="12"/>
  <c r="D40" i="12"/>
  <c r="I15" i="7"/>
  <c r="I16" i="7"/>
  <c r="I17" i="7"/>
  <c r="I18" i="7"/>
  <c r="I19" i="7"/>
  <c r="I20" i="7"/>
  <c r="I14" i="7"/>
  <c r="C3" i="7"/>
  <c r="C35" i="14" l="1"/>
  <c r="C34" i="14"/>
  <c r="C41" i="14"/>
  <c r="C33" i="14"/>
  <c r="C40" i="14"/>
  <c r="C32" i="14"/>
  <c r="C39" i="14"/>
  <c r="C31" i="14"/>
  <c r="C38" i="14"/>
  <c r="C30" i="14"/>
  <c r="C37" i="14"/>
  <c r="C36" i="14"/>
  <c r="Q26" i="12"/>
  <c r="Q16" i="12"/>
  <c r="Q24" i="12"/>
  <c r="Q15" i="12"/>
  <c r="Q20" i="12"/>
  <c r="Q12" i="12"/>
  <c r="Q19" i="12"/>
  <c r="Q11" i="12"/>
  <c r="Q28" i="12"/>
  <c r="Q18" i="12"/>
  <c r="Q10" i="12"/>
  <c r="K31" i="12"/>
  <c r="K25" i="12" s="1"/>
  <c r="N25" i="12" s="1"/>
  <c r="Q25" i="12" s="1"/>
  <c r="J25" i="12"/>
  <c r="G21" i="12"/>
  <c r="L21" i="12"/>
  <c r="O21" i="12" s="1"/>
  <c r="I25" i="12"/>
  <c r="H21" i="12"/>
  <c r="F44" i="12"/>
  <c r="F42" i="12"/>
  <c r="F40" i="12"/>
  <c r="F46" i="12"/>
  <c r="F45" i="12"/>
  <c r="F48" i="12"/>
  <c r="F47" i="12"/>
  <c r="F43" i="12"/>
  <c r="F41" i="12"/>
  <c r="E15" i="1"/>
  <c r="E19" i="1"/>
  <c r="E16" i="1"/>
  <c r="E17" i="1"/>
  <c r="C3" i="1"/>
  <c r="B18" i="1"/>
  <c r="E18" i="1" s="1"/>
  <c r="C14" i="1"/>
  <c r="B14" i="1"/>
  <c r="E14" i="1" s="1"/>
  <c r="K21" i="12" l="1"/>
  <c r="N21" i="12" s="1"/>
  <c r="F49" i="12"/>
  <c r="B6" i="14" s="1"/>
  <c r="C25" i="14" s="1"/>
  <c r="M21" i="12"/>
  <c r="P21" i="12" s="1"/>
  <c r="M22" i="12"/>
  <c r="P22" i="12" s="1"/>
  <c r="Q22" i="12" s="1"/>
  <c r="M30" i="12"/>
  <c r="P30" i="12" s="1"/>
  <c r="Q30" i="12" s="1"/>
  <c r="Q21" i="12" l="1"/>
  <c r="R21" i="12" l="1"/>
  <c r="R14" i="12"/>
  <c r="R25" i="12"/>
  <c r="R18" i="12"/>
  <c r="R15" i="12"/>
  <c r="R16" i="12"/>
  <c r="R19" i="12"/>
  <c r="R13" i="12"/>
  <c r="R10" i="12"/>
  <c r="R9" i="12"/>
  <c r="R27" i="12"/>
  <c r="R12" i="12"/>
  <c r="R11" i="12"/>
  <c r="R20" i="12"/>
  <c r="R29" i="12"/>
  <c r="R23" i="12"/>
  <c r="R26" i="12"/>
  <c r="R24" i="12"/>
  <c r="R28" i="12"/>
  <c r="R17" i="12"/>
  <c r="R22" i="12"/>
  <c r="R30" i="12"/>
  <c r="B14" i="14" l="1" a="1"/>
  <c r="E32" i="14" l="1"/>
  <c r="E40" i="14"/>
  <c r="E33" i="14"/>
  <c r="E41" i="14"/>
  <c r="E34" i="14"/>
  <c r="E35" i="14"/>
  <c r="E36" i="14"/>
  <c r="E30" i="14"/>
  <c r="E38" i="14"/>
  <c r="E39" i="14"/>
  <c r="E37" i="14"/>
  <c r="E31" i="14"/>
  <c r="B14" i="14"/>
  <c r="E29" i="14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<sst xmlns="http://schemas.openxmlformats.org/spreadsheetml/2006/main" count="155" uniqueCount="107">
  <si>
    <t>objective function</t>
  </si>
  <si>
    <t>x1</t>
  </si>
  <si>
    <t>x2</t>
  </si>
  <si>
    <t>x3</t>
  </si>
  <si>
    <t>value</t>
  </si>
  <si>
    <t>coeff</t>
  </si>
  <si>
    <t>constraints</t>
  </si>
  <si>
    <t>optimal value</t>
  </si>
  <si>
    <t>bound</t>
  </si>
  <si>
    <t>volume</t>
  </si>
  <si>
    <t>calories</t>
  </si>
  <si>
    <t>fat</t>
  </si>
  <si>
    <t>puff rice</t>
  </si>
  <si>
    <t>nuts</t>
  </si>
  <si>
    <t>Task 1 - Chanachur - Linear Programming</t>
  </si>
  <si>
    <t>Task 2 - Staff Roster - Integer Programming</t>
  </si>
  <si>
    <t>x4</t>
  </si>
  <si>
    <t>x5</t>
  </si>
  <si>
    <t>x6</t>
  </si>
  <si>
    <t>x7</t>
  </si>
  <si>
    <t>optimal cost =</t>
  </si>
  <si>
    <t>min</t>
  </si>
  <si>
    <t>optimal</t>
  </si>
  <si>
    <t>sun</t>
  </si>
  <si>
    <t>mon</t>
  </si>
  <si>
    <t>tue</t>
  </si>
  <si>
    <t>wed</t>
  </si>
  <si>
    <t>thu</t>
  </si>
  <si>
    <t>fri</t>
  </si>
  <si>
    <t>sat</t>
  </si>
  <si>
    <t xml:space="preserve">optimal cost = </t>
  </si>
  <si>
    <t>Task 3 - Research and Analysis</t>
  </si>
  <si>
    <t>Alkira Secondary College</t>
  </si>
  <si>
    <t>Berwick Secondary College</t>
  </si>
  <si>
    <t>St Peter's College</t>
  </si>
  <si>
    <t>Cranbourne East Secondary School</t>
  </si>
  <si>
    <t>Gleneagles Secondary College</t>
  </si>
  <si>
    <t>Hampton Park Secondary College</t>
  </si>
  <si>
    <t>Fountain Gate Secondary College</t>
  </si>
  <si>
    <t>Kambrya College</t>
  </si>
  <si>
    <t>Lyndhurst Secondary College</t>
  </si>
  <si>
    <t>Cranbourne West Secondary College</t>
  </si>
  <si>
    <t>Maranatha Christian School</t>
  </si>
  <si>
    <t>Casey Grammar School</t>
  </si>
  <si>
    <t>Doveton College</t>
  </si>
  <si>
    <t>Narre Warren South P-12 College</t>
  </si>
  <si>
    <t>Timbarra P-9 College</t>
  </si>
  <si>
    <t>Heritage College</t>
  </si>
  <si>
    <t>Beaconhills Christian College</t>
  </si>
  <si>
    <t>St Margaret's Berwick Grammar</t>
  </si>
  <si>
    <t>Hillcrest Christian College (2 campuses)</t>
  </si>
  <si>
    <t>Haileybury College ( 4 campuses)</t>
  </si>
  <si>
    <t>St Francis Xavier College ( 3 campuses)</t>
  </si>
  <si>
    <t>reading</t>
  </si>
  <si>
    <t>writing</t>
  </si>
  <si>
    <t>numeracy</t>
  </si>
  <si>
    <t>Hallam Secondary College</t>
  </si>
  <si>
    <t>2020 enrolments</t>
  </si>
  <si>
    <t>2020 recurrent funding per student ($)</t>
  </si>
  <si>
    <t>Non-Govt</t>
  </si>
  <si>
    <t>Govt</t>
  </si>
  <si>
    <t>2022 VCE median study score</t>
  </si>
  <si>
    <t>2020 FTE non-teaching staff</t>
  </si>
  <si>
    <t>&lt;-- median</t>
  </si>
  <si>
    <t>2020 total recurrent funding ($)</t>
  </si>
  <si>
    <t xml:space="preserve">2020 required funding ($) </t>
  </si>
  <si>
    <t>2020 SRS base funding per student ($)</t>
  </si>
  <si>
    <t>2020 surplus ($)</t>
  </si>
  <si>
    <t>total:</t>
  </si>
  <si>
    <t>literacy</t>
  </si>
  <si>
    <t>School funding</t>
  </si>
  <si>
    <t>&lt;-- budget</t>
  </si>
  <si>
    <t>2020 ratio non-teaching staff to students</t>
  </si>
  <si>
    <t>Data Collection and Wrangling</t>
  </si>
  <si>
    <t>School population and performance</t>
  </si>
  <si>
    <t>2021 year 9 raw naplan scores</t>
  </si>
  <si>
    <t>spelling</t>
  </si>
  <si>
    <t>grammar</t>
  </si>
  <si>
    <t>academic deficit score</t>
  </si>
  <si>
    <t>vic/aus avg:</t>
  </si>
  <si>
    <t>school score minus vic/aus average</t>
  </si>
  <si>
    <t>VCE study score</t>
  </si>
  <si>
    <t>academic deficit score - normalised</t>
  </si>
  <si>
    <t>Task 3 - Integer Programming Model</t>
  </si>
  <si>
    <t>x8</t>
  </si>
  <si>
    <t>x9</t>
  </si>
  <si>
    <t>x10</t>
  </si>
  <si>
    <t>x11</t>
  </si>
  <si>
    <t>x12</t>
  </si>
  <si>
    <t>x13</t>
  </si>
  <si>
    <t>budget</t>
  </si>
  <si>
    <t>staff ratio</t>
  </si>
  <si>
    <t>academic deficit</t>
  </si>
  <si>
    <t>optimal expenditure:</t>
  </si>
  <si>
    <t>parameters</t>
  </si>
  <si>
    <t>cost per TFE ES staff</t>
  </si>
  <si>
    <t>available budget</t>
  </si>
  <si>
    <t>enrolments</t>
  </si>
  <si>
    <t>initial non-teaching staff</t>
  </si>
  <si>
    <t>academic deficit (norm)</t>
  </si>
  <si>
    <t>decision variables</t>
  </si>
  <si>
    <t>target staff ratio</t>
  </si>
  <si>
    <t>school</t>
  </si>
  <si>
    <t>2020 FTE teaching staff</t>
  </si>
  <si>
    <t>teaching staff</t>
  </si>
  <si>
    <t>staff facilities</t>
  </si>
  <si>
    <t>staff growth limit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</si>
</sst>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0.000"/>
    <numFmt numFmtId="165" formatCode="0.0"/>
  </numFmts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i/>
      <sz val="12"/>
      <color rgb="FFFF0000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25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2" fontId="0" fillId="0" borderId="0" xfId="0" applyNumberFormat="1"/>
    <xf numFmtId="1" fontId="0" fillId="0" borderId="0" xfId="0" applyNumberFormat="1"/>
    <xf numFmtId="164" fontId="0" fillId="0" borderId="0" xfId="0" applyNumberFormat="1"/>
    <xf numFmtId="0" fontId="3" fillId="0" borderId="0" xfId="0" applyFont="1"/>
    <xf numFmtId="3" fontId="0" fillId="0" borderId="0" xfId="0" applyNumberFormat="1"/>
    <xf numFmtId="3" fontId="0" fillId="0" borderId="0" xfId="1" applyNumberFormat="1" applyFont="1"/>
    <xf numFmtId="3" fontId="0" fillId="0" borderId="0" xfId="1" applyNumberFormat="1" applyFont="1" applyAlignment="1"/>
    <xf numFmtId="0" fontId="1" fillId="0" borderId="0" xfId="0" applyFont="1" applyAlignment="1">
      <alignment horizontal="center" vertical="center" wrapText="1"/>
    </xf>
    <xf numFmtId="0" fontId="4" fillId="0" borderId="0" xfId="0" applyFont="1" applyAlignment="1">
      <alignment horizontal="right"/>
    </xf>
    <xf numFmtId="0" fontId="5" fillId="0" borderId="0" xfId="0" applyFont="1"/>
    <xf numFmtId="3" fontId="0" fillId="0" borderId="0" xfId="0" applyNumberFormat="1" applyAlignment="1">
      <alignment horizontal="right"/>
    </xf>
    <xf numFmtId="3" fontId="6" fillId="0" borderId="0" xfId="0" applyNumberFormat="1" applyFont="1"/>
    <xf numFmtId="1" fontId="4" fillId="0" borderId="0" xfId="0" applyNumberFormat="1" applyFont="1"/>
    <xf numFmtId="0" fontId="1" fillId="0" borderId="0" xfId="0" applyFont="1" applyAlignment="1">
      <alignment vertical="center" wrapText="1"/>
    </xf>
    <xf numFmtId="0" fontId="4" fillId="0" borderId="0" xfId="0" applyFont="1"/>
    <xf numFmtId="165" fontId="0" fillId="0" borderId="0" xfId="0" applyNumberFormat="1"/>
    <xf numFmtId="2" fontId="0" fillId="0" borderId="0" xfId="0" applyNumberFormat="1" applyAlignment="1">
      <alignment horizont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wrapText="1"/>
    </xf>
    <xf numFmtId="3" fontId="0" fillId="0" borderId="0" xfId="0" applyNumberFormat="1" applyAlignment="1">
      <alignment horizontal="right"/>
    </xf>
    <xf numFmtId="0" fontId="0" fillId="0" borderId="0" xfId="0" applyAlignment="1">
      <alignment horizontal="center"/>
    </xf>
    <xf numFmtId="3" fontId="0" fillId="0" borderId="0" xfId="0" applyNumberFormat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62E19D-C445-470E-963A-FE34E7B1E4D2}">
  <sheetPr>
    <tabColor theme="9" tint="0.59999389629810485"/>
  </sheetPr>
  <dimension ref="A1:F20"/>
  <sheetViews>
    <sheetView workbookViewId="0">
      <selection activeCell="I16" sqref="I16"/>
    </sheetView>
  </sheetViews>
  <sheetFormatPr defaultRowHeight="15.5" x14ac:dyDescent="0.35"/>
  <cols>
    <col min="2" max="4" width="6.4140625" customWidth="1"/>
    <col min="5" max="5" width="12.33203125" customWidth="1"/>
    <col min="6" max="6" width="7.58203125" customWidth="1"/>
  </cols>
  <sheetData>
    <row r="1" spans="1:6" ht="18.5" x14ac:dyDescent="0.45">
      <c r="A1" s="6" t="s">
        <v>14</v>
      </c>
    </row>
    <row r="3" spans="1:6" x14ac:dyDescent="0.35">
      <c r="A3" t="s">
        <v>30</v>
      </c>
      <c r="C3">
        <f>SUMPRODUCT(B8:D8,B9:D9)</f>
        <v>1.3625</v>
      </c>
    </row>
    <row r="5" spans="1:6" x14ac:dyDescent="0.35">
      <c r="A5" t="s">
        <v>0</v>
      </c>
    </row>
    <row r="7" spans="1:6" x14ac:dyDescent="0.35">
      <c r="B7" s="2" t="s">
        <v>1</v>
      </c>
      <c r="C7" s="2" t="s">
        <v>2</v>
      </c>
      <c r="D7" s="2" t="s">
        <v>3</v>
      </c>
    </row>
    <row r="8" spans="1:6" x14ac:dyDescent="0.35">
      <c r="A8" t="s">
        <v>4</v>
      </c>
      <c r="B8">
        <v>2.4000000000000004</v>
      </c>
      <c r="C8">
        <v>9.9999999999999867E-2</v>
      </c>
      <c r="D8">
        <v>2.3625000000000003</v>
      </c>
    </row>
    <row r="9" spans="1:6" x14ac:dyDescent="0.35">
      <c r="A9" t="s">
        <v>5</v>
      </c>
      <c r="B9">
        <v>0.35</v>
      </c>
      <c r="C9">
        <v>0.5</v>
      </c>
      <c r="D9">
        <v>0.2</v>
      </c>
    </row>
    <row r="11" spans="1:6" x14ac:dyDescent="0.35">
      <c r="A11" t="s">
        <v>6</v>
      </c>
    </row>
    <row r="13" spans="1:6" x14ac:dyDescent="0.35">
      <c r="B13" s="2" t="s">
        <v>1</v>
      </c>
      <c r="C13" s="2" t="s">
        <v>2</v>
      </c>
      <c r="D13" s="2" t="s">
        <v>3</v>
      </c>
      <c r="E13" s="2" t="s">
        <v>7</v>
      </c>
      <c r="F13" s="2" t="s">
        <v>8</v>
      </c>
    </row>
    <row r="14" spans="1:6" x14ac:dyDescent="0.35">
      <c r="A14" t="s">
        <v>9</v>
      </c>
      <c r="B14" s="3">
        <f>-1/4</f>
        <v>-0.25</v>
      </c>
      <c r="C14" s="5">
        <f>-3/8</f>
        <v>-0.375</v>
      </c>
      <c r="D14" s="4">
        <v>-1</v>
      </c>
      <c r="E14">
        <f>SUMPRODUCT($B$8:$D$8, B14:D14)</f>
        <v>-3.0000000000000004</v>
      </c>
      <c r="F14" s="4">
        <v>-3</v>
      </c>
    </row>
    <row r="15" spans="1:6" x14ac:dyDescent="0.35">
      <c r="A15" t="s">
        <v>9</v>
      </c>
      <c r="B15" s="3">
        <v>0.25</v>
      </c>
      <c r="C15" s="5">
        <v>0.375</v>
      </c>
      <c r="D15" s="4">
        <v>1</v>
      </c>
      <c r="E15">
        <f t="shared" ref="E15" si="0">SUMPRODUCT($B$8:$D$8, B15:D15)</f>
        <v>3.0000000000000004</v>
      </c>
      <c r="F15" s="4">
        <v>4</v>
      </c>
    </row>
    <row r="16" spans="1:6" x14ac:dyDescent="0.35">
      <c r="A16" t="s">
        <v>10</v>
      </c>
      <c r="B16">
        <v>150</v>
      </c>
      <c r="C16">
        <v>400</v>
      </c>
      <c r="D16">
        <v>50</v>
      </c>
      <c r="E16">
        <f>SUMPRODUCT($B$8:$D$8, B16:D16)</f>
        <v>518.125</v>
      </c>
      <c r="F16">
        <v>1000</v>
      </c>
    </row>
    <row r="17" spans="1:6" x14ac:dyDescent="0.35">
      <c r="A17" t="s">
        <v>11</v>
      </c>
      <c r="C17">
        <v>10</v>
      </c>
      <c r="D17">
        <v>1</v>
      </c>
      <c r="E17">
        <f>SUMPRODUCT($B$8:$D$8, B17:D17)</f>
        <v>3.3624999999999989</v>
      </c>
      <c r="F17">
        <v>25</v>
      </c>
    </row>
    <row r="18" spans="1:6" x14ac:dyDescent="0.35">
      <c r="A18" t="s">
        <v>12</v>
      </c>
      <c r="B18" s="3">
        <f>-1/5</f>
        <v>-0.2</v>
      </c>
      <c r="C18" s="5">
        <v>7.4999999999999997E-2</v>
      </c>
      <c r="D18" s="3">
        <v>0.2</v>
      </c>
      <c r="E18">
        <f>SUMPRODUCT($B$8:$D$8, B18:D18)</f>
        <v>0</v>
      </c>
      <c r="F18">
        <v>0</v>
      </c>
    </row>
    <row r="19" spans="1:6" x14ac:dyDescent="0.35">
      <c r="A19" t="s">
        <v>13</v>
      </c>
      <c r="B19" s="3">
        <v>-0.15</v>
      </c>
      <c r="C19" s="5">
        <v>0.85</v>
      </c>
      <c r="D19" s="3">
        <v>-0.15</v>
      </c>
      <c r="E19">
        <f>SUMPRODUCT($B$8:$D$8, B19:D19)</f>
        <v>-0.62937500000000024</v>
      </c>
      <c r="F19">
        <v>0</v>
      </c>
    </row>
    <row r="20" spans="1:6" x14ac:dyDescent="0.35">
      <c r="A20" t="s">
        <v>13</v>
      </c>
      <c r="B20" s="3">
        <v>0</v>
      </c>
      <c r="C20" s="5">
        <v>-1</v>
      </c>
      <c r="D20">
        <v>0</v>
      </c>
      <c r="E20">
        <f>SUMPRODUCT($B$8:$D$8, B20:D20)</f>
        <v>-9.9999999999999867E-2</v>
      </c>
      <c r="F20">
        <v>-0.1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20A867-E7CD-4E2A-B79B-958F5160BFCC}">
  <sheetPr>
    <tabColor theme="9" tint="0.59999389629810485"/>
  </sheetPr>
  <dimension ref="A1:J20"/>
  <sheetViews>
    <sheetView workbookViewId="0">
      <selection activeCell="K14" sqref="K14"/>
    </sheetView>
  </sheetViews>
  <sheetFormatPr defaultRowHeight="15.5" x14ac:dyDescent="0.35"/>
  <cols>
    <col min="2" max="8" width="6.08203125" customWidth="1"/>
    <col min="9" max="9" width="7.75" customWidth="1"/>
    <col min="10" max="10" width="6.08203125" customWidth="1"/>
  </cols>
  <sheetData>
    <row r="1" spans="1:10" ht="18.5" x14ac:dyDescent="0.45">
      <c r="A1" s="6" t="s">
        <v>15</v>
      </c>
    </row>
    <row r="3" spans="1:10" x14ac:dyDescent="0.35">
      <c r="A3" t="s">
        <v>20</v>
      </c>
      <c r="C3">
        <f>SUMPRODUCT(B8:H8,B9:H9)</f>
        <v>22410</v>
      </c>
    </row>
    <row r="5" spans="1:10" x14ac:dyDescent="0.35">
      <c r="A5" t="s">
        <v>0</v>
      </c>
    </row>
    <row r="7" spans="1:10" x14ac:dyDescent="0.35">
      <c r="B7" s="2" t="s">
        <v>1</v>
      </c>
      <c r="C7" s="2" t="s">
        <v>2</v>
      </c>
      <c r="D7" s="2" t="s">
        <v>3</v>
      </c>
      <c r="E7" s="2" t="s">
        <v>16</v>
      </c>
      <c r="F7" s="2" t="s">
        <v>17</v>
      </c>
      <c r="G7" s="2" t="s">
        <v>18</v>
      </c>
      <c r="H7" s="2" t="s">
        <v>19</v>
      </c>
    </row>
    <row r="8" spans="1:10" x14ac:dyDescent="0.35">
      <c r="A8" t="s">
        <v>4</v>
      </c>
      <c r="B8">
        <v>5</v>
      </c>
      <c r="C8">
        <v>8</v>
      </c>
      <c r="D8">
        <v>3</v>
      </c>
      <c r="E8">
        <v>1</v>
      </c>
      <c r="F8">
        <v>4</v>
      </c>
      <c r="G8">
        <v>2</v>
      </c>
      <c r="H8">
        <v>3</v>
      </c>
    </row>
    <row r="9" spans="1:10" x14ac:dyDescent="0.35">
      <c r="A9" t="s">
        <v>5</v>
      </c>
      <c r="B9">
        <v>900</v>
      </c>
      <c r="C9">
        <v>850</v>
      </c>
      <c r="D9">
        <v>920</v>
      </c>
      <c r="E9">
        <v>860</v>
      </c>
      <c r="F9">
        <v>780</v>
      </c>
      <c r="G9">
        <v>910</v>
      </c>
      <c r="H9">
        <v>850</v>
      </c>
    </row>
    <row r="11" spans="1:10" x14ac:dyDescent="0.35">
      <c r="A11" t="s">
        <v>6</v>
      </c>
    </row>
    <row r="13" spans="1:10" x14ac:dyDescent="0.35">
      <c r="B13" s="2" t="s">
        <v>1</v>
      </c>
      <c r="C13" s="2" t="s">
        <v>2</v>
      </c>
      <c r="D13" s="2" t="s">
        <v>3</v>
      </c>
      <c r="E13" s="2" t="s">
        <v>16</v>
      </c>
      <c r="F13" s="2" t="s">
        <v>17</v>
      </c>
      <c r="G13" s="2" t="s">
        <v>18</v>
      </c>
      <c r="H13" s="2" t="s">
        <v>19</v>
      </c>
      <c r="I13" s="2" t="s">
        <v>22</v>
      </c>
      <c r="J13" s="2" t="s">
        <v>21</v>
      </c>
    </row>
    <row r="14" spans="1:10" x14ac:dyDescent="0.35">
      <c r="A14" t="s">
        <v>23</v>
      </c>
      <c r="C14">
        <v>1</v>
      </c>
      <c r="D14">
        <v>1</v>
      </c>
      <c r="E14">
        <v>1</v>
      </c>
      <c r="F14">
        <v>1</v>
      </c>
      <c r="G14">
        <v>1</v>
      </c>
      <c r="I14">
        <f>SUMPRODUCT($B$8:$H$8,B14:H14)</f>
        <v>18</v>
      </c>
      <c r="J14">
        <v>18</v>
      </c>
    </row>
    <row r="15" spans="1:10" x14ac:dyDescent="0.35">
      <c r="A15" t="s">
        <v>24</v>
      </c>
      <c r="D15">
        <v>1</v>
      </c>
      <c r="E15">
        <v>1</v>
      </c>
      <c r="F15">
        <v>1</v>
      </c>
      <c r="G15">
        <v>1</v>
      </c>
      <c r="H15">
        <v>1</v>
      </c>
      <c r="I15">
        <f t="shared" ref="I15:I20" si="0">SUMPRODUCT($B$8:$H$8,B15:H15)</f>
        <v>13</v>
      </c>
      <c r="J15">
        <v>13</v>
      </c>
    </row>
    <row r="16" spans="1:10" x14ac:dyDescent="0.35">
      <c r="A16" t="s">
        <v>25</v>
      </c>
      <c r="B16">
        <v>1</v>
      </c>
      <c r="E16">
        <v>1</v>
      </c>
      <c r="F16">
        <v>1</v>
      </c>
      <c r="G16">
        <v>1</v>
      </c>
      <c r="H16">
        <v>1</v>
      </c>
      <c r="I16">
        <f t="shared" si="0"/>
        <v>15</v>
      </c>
      <c r="J16">
        <v>15</v>
      </c>
    </row>
    <row r="17" spans="1:10" x14ac:dyDescent="0.35">
      <c r="A17" t="s">
        <v>26</v>
      </c>
      <c r="B17">
        <v>1</v>
      </c>
      <c r="C17">
        <v>1</v>
      </c>
      <c r="F17">
        <v>1</v>
      </c>
      <c r="G17">
        <v>1</v>
      </c>
      <c r="H17">
        <v>1</v>
      </c>
      <c r="I17">
        <f t="shared" si="0"/>
        <v>22</v>
      </c>
      <c r="J17">
        <v>18</v>
      </c>
    </row>
    <row r="18" spans="1:10" x14ac:dyDescent="0.35">
      <c r="A18" t="s">
        <v>27</v>
      </c>
      <c r="B18">
        <v>1</v>
      </c>
      <c r="C18">
        <v>1</v>
      </c>
      <c r="D18">
        <v>1</v>
      </c>
      <c r="G18">
        <v>1</v>
      </c>
      <c r="H18">
        <v>1</v>
      </c>
      <c r="I18">
        <f t="shared" si="0"/>
        <v>21</v>
      </c>
      <c r="J18">
        <v>21</v>
      </c>
    </row>
    <row r="19" spans="1:10" x14ac:dyDescent="0.35">
      <c r="A19" t="s">
        <v>28</v>
      </c>
      <c r="B19">
        <v>1</v>
      </c>
      <c r="C19">
        <v>1</v>
      </c>
      <c r="D19">
        <v>1</v>
      </c>
      <c r="E19">
        <v>1</v>
      </c>
      <c r="H19">
        <v>1</v>
      </c>
      <c r="I19">
        <f t="shared" si="0"/>
        <v>20</v>
      </c>
      <c r="J19">
        <v>18</v>
      </c>
    </row>
    <row r="20" spans="1:10" x14ac:dyDescent="0.35">
      <c r="A20" t="s">
        <v>29</v>
      </c>
      <c r="B20">
        <v>1</v>
      </c>
      <c r="C20">
        <v>1</v>
      </c>
      <c r="D20">
        <v>1</v>
      </c>
      <c r="E20">
        <v>1</v>
      </c>
      <c r="F20">
        <v>1</v>
      </c>
      <c r="I20">
        <f t="shared" si="0"/>
        <v>21</v>
      </c>
      <c r="J20">
        <v>21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903A60-8BB6-4E47-90D1-364626DC8C8F}">
  <sheetPr>
    <tabColor theme="9" tint="0.59999389629810485"/>
  </sheetPr>
  <dimension ref="A1:S49"/>
  <sheetViews>
    <sheetView topLeftCell="A14" workbookViewId="0">
      <selection activeCell="B24" sqref="B24"/>
    </sheetView>
  </sheetViews>
  <sheetFormatPr defaultRowHeight="15.5" x14ac:dyDescent="0.35"/>
  <cols>
    <col min="1" max="1" width="10.25" customWidth="1"/>
    <col min="2" max="2" width="33.25" bestFit="1" customWidth="1"/>
    <col min="3" max="3" width="14.1640625" customWidth="1"/>
    <col min="4" max="4" width="13.08203125" customWidth="1"/>
    <col min="5" max="5" width="13.9140625" customWidth="1"/>
    <col min="6" max="6" width="12" customWidth="1"/>
    <col min="7" max="8" width="10.08203125" customWidth="1"/>
    <col min="9" max="9" width="11.08203125" customWidth="1"/>
    <col min="10" max="11" width="10.08203125" customWidth="1"/>
    <col min="12" max="12" width="11.1640625" customWidth="1"/>
    <col min="13" max="13" width="8.33203125" customWidth="1"/>
    <col min="14" max="14" width="9.33203125" customWidth="1"/>
    <col min="15" max="15" width="14.83203125" customWidth="1"/>
    <col min="16" max="16" width="11" customWidth="1"/>
    <col min="17" max="17" width="12.75" customWidth="1"/>
    <col min="18" max="18" width="14" customWidth="1"/>
    <col min="19" max="19" width="13.58203125" customWidth="1"/>
  </cols>
  <sheetData>
    <row r="1" spans="1:19" ht="18.5" x14ac:dyDescent="0.45">
      <c r="A1" s="6" t="s">
        <v>31</v>
      </c>
      <c r="C1" s="6"/>
      <c r="D1" s="6"/>
    </row>
    <row r="2" spans="1:19" ht="18.5" x14ac:dyDescent="0.45">
      <c r="A2" s="6" t="s">
        <v>73</v>
      </c>
      <c r="C2" s="6"/>
      <c r="D2" s="6"/>
    </row>
    <row r="4" spans="1:19" ht="18.5" x14ac:dyDescent="0.45">
      <c r="A4" s="6" t="s">
        <v>74</v>
      </c>
      <c r="F4" t="s">
        <v>79</v>
      </c>
      <c r="G4">
        <v>577</v>
      </c>
      <c r="H4">
        <v>551</v>
      </c>
      <c r="I4">
        <v>580</v>
      </c>
      <c r="J4">
        <v>573</v>
      </c>
      <c r="K4" s="4">
        <f>AVERAGE(G4:J4)</f>
        <v>570.25</v>
      </c>
      <c r="L4">
        <v>588</v>
      </c>
      <c r="M4">
        <v>30</v>
      </c>
    </row>
    <row r="6" spans="1:19" ht="15.5" customHeight="1" x14ac:dyDescent="0.35">
      <c r="C6" s="20" t="s">
        <v>57</v>
      </c>
      <c r="D6" s="20" t="s">
        <v>103</v>
      </c>
      <c r="E6" s="20" t="s">
        <v>62</v>
      </c>
      <c r="F6" s="21" t="s">
        <v>72</v>
      </c>
      <c r="G6" s="20" t="s">
        <v>75</v>
      </c>
      <c r="H6" s="20"/>
      <c r="I6" s="20"/>
      <c r="J6" s="20"/>
      <c r="K6" s="20"/>
      <c r="L6" s="20"/>
      <c r="M6" s="20" t="s">
        <v>61</v>
      </c>
      <c r="N6" s="20" t="s">
        <v>80</v>
      </c>
      <c r="O6" s="20"/>
      <c r="P6" s="20"/>
      <c r="Q6" s="20" t="s">
        <v>78</v>
      </c>
      <c r="R6" s="20" t="s">
        <v>82</v>
      </c>
    </row>
    <row r="7" spans="1:19" ht="15.5" customHeight="1" x14ac:dyDescent="0.35">
      <c r="C7" s="20"/>
      <c r="D7" s="20"/>
      <c r="E7" s="20"/>
      <c r="F7" s="21"/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</row>
    <row r="8" spans="1:19" ht="31" x14ac:dyDescent="0.35">
      <c r="C8" s="20"/>
      <c r="D8" s="20"/>
      <c r="E8" s="20"/>
      <c r="F8" s="21"/>
      <c r="G8" s="16" t="s">
        <v>53</v>
      </c>
      <c r="H8" s="10" t="s">
        <v>54</v>
      </c>
      <c r="I8" s="10" t="s">
        <v>76</v>
      </c>
      <c r="J8" s="10" t="s">
        <v>77</v>
      </c>
      <c r="K8" s="10" t="s">
        <v>69</v>
      </c>
      <c r="L8" s="10" t="s">
        <v>55</v>
      </c>
      <c r="M8" s="20"/>
      <c r="N8" s="10" t="s">
        <v>69</v>
      </c>
      <c r="O8" s="10" t="s">
        <v>55</v>
      </c>
      <c r="P8" s="10" t="s">
        <v>81</v>
      </c>
      <c r="Q8" s="20"/>
      <c r="R8" s="20"/>
    </row>
    <row r="9" spans="1:19" x14ac:dyDescent="0.35">
      <c r="A9" s="1" t="s">
        <v>59</v>
      </c>
      <c r="B9" t="s">
        <v>48</v>
      </c>
      <c r="C9">
        <v>2928</v>
      </c>
      <c r="D9" s="18">
        <v>232.2</v>
      </c>
      <c r="E9">
        <v>111</v>
      </c>
      <c r="F9" s="4">
        <f t="shared" ref="F9:F30" si="0">C9/E9</f>
        <v>26.378378378378379</v>
      </c>
      <c r="G9">
        <v>581</v>
      </c>
      <c r="H9">
        <v>546</v>
      </c>
      <c r="I9">
        <v>591</v>
      </c>
      <c r="J9">
        <v>592</v>
      </c>
      <c r="K9" s="4">
        <f t="shared" ref="K9:K20" si="1">AVERAGE(G9:J9)</f>
        <v>577.5</v>
      </c>
      <c r="L9">
        <v>591</v>
      </c>
      <c r="M9">
        <v>31</v>
      </c>
      <c r="N9" s="4">
        <f>K9-$K$4</f>
        <v>7.25</v>
      </c>
      <c r="O9">
        <f>L9-$L$4</f>
        <v>3</v>
      </c>
      <c r="P9">
        <f>M9-$M$4</f>
        <v>1</v>
      </c>
      <c r="Q9" s="4">
        <f>IF(SUM(N9:P9) &gt;= 0, 0, -SUM(N9:P9))</f>
        <v>0</v>
      </c>
      <c r="R9" s="3">
        <f t="shared" ref="R9:R30" si="2">Q9/SUM($Q$9:$Q$30)</f>
        <v>0</v>
      </c>
      <c r="S9" s="4"/>
    </row>
    <row r="10" spans="1:19" x14ac:dyDescent="0.35">
      <c r="B10" t="s">
        <v>43</v>
      </c>
      <c r="C10" s="7">
        <v>973</v>
      </c>
      <c r="D10" s="18">
        <v>67.7</v>
      </c>
      <c r="E10">
        <v>33.700000000000003</v>
      </c>
      <c r="F10" s="4">
        <f t="shared" si="0"/>
        <v>28.872403560830858</v>
      </c>
      <c r="G10" s="4">
        <v>603</v>
      </c>
      <c r="H10">
        <v>591</v>
      </c>
      <c r="I10">
        <v>600</v>
      </c>
      <c r="J10" s="7">
        <v>609</v>
      </c>
      <c r="K10" s="4">
        <f t="shared" si="1"/>
        <v>600.75</v>
      </c>
      <c r="L10">
        <v>612</v>
      </c>
      <c r="M10">
        <v>29</v>
      </c>
      <c r="N10" s="4">
        <f t="shared" ref="N10:N30" si="3">K10-$K$4</f>
        <v>30.5</v>
      </c>
      <c r="O10">
        <f t="shared" ref="O10:O30" si="4">L10-$L$4</f>
        <v>24</v>
      </c>
      <c r="P10">
        <f t="shared" ref="P10:P30" si="5">M10-$M$4</f>
        <v>-1</v>
      </c>
      <c r="Q10" s="4">
        <f t="shared" ref="Q10:Q30" si="6">IF(SUM(N10:P10) &gt;= 0, 0, -SUM(N10:P10))</f>
        <v>0</v>
      </c>
      <c r="R10" s="3">
        <f t="shared" si="2"/>
        <v>0</v>
      </c>
    </row>
    <row r="11" spans="1:19" x14ac:dyDescent="0.35">
      <c r="B11" t="s">
        <v>51</v>
      </c>
      <c r="C11" s="7">
        <v>4206</v>
      </c>
      <c r="D11" s="18">
        <v>45.5</v>
      </c>
      <c r="E11">
        <v>226.7</v>
      </c>
      <c r="F11" s="4">
        <f t="shared" si="0"/>
        <v>18.553153947948832</v>
      </c>
      <c r="G11" s="4">
        <v>646</v>
      </c>
      <c r="H11">
        <v>623</v>
      </c>
      <c r="I11">
        <v>633</v>
      </c>
      <c r="J11">
        <v>658</v>
      </c>
      <c r="K11" s="4">
        <f t="shared" si="1"/>
        <v>640</v>
      </c>
      <c r="L11">
        <v>682</v>
      </c>
      <c r="M11">
        <v>36</v>
      </c>
      <c r="N11" s="4">
        <f t="shared" si="3"/>
        <v>69.75</v>
      </c>
      <c r="O11">
        <f t="shared" si="4"/>
        <v>94</v>
      </c>
      <c r="P11">
        <f t="shared" si="5"/>
        <v>6</v>
      </c>
      <c r="Q11" s="4">
        <f t="shared" si="6"/>
        <v>0</v>
      </c>
      <c r="R11" s="3">
        <f t="shared" si="2"/>
        <v>0</v>
      </c>
    </row>
    <row r="12" spans="1:19" x14ac:dyDescent="0.35">
      <c r="B12" t="s">
        <v>47</v>
      </c>
      <c r="C12" s="7">
        <v>413</v>
      </c>
      <c r="D12" s="18">
        <v>34.5</v>
      </c>
      <c r="E12">
        <v>19.7</v>
      </c>
      <c r="F12" s="4">
        <f t="shared" si="0"/>
        <v>20.964467005076141</v>
      </c>
      <c r="G12">
        <v>587</v>
      </c>
      <c r="H12">
        <v>541</v>
      </c>
      <c r="I12">
        <v>580</v>
      </c>
      <c r="J12">
        <v>567</v>
      </c>
      <c r="K12" s="4">
        <f t="shared" si="1"/>
        <v>568.75</v>
      </c>
      <c r="L12">
        <v>560</v>
      </c>
      <c r="M12">
        <v>26</v>
      </c>
      <c r="N12" s="4">
        <f t="shared" si="3"/>
        <v>-1.5</v>
      </c>
      <c r="O12">
        <f t="shared" si="4"/>
        <v>-28</v>
      </c>
      <c r="P12">
        <f t="shared" si="5"/>
        <v>-4</v>
      </c>
      <c r="Q12" s="4">
        <f t="shared" si="6"/>
        <v>33.5</v>
      </c>
      <c r="R12" s="3">
        <f t="shared" si="2"/>
        <v>7.93368857312019E-2</v>
      </c>
    </row>
    <row r="13" spans="1:19" x14ac:dyDescent="0.35">
      <c r="B13" t="s">
        <v>50</v>
      </c>
      <c r="C13" s="7">
        <v>1819</v>
      </c>
      <c r="D13" s="18">
        <v>123.2</v>
      </c>
      <c r="E13">
        <v>81.599999999999994</v>
      </c>
      <c r="F13" s="4">
        <f t="shared" si="0"/>
        <v>22.291666666666668</v>
      </c>
      <c r="G13">
        <v>593</v>
      </c>
      <c r="H13">
        <v>566</v>
      </c>
      <c r="I13">
        <v>606</v>
      </c>
      <c r="J13">
        <v>603</v>
      </c>
      <c r="K13" s="4">
        <f t="shared" si="1"/>
        <v>592</v>
      </c>
      <c r="L13">
        <v>592</v>
      </c>
      <c r="M13">
        <v>30</v>
      </c>
      <c r="N13" s="4">
        <f t="shared" si="3"/>
        <v>21.75</v>
      </c>
      <c r="O13">
        <f t="shared" si="4"/>
        <v>4</v>
      </c>
      <c r="P13">
        <f t="shared" si="5"/>
        <v>0</v>
      </c>
      <c r="Q13" s="4">
        <f t="shared" si="6"/>
        <v>0</v>
      </c>
      <c r="R13" s="3">
        <f t="shared" si="2"/>
        <v>0</v>
      </c>
    </row>
    <row r="14" spans="1:19" x14ac:dyDescent="0.35">
      <c r="B14" t="s">
        <v>42</v>
      </c>
      <c r="C14" s="7">
        <v>683</v>
      </c>
      <c r="D14" s="18">
        <v>50.5</v>
      </c>
      <c r="E14">
        <v>32.9</v>
      </c>
      <c r="F14" s="4">
        <f t="shared" si="0"/>
        <v>20.759878419452889</v>
      </c>
      <c r="G14">
        <v>603</v>
      </c>
      <c r="H14">
        <v>572</v>
      </c>
      <c r="I14">
        <v>597</v>
      </c>
      <c r="J14">
        <v>607</v>
      </c>
      <c r="K14" s="4">
        <f t="shared" si="1"/>
        <v>594.75</v>
      </c>
      <c r="L14">
        <v>625</v>
      </c>
      <c r="M14">
        <v>31</v>
      </c>
      <c r="N14" s="4">
        <f t="shared" si="3"/>
        <v>24.5</v>
      </c>
      <c r="O14">
        <f t="shared" si="4"/>
        <v>37</v>
      </c>
      <c r="P14">
        <f t="shared" si="5"/>
        <v>1</v>
      </c>
      <c r="Q14" s="4">
        <f t="shared" si="6"/>
        <v>0</v>
      </c>
      <c r="R14" s="3">
        <f t="shared" si="2"/>
        <v>0</v>
      </c>
    </row>
    <row r="15" spans="1:19" x14ac:dyDescent="0.35">
      <c r="B15" t="s">
        <v>52</v>
      </c>
      <c r="C15" s="7">
        <v>3296</v>
      </c>
      <c r="D15" s="18">
        <v>270.89999999999998</v>
      </c>
      <c r="E15">
        <v>163</v>
      </c>
      <c r="F15" s="4">
        <f t="shared" si="0"/>
        <v>20.220858895705522</v>
      </c>
      <c r="G15">
        <v>580</v>
      </c>
      <c r="H15">
        <v>570</v>
      </c>
      <c r="I15">
        <v>575</v>
      </c>
      <c r="J15">
        <v>570</v>
      </c>
      <c r="K15" s="4">
        <f t="shared" si="1"/>
        <v>573.75</v>
      </c>
      <c r="L15">
        <v>582</v>
      </c>
      <c r="M15">
        <v>29</v>
      </c>
      <c r="N15" s="4">
        <f t="shared" si="3"/>
        <v>3.5</v>
      </c>
      <c r="O15">
        <f t="shared" si="4"/>
        <v>-6</v>
      </c>
      <c r="P15">
        <f t="shared" si="5"/>
        <v>-1</v>
      </c>
      <c r="Q15" s="4">
        <f t="shared" si="6"/>
        <v>3.5</v>
      </c>
      <c r="R15" s="3">
        <f t="shared" si="2"/>
        <v>8.2889283599763171E-3</v>
      </c>
    </row>
    <row r="16" spans="1:19" x14ac:dyDescent="0.35">
      <c r="B16" t="s">
        <v>49</v>
      </c>
      <c r="C16" s="7">
        <v>792</v>
      </c>
      <c r="D16" s="18">
        <v>100.8</v>
      </c>
      <c r="E16">
        <v>42.6</v>
      </c>
      <c r="F16" s="4">
        <f t="shared" si="0"/>
        <v>18.591549295774648</v>
      </c>
      <c r="G16">
        <v>616</v>
      </c>
      <c r="H16">
        <v>599</v>
      </c>
      <c r="I16">
        <v>595</v>
      </c>
      <c r="J16">
        <v>603</v>
      </c>
      <c r="K16" s="4">
        <f t="shared" si="1"/>
        <v>603.25</v>
      </c>
      <c r="L16">
        <v>635</v>
      </c>
      <c r="M16">
        <v>34</v>
      </c>
      <c r="N16" s="4">
        <f t="shared" si="3"/>
        <v>33</v>
      </c>
      <c r="O16">
        <f t="shared" si="4"/>
        <v>47</v>
      </c>
      <c r="P16">
        <f t="shared" si="5"/>
        <v>4</v>
      </c>
      <c r="Q16" s="4">
        <f t="shared" si="6"/>
        <v>0</v>
      </c>
      <c r="R16" s="3">
        <f t="shared" si="2"/>
        <v>0</v>
      </c>
    </row>
    <row r="17" spans="1:18" x14ac:dyDescent="0.35">
      <c r="B17" t="s">
        <v>34</v>
      </c>
      <c r="C17" s="7">
        <v>1637</v>
      </c>
      <c r="D17" s="18">
        <v>142.69999999999999</v>
      </c>
      <c r="E17">
        <v>61.8</v>
      </c>
      <c r="F17" s="4">
        <f t="shared" si="0"/>
        <v>26.488673139158578</v>
      </c>
      <c r="G17">
        <v>580</v>
      </c>
      <c r="H17">
        <v>556</v>
      </c>
      <c r="I17">
        <v>586</v>
      </c>
      <c r="J17">
        <v>569</v>
      </c>
      <c r="K17" s="4">
        <f t="shared" si="1"/>
        <v>572.75</v>
      </c>
      <c r="L17">
        <v>574</v>
      </c>
      <c r="M17">
        <v>27</v>
      </c>
      <c r="N17" s="4">
        <f t="shared" si="3"/>
        <v>2.5</v>
      </c>
      <c r="O17">
        <f t="shared" si="4"/>
        <v>-14</v>
      </c>
      <c r="P17">
        <f t="shared" si="5"/>
        <v>-3</v>
      </c>
      <c r="Q17" s="4">
        <f t="shared" si="6"/>
        <v>14.5</v>
      </c>
      <c r="R17" s="3">
        <f t="shared" si="2"/>
        <v>3.4339846062759027E-2</v>
      </c>
    </row>
    <row r="18" spans="1:18" x14ac:dyDescent="0.35">
      <c r="A18" s="1" t="s">
        <v>60</v>
      </c>
      <c r="B18" t="s">
        <v>32</v>
      </c>
      <c r="C18">
        <v>1482</v>
      </c>
      <c r="D18" s="18">
        <v>97</v>
      </c>
      <c r="E18">
        <v>25.6</v>
      </c>
      <c r="F18" s="4">
        <f t="shared" si="0"/>
        <v>57.890625</v>
      </c>
      <c r="G18">
        <v>567</v>
      </c>
      <c r="H18">
        <v>537</v>
      </c>
      <c r="I18">
        <v>582</v>
      </c>
      <c r="J18">
        <v>565</v>
      </c>
      <c r="K18" s="4">
        <f t="shared" si="1"/>
        <v>562.75</v>
      </c>
      <c r="L18">
        <v>575</v>
      </c>
      <c r="M18">
        <v>29</v>
      </c>
      <c r="N18" s="4">
        <f t="shared" si="3"/>
        <v>-7.5</v>
      </c>
      <c r="O18">
        <f t="shared" si="4"/>
        <v>-13</v>
      </c>
      <c r="P18">
        <f t="shared" si="5"/>
        <v>-1</v>
      </c>
      <c r="Q18" s="4">
        <f t="shared" si="6"/>
        <v>21.5</v>
      </c>
      <c r="R18" s="3">
        <f t="shared" si="2"/>
        <v>5.0917702782711662E-2</v>
      </c>
    </row>
    <row r="19" spans="1:18" x14ac:dyDescent="0.35">
      <c r="B19" t="s">
        <v>33</v>
      </c>
      <c r="C19">
        <v>1640</v>
      </c>
      <c r="D19" s="18">
        <v>126.3</v>
      </c>
      <c r="E19">
        <v>33.5</v>
      </c>
      <c r="F19" s="4">
        <f t="shared" si="0"/>
        <v>48.955223880597018</v>
      </c>
      <c r="G19">
        <v>567</v>
      </c>
      <c r="H19">
        <v>541</v>
      </c>
      <c r="I19">
        <v>577</v>
      </c>
      <c r="J19">
        <v>570</v>
      </c>
      <c r="K19" s="4">
        <f t="shared" si="1"/>
        <v>563.75</v>
      </c>
      <c r="L19">
        <v>577</v>
      </c>
      <c r="M19">
        <v>29</v>
      </c>
      <c r="N19" s="4">
        <f t="shared" si="3"/>
        <v>-6.5</v>
      </c>
      <c r="O19">
        <f t="shared" si="4"/>
        <v>-11</v>
      </c>
      <c r="P19">
        <f t="shared" si="5"/>
        <v>-1</v>
      </c>
      <c r="Q19" s="4">
        <f t="shared" si="6"/>
        <v>18.5</v>
      </c>
      <c r="R19" s="3">
        <f t="shared" si="2"/>
        <v>4.3812907045589107E-2</v>
      </c>
    </row>
    <row r="20" spans="1:18" x14ac:dyDescent="0.35">
      <c r="B20" t="s">
        <v>35</v>
      </c>
      <c r="C20">
        <v>1539</v>
      </c>
      <c r="D20" s="18">
        <v>117</v>
      </c>
      <c r="E20">
        <v>44.5</v>
      </c>
      <c r="F20" s="4">
        <f t="shared" si="0"/>
        <v>34.584269662921351</v>
      </c>
      <c r="G20">
        <v>565</v>
      </c>
      <c r="H20">
        <v>556</v>
      </c>
      <c r="I20">
        <v>577</v>
      </c>
      <c r="J20">
        <v>561</v>
      </c>
      <c r="K20" s="4">
        <f t="shared" si="1"/>
        <v>564.75</v>
      </c>
      <c r="L20">
        <v>573</v>
      </c>
      <c r="M20">
        <v>33</v>
      </c>
      <c r="N20" s="4">
        <f t="shared" si="3"/>
        <v>-5.5</v>
      </c>
      <c r="O20">
        <f t="shared" si="4"/>
        <v>-15</v>
      </c>
      <c r="P20">
        <f t="shared" si="5"/>
        <v>3</v>
      </c>
      <c r="Q20" s="4">
        <f t="shared" si="6"/>
        <v>17.5</v>
      </c>
      <c r="R20" s="3">
        <f t="shared" si="2"/>
        <v>4.1444641799881589E-2</v>
      </c>
    </row>
    <row r="21" spans="1:18" x14ac:dyDescent="0.35">
      <c r="B21" t="s">
        <v>41</v>
      </c>
      <c r="C21">
        <v>204</v>
      </c>
      <c r="D21" s="18">
        <v>19.2</v>
      </c>
      <c r="E21">
        <v>7.4</v>
      </c>
      <c r="F21" s="4">
        <f t="shared" si="0"/>
        <v>27.567567567567565</v>
      </c>
      <c r="G21" s="17">
        <f t="shared" ref="G21:L21" si="7">G31</f>
        <v>577</v>
      </c>
      <c r="H21" s="17">
        <f t="shared" si="7"/>
        <v>550</v>
      </c>
      <c r="I21" s="15">
        <f t="shared" si="7"/>
        <v>580.5</v>
      </c>
      <c r="J21" s="15">
        <f t="shared" si="7"/>
        <v>569.5</v>
      </c>
      <c r="K21" s="15">
        <f t="shared" si="7"/>
        <v>568.375</v>
      </c>
      <c r="L21" s="15">
        <f t="shared" si="7"/>
        <v>579.5</v>
      </c>
      <c r="M21" s="11">
        <f t="shared" ref="M21" si="8">M31</f>
        <v>29</v>
      </c>
      <c r="N21" s="4">
        <f t="shared" si="3"/>
        <v>-1.875</v>
      </c>
      <c r="O21">
        <f t="shared" si="4"/>
        <v>-8.5</v>
      </c>
      <c r="P21">
        <f t="shared" si="5"/>
        <v>-1</v>
      </c>
      <c r="Q21" s="4">
        <f t="shared" si="6"/>
        <v>11.375</v>
      </c>
      <c r="R21" s="3">
        <f t="shared" si="2"/>
        <v>2.6939017169923033E-2</v>
      </c>
    </row>
    <row r="22" spans="1:18" x14ac:dyDescent="0.35">
      <c r="B22" t="s">
        <v>44</v>
      </c>
      <c r="C22">
        <v>706</v>
      </c>
      <c r="D22" s="18">
        <v>53.4</v>
      </c>
      <c r="E22">
        <v>55.8</v>
      </c>
      <c r="F22" s="4">
        <f t="shared" si="0"/>
        <v>12.652329749103943</v>
      </c>
      <c r="G22">
        <v>531</v>
      </c>
      <c r="H22">
        <v>523</v>
      </c>
      <c r="I22">
        <v>539</v>
      </c>
      <c r="J22">
        <v>533</v>
      </c>
      <c r="K22" s="4">
        <f>AVERAGE(G22:J22)</f>
        <v>531.5</v>
      </c>
      <c r="L22">
        <v>553</v>
      </c>
      <c r="M22" s="11">
        <f>M31</f>
        <v>29</v>
      </c>
      <c r="N22" s="4">
        <f t="shared" si="3"/>
        <v>-38.75</v>
      </c>
      <c r="O22">
        <f t="shared" si="4"/>
        <v>-35</v>
      </c>
      <c r="P22">
        <f t="shared" si="5"/>
        <v>-1</v>
      </c>
      <c r="Q22" s="4">
        <f t="shared" si="6"/>
        <v>74.75</v>
      </c>
      <c r="R22" s="3">
        <f t="shared" si="2"/>
        <v>0.17702782711663706</v>
      </c>
    </row>
    <row r="23" spans="1:18" x14ac:dyDescent="0.35">
      <c r="B23" t="s">
        <v>38</v>
      </c>
      <c r="C23">
        <v>1345</v>
      </c>
      <c r="D23" s="18">
        <v>105.7</v>
      </c>
      <c r="E23">
        <v>42.1</v>
      </c>
      <c r="F23" s="4">
        <f t="shared" si="0"/>
        <v>31.947743467933492</v>
      </c>
      <c r="G23">
        <v>552</v>
      </c>
      <c r="H23">
        <v>533</v>
      </c>
      <c r="I23">
        <v>568</v>
      </c>
      <c r="J23">
        <v>553</v>
      </c>
      <c r="K23" s="4">
        <f>AVERAGE(G23:J23)</f>
        <v>551.5</v>
      </c>
      <c r="L23">
        <v>561</v>
      </c>
      <c r="M23">
        <v>25</v>
      </c>
      <c r="N23" s="4">
        <f t="shared" si="3"/>
        <v>-18.75</v>
      </c>
      <c r="O23">
        <f t="shared" si="4"/>
        <v>-27</v>
      </c>
      <c r="P23">
        <f t="shared" si="5"/>
        <v>-5</v>
      </c>
      <c r="Q23" s="4">
        <f t="shared" si="6"/>
        <v>50.75</v>
      </c>
      <c r="R23" s="3">
        <f t="shared" si="2"/>
        <v>0.1201894612196566</v>
      </c>
    </row>
    <row r="24" spans="1:18" x14ac:dyDescent="0.35">
      <c r="B24" t="s">
        <v>36</v>
      </c>
      <c r="C24">
        <v>1488</v>
      </c>
      <c r="D24" s="18">
        <v>114.4</v>
      </c>
      <c r="E24">
        <v>35.5</v>
      </c>
      <c r="F24" s="4">
        <f t="shared" si="0"/>
        <v>41.91549295774648</v>
      </c>
      <c r="G24">
        <v>574</v>
      </c>
      <c r="H24">
        <v>554</v>
      </c>
      <c r="I24">
        <v>573</v>
      </c>
      <c r="J24">
        <v>571</v>
      </c>
      <c r="K24" s="4">
        <f>AVERAGE(G24:J24)</f>
        <v>568</v>
      </c>
      <c r="L24">
        <v>586</v>
      </c>
      <c r="M24">
        <v>27</v>
      </c>
      <c r="N24" s="4">
        <f t="shared" si="3"/>
        <v>-2.25</v>
      </c>
      <c r="O24">
        <f t="shared" si="4"/>
        <v>-2</v>
      </c>
      <c r="P24">
        <f t="shared" si="5"/>
        <v>-3</v>
      </c>
      <c r="Q24" s="4">
        <f t="shared" si="6"/>
        <v>7.25</v>
      </c>
      <c r="R24" s="3">
        <f t="shared" si="2"/>
        <v>1.7169923031379514E-2</v>
      </c>
    </row>
    <row r="25" spans="1:18" x14ac:dyDescent="0.35">
      <c r="B25" t="s">
        <v>56</v>
      </c>
      <c r="C25">
        <v>632</v>
      </c>
      <c r="D25" s="18">
        <v>55.4</v>
      </c>
      <c r="E25">
        <v>27.9</v>
      </c>
      <c r="F25" s="4">
        <f t="shared" si="0"/>
        <v>22.652329749103945</v>
      </c>
      <c r="G25" s="17">
        <f t="shared" ref="G25:L25" si="9">G31</f>
        <v>577</v>
      </c>
      <c r="H25" s="17">
        <f t="shared" si="9"/>
        <v>550</v>
      </c>
      <c r="I25" s="15">
        <f t="shared" si="9"/>
        <v>580.5</v>
      </c>
      <c r="J25" s="15">
        <f t="shared" si="9"/>
        <v>569.5</v>
      </c>
      <c r="K25" s="15">
        <f t="shared" si="9"/>
        <v>568.375</v>
      </c>
      <c r="L25" s="15">
        <f t="shared" si="9"/>
        <v>579.5</v>
      </c>
      <c r="M25">
        <v>25</v>
      </c>
      <c r="N25" s="4">
        <f t="shared" si="3"/>
        <v>-1.875</v>
      </c>
      <c r="O25">
        <f t="shared" si="4"/>
        <v>-8.5</v>
      </c>
      <c r="P25">
        <f t="shared" si="5"/>
        <v>-5</v>
      </c>
      <c r="Q25" s="4">
        <f t="shared" si="6"/>
        <v>15.375</v>
      </c>
      <c r="R25" s="3">
        <f t="shared" si="2"/>
        <v>3.6412078152753109E-2</v>
      </c>
    </row>
    <row r="26" spans="1:18" x14ac:dyDescent="0.35">
      <c r="B26" t="s">
        <v>37</v>
      </c>
      <c r="C26">
        <v>1143</v>
      </c>
      <c r="D26" s="18">
        <v>90.2</v>
      </c>
      <c r="E26">
        <v>53.6</v>
      </c>
      <c r="F26" s="4">
        <f t="shared" si="0"/>
        <v>21.32462686567164</v>
      </c>
      <c r="G26">
        <v>546</v>
      </c>
      <c r="H26">
        <v>526</v>
      </c>
      <c r="I26">
        <v>560</v>
      </c>
      <c r="J26">
        <v>542</v>
      </c>
      <c r="K26" s="4">
        <f>AVERAGE(G26:J26)</f>
        <v>543.5</v>
      </c>
      <c r="L26">
        <v>553</v>
      </c>
      <c r="M26">
        <v>27</v>
      </c>
      <c r="N26" s="4">
        <f t="shared" si="3"/>
        <v>-26.75</v>
      </c>
      <c r="O26">
        <f t="shared" si="4"/>
        <v>-35</v>
      </c>
      <c r="P26">
        <f t="shared" si="5"/>
        <v>-3</v>
      </c>
      <c r="Q26" s="4">
        <f t="shared" si="6"/>
        <v>64.75</v>
      </c>
      <c r="R26" s="3">
        <f t="shared" si="2"/>
        <v>0.15334517465956188</v>
      </c>
    </row>
    <row r="27" spans="1:18" x14ac:dyDescent="0.35">
      <c r="B27" t="s">
        <v>39</v>
      </c>
      <c r="C27">
        <v>1609</v>
      </c>
      <c r="D27" s="18">
        <v>112.9</v>
      </c>
      <c r="E27">
        <v>47.3</v>
      </c>
      <c r="F27" s="4">
        <f t="shared" si="0"/>
        <v>34.016913319238903</v>
      </c>
      <c r="G27">
        <v>589</v>
      </c>
      <c r="H27">
        <v>554</v>
      </c>
      <c r="I27">
        <v>592</v>
      </c>
      <c r="J27">
        <v>584</v>
      </c>
      <c r="K27" s="4">
        <f>AVERAGE(G27:J27)</f>
        <v>579.75</v>
      </c>
      <c r="L27">
        <v>588</v>
      </c>
      <c r="M27">
        <v>30</v>
      </c>
      <c r="N27" s="4">
        <f t="shared" si="3"/>
        <v>9.5</v>
      </c>
      <c r="O27">
        <f t="shared" si="4"/>
        <v>0</v>
      </c>
      <c r="P27">
        <f t="shared" si="5"/>
        <v>0</v>
      </c>
      <c r="Q27" s="4">
        <f t="shared" si="6"/>
        <v>0</v>
      </c>
      <c r="R27" s="3">
        <f t="shared" si="2"/>
        <v>0</v>
      </c>
    </row>
    <row r="28" spans="1:18" x14ac:dyDescent="0.35">
      <c r="B28" t="s">
        <v>40</v>
      </c>
      <c r="C28">
        <v>609</v>
      </c>
      <c r="D28" s="18">
        <v>46.8</v>
      </c>
      <c r="E28">
        <v>22.9</v>
      </c>
      <c r="F28" s="4">
        <f t="shared" si="0"/>
        <v>26.593886462882097</v>
      </c>
      <c r="G28">
        <v>566</v>
      </c>
      <c r="H28">
        <v>517</v>
      </c>
      <c r="I28">
        <v>564</v>
      </c>
      <c r="J28">
        <v>550</v>
      </c>
      <c r="K28" s="4">
        <f>AVERAGE(G28:J28)</f>
        <v>549.25</v>
      </c>
      <c r="L28">
        <v>569</v>
      </c>
      <c r="M28">
        <v>28</v>
      </c>
      <c r="N28" s="4">
        <f t="shared" si="3"/>
        <v>-21</v>
      </c>
      <c r="O28">
        <f t="shared" si="4"/>
        <v>-19</v>
      </c>
      <c r="P28">
        <f t="shared" si="5"/>
        <v>-2</v>
      </c>
      <c r="Q28" s="4">
        <f t="shared" si="6"/>
        <v>42</v>
      </c>
      <c r="R28" s="3">
        <f t="shared" si="2"/>
        <v>9.9467140319715805E-2</v>
      </c>
    </row>
    <row r="29" spans="1:18" x14ac:dyDescent="0.35">
      <c r="B29" t="s">
        <v>45</v>
      </c>
      <c r="C29">
        <v>2459</v>
      </c>
      <c r="D29" s="18">
        <v>166.8</v>
      </c>
      <c r="E29">
        <v>70.7</v>
      </c>
      <c r="F29" s="4">
        <f t="shared" si="0"/>
        <v>34.780763790664778</v>
      </c>
      <c r="G29">
        <v>564</v>
      </c>
      <c r="H29">
        <v>536</v>
      </c>
      <c r="I29">
        <v>581</v>
      </c>
      <c r="J29">
        <v>556</v>
      </c>
      <c r="K29" s="4">
        <f>AVERAGE(G29:J29)</f>
        <v>559.25</v>
      </c>
      <c r="L29">
        <v>572</v>
      </c>
      <c r="M29">
        <v>30</v>
      </c>
      <c r="N29" s="4">
        <f t="shared" si="3"/>
        <v>-11</v>
      </c>
      <c r="O29">
        <f t="shared" si="4"/>
        <v>-16</v>
      </c>
      <c r="P29">
        <f t="shared" si="5"/>
        <v>0</v>
      </c>
      <c r="Q29" s="4">
        <f t="shared" si="6"/>
        <v>27</v>
      </c>
      <c r="R29" s="3">
        <f t="shared" si="2"/>
        <v>6.3943161634103018E-2</v>
      </c>
    </row>
    <row r="30" spans="1:18" x14ac:dyDescent="0.35">
      <c r="B30" t="s">
        <v>46</v>
      </c>
      <c r="C30">
        <v>745</v>
      </c>
      <c r="D30" s="18">
        <v>49</v>
      </c>
      <c r="E30">
        <v>16.600000000000001</v>
      </c>
      <c r="F30" s="4">
        <f t="shared" si="0"/>
        <v>44.879518072289152</v>
      </c>
      <c r="G30">
        <v>554</v>
      </c>
      <c r="H30">
        <v>538</v>
      </c>
      <c r="I30">
        <v>564</v>
      </c>
      <c r="J30">
        <v>561</v>
      </c>
      <c r="K30" s="4">
        <f>AVERAGE(G30:J30)</f>
        <v>554.25</v>
      </c>
      <c r="L30">
        <v>585</v>
      </c>
      <c r="M30" s="11">
        <f>M31</f>
        <v>29</v>
      </c>
      <c r="N30" s="4">
        <f t="shared" si="3"/>
        <v>-16</v>
      </c>
      <c r="O30">
        <f t="shared" si="4"/>
        <v>-3</v>
      </c>
      <c r="P30">
        <f t="shared" si="5"/>
        <v>-1</v>
      </c>
      <c r="Q30" s="4">
        <f t="shared" si="6"/>
        <v>20</v>
      </c>
      <c r="R30" s="3">
        <f t="shared" si="2"/>
        <v>4.7365304914150384E-2</v>
      </c>
    </row>
    <row r="31" spans="1:18" x14ac:dyDescent="0.35">
      <c r="G31">
        <f t="shared" ref="G31:L31" si="10">MEDIAN(G9:G20,G22:G24,G26:G30)</f>
        <v>577</v>
      </c>
      <c r="H31">
        <f t="shared" si="10"/>
        <v>550</v>
      </c>
      <c r="I31" s="4">
        <f t="shared" si="10"/>
        <v>580.5</v>
      </c>
      <c r="J31" s="4">
        <f t="shared" si="10"/>
        <v>569.5</v>
      </c>
      <c r="K31" s="4">
        <f t="shared" si="10"/>
        <v>568.375</v>
      </c>
      <c r="L31" s="4">
        <f t="shared" si="10"/>
        <v>579.5</v>
      </c>
      <c r="M31">
        <f>MEDIAN(M9:M20,M23:M29)</f>
        <v>29</v>
      </c>
      <c r="N31" s="1" t="s">
        <v>63</v>
      </c>
      <c r="Q31" s="2"/>
    </row>
    <row r="32" spans="1:18" x14ac:dyDescent="0.35">
      <c r="I32" s="1"/>
      <c r="J32" s="1"/>
      <c r="K32" s="1"/>
      <c r="L32" s="1"/>
      <c r="M32" s="1"/>
      <c r="N32" s="1"/>
      <c r="O32" s="1"/>
    </row>
    <row r="33" spans="1:16" ht="18.5" x14ac:dyDescent="0.45">
      <c r="A33" s="6" t="s">
        <v>70</v>
      </c>
      <c r="I33" s="1"/>
      <c r="J33" s="1"/>
      <c r="K33" s="1"/>
      <c r="L33" s="1"/>
      <c r="M33" s="1"/>
      <c r="N33" s="1"/>
      <c r="O33" s="1"/>
    </row>
    <row r="35" spans="1:16" x14ac:dyDescent="0.35">
      <c r="B35" t="s">
        <v>66</v>
      </c>
      <c r="C35" s="13">
        <v>14761</v>
      </c>
      <c r="F35" s="1"/>
      <c r="G35" s="1"/>
      <c r="H35" s="1"/>
    </row>
    <row r="36" spans="1:16" x14ac:dyDescent="0.35">
      <c r="E36" s="13"/>
      <c r="F36" s="1"/>
      <c r="G36" s="1"/>
      <c r="H36" s="1"/>
    </row>
    <row r="37" spans="1:16" x14ac:dyDescent="0.35">
      <c r="C37" s="20" t="s">
        <v>58</v>
      </c>
      <c r="D37" s="21" t="s">
        <v>64</v>
      </c>
      <c r="E37" s="20" t="s">
        <v>65</v>
      </c>
      <c r="F37" s="20" t="s">
        <v>67</v>
      </c>
      <c r="H37" s="1"/>
      <c r="I37" s="1"/>
      <c r="J37" s="1"/>
      <c r="K37" s="1"/>
      <c r="L37" s="1"/>
      <c r="M37" s="1"/>
      <c r="N37" s="1"/>
      <c r="O37" s="1"/>
      <c r="P37" s="2"/>
    </row>
    <row r="38" spans="1:16" ht="15.5" customHeight="1" x14ac:dyDescent="0.35">
      <c r="C38" s="20"/>
      <c r="D38" s="21"/>
      <c r="E38" s="20"/>
      <c r="F38" s="20"/>
    </row>
    <row r="39" spans="1:16" x14ac:dyDescent="0.35">
      <c r="C39" s="20"/>
      <c r="D39" s="21"/>
      <c r="E39" s="20"/>
      <c r="F39" s="20"/>
      <c r="P39" s="2"/>
    </row>
    <row r="40" spans="1:16" x14ac:dyDescent="0.35">
      <c r="A40" s="1" t="s">
        <v>59</v>
      </c>
      <c r="B40" t="s">
        <v>48</v>
      </c>
      <c r="C40" s="9">
        <v>16755</v>
      </c>
      <c r="D40" s="7">
        <f t="shared" ref="D40:D48" si="11">C9*C40</f>
        <v>49058640</v>
      </c>
      <c r="E40" s="7">
        <f t="shared" ref="E40:E48" si="12">C9*$C$35</f>
        <v>43220208</v>
      </c>
      <c r="F40" s="14">
        <f>D40-E40</f>
        <v>5838432</v>
      </c>
      <c r="H40" s="12"/>
      <c r="P40" s="2"/>
    </row>
    <row r="41" spans="1:16" x14ac:dyDescent="0.35">
      <c r="B41" t="s">
        <v>43</v>
      </c>
      <c r="C41" s="8">
        <v>19602</v>
      </c>
      <c r="D41" s="7">
        <f t="shared" si="11"/>
        <v>19072746</v>
      </c>
      <c r="E41" s="7">
        <f t="shared" si="12"/>
        <v>14362453</v>
      </c>
      <c r="F41" s="14">
        <f t="shared" ref="F41:F48" si="13">D41-E41</f>
        <v>4710293</v>
      </c>
      <c r="P41" s="2"/>
    </row>
    <row r="42" spans="1:16" x14ac:dyDescent="0.35">
      <c r="B42" t="s">
        <v>51</v>
      </c>
      <c r="C42" s="8">
        <v>30336</v>
      </c>
      <c r="D42" s="7">
        <f t="shared" si="11"/>
        <v>127593216</v>
      </c>
      <c r="E42" s="7">
        <f t="shared" si="12"/>
        <v>62084766</v>
      </c>
      <c r="F42" s="14">
        <f t="shared" si="13"/>
        <v>65508450</v>
      </c>
    </row>
    <row r="43" spans="1:16" x14ac:dyDescent="0.35">
      <c r="B43" t="s">
        <v>47</v>
      </c>
      <c r="C43" s="8">
        <v>19788</v>
      </c>
      <c r="D43" s="7">
        <f t="shared" si="11"/>
        <v>8172444</v>
      </c>
      <c r="E43" s="7">
        <f t="shared" si="12"/>
        <v>6096293</v>
      </c>
      <c r="F43" s="14">
        <f t="shared" si="13"/>
        <v>2076151</v>
      </c>
    </row>
    <row r="44" spans="1:16" x14ac:dyDescent="0.35">
      <c r="B44" t="s">
        <v>50</v>
      </c>
      <c r="C44" s="8">
        <v>17303</v>
      </c>
      <c r="D44" s="7">
        <f t="shared" si="11"/>
        <v>31474157</v>
      </c>
      <c r="E44" s="7">
        <f t="shared" si="12"/>
        <v>26850259</v>
      </c>
      <c r="F44" s="14">
        <f t="shared" si="13"/>
        <v>4623898</v>
      </c>
    </row>
    <row r="45" spans="1:16" x14ac:dyDescent="0.35">
      <c r="B45" t="s">
        <v>42</v>
      </c>
      <c r="C45" s="8">
        <v>19182</v>
      </c>
      <c r="D45" s="7">
        <f t="shared" si="11"/>
        <v>13101306</v>
      </c>
      <c r="E45" s="7">
        <f t="shared" si="12"/>
        <v>10081763</v>
      </c>
      <c r="F45" s="14">
        <f t="shared" si="13"/>
        <v>3019543</v>
      </c>
    </row>
    <row r="46" spans="1:16" x14ac:dyDescent="0.35">
      <c r="B46" t="s">
        <v>52</v>
      </c>
      <c r="C46" s="8">
        <v>15834</v>
      </c>
      <c r="D46" s="7">
        <f t="shared" si="11"/>
        <v>52188864</v>
      </c>
      <c r="E46" s="7">
        <f t="shared" si="12"/>
        <v>48652256</v>
      </c>
      <c r="F46" s="14">
        <f t="shared" si="13"/>
        <v>3536608</v>
      </c>
    </row>
    <row r="47" spans="1:16" x14ac:dyDescent="0.35">
      <c r="B47" t="s">
        <v>49</v>
      </c>
      <c r="C47" s="8">
        <v>27162</v>
      </c>
      <c r="D47" s="7">
        <f t="shared" si="11"/>
        <v>21512304</v>
      </c>
      <c r="E47" s="7">
        <f t="shared" si="12"/>
        <v>11690712</v>
      </c>
      <c r="F47" s="14">
        <f t="shared" si="13"/>
        <v>9821592</v>
      </c>
    </row>
    <row r="48" spans="1:16" x14ac:dyDescent="0.35">
      <c r="B48" t="s">
        <v>34</v>
      </c>
      <c r="C48" s="8">
        <v>19356</v>
      </c>
      <c r="D48" s="7">
        <f t="shared" si="11"/>
        <v>31685772</v>
      </c>
      <c r="E48" s="7">
        <f t="shared" si="12"/>
        <v>24163757</v>
      </c>
      <c r="F48" s="14">
        <f t="shared" si="13"/>
        <v>7522015</v>
      </c>
    </row>
    <row r="49" spans="5:7" x14ac:dyDescent="0.35">
      <c r="E49" s="1" t="s">
        <v>68</v>
      </c>
      <c r="F49" s="7">
        <f>SUM(F40:F48)</f>
        <v>106656982</v>
      </c>
      <c r="G49" s="1" t="s">
        <v>71</v>
      </c>
    </row>
  </sheetData>
  <sortState xmlns:xlrd2="http://schemas.microsoft.com/office/spreadsheetml/2017/richdata2" ref="B31:I41">
    <sortCondition ref="B31:B41"/>
  </sortState>
  <mergeCells count="13">
    <mergeCell ref="Q6:Q8"/>
    <mergeCell ref="N6:P7"/>
    <mergeCell ref="R6:R8"/>
    <mergeCell ref="D6:D8"/>
    <mergeCell ref="C6:C8"/>
    <mergeCell ref="E6:E8"/>
    <mergeCell ref="M6:M8"/>
    <mergeCell ref="C37:C39"/>
    <mergeCell ref="G6:L7"/>
    <mergeCell ref="D37:D39"/>
    <mergeCell ref="E37:E39"/>
    <mergeCell ref="F37:F39"/>
    <mergeCell ref="F6:F8"/>
  </mergeCells>
  <pageMargins left="0.7" right="0.7" top="0.75" bottom="0.75" header="0.3" footer="0.3"/>
  <pageSetup orientation="portrait" r:id="rId1"/>
  <ignoredErrors>
    <ignoredError sqref="K9:K10 K11:K20 K22:K24 K26:K30" formulaRange="1"/>
    <ignoredError sqref="K21 K25" formula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DC5D0C-7429-4397-A535-E2B77307716A}">
  <sheetPr>
    <tabColor theme="9" tint="0.59999389629810485"/>
  </sheetPr>
  <dimension ref="A1:N41"/>
  <sheetViews>
    <sheetView tabSelected="1" workbookViewId="0">
      <selection activeCell="H3" sqref="H3"/>
    </sheetView>
  </sheetViews>
  <sheetFormatPr defaultRowHeight="15.5" x14ac:dyDescent="0.35"/>
  <cols>
    <col min="1" max="1" width="22.58203125" customWidth="1"/>
    <col min="2" max="2" width="7.9140625" customWidth="1"/>
    <col min="3" max="3" width="7.75" customWidth="1"/>
    <col min="4" max="4" width="7.58203125" customWidth="1"/>
    <col min="5" max="6" width="7.9140625" customWidth="1"/>
    <col min="7" max="8" width="7.5" customWidth="1"/>
    <col min="9" max="14" width="6.83203125" customWidth="1"/>
    <col min="15" max="16" width="11.83203125" customWidth="1"/>
  </cols>
  <sheetData>
    <row r="1" spans="1:14" ht="18.5" x14ac:dyDescent="0.45">
      <c r="A1" s="6" t="s">
        <v>83</v>
      </c>
    </row>
    <row r="3" spans="1:14" x14ac:dyDescent="0.35">
      <c r="A3" s="1" t="s">
        <v>94</v>
      </c>
    </row>
    <row r="5" spans="1:14" x14ac:dyDescent="0.35">
      <c r="A5" t="s">
        <v>95</v>
      </c>
      <c r="B5" s="22">
        <v>68943</v>
      </c>
      <c r="C5" s="22"/>
    </row>
    <row r="6" spans="1:14" x14ac:dyDescent="0.35">
      <c r="A6" t="s">
        <v>96</v>
      </c>
      <c r="B6" s="22">
        <f>'Task3 Data'!F49</f>
        <v>106656982</v>
      </c>
      <c r="C6" s="22"/>
    </row>
    <row r="7" spans="1:14" x14ac:dyDescent="0.35">
      <c r="A7" t="s">
        <v>101</v>
      </c>
      <c r="B7" s="22">
        <v>40</v>
      </c>
      <c r="C7" s="22"/>
    </row>
    <row r="8" spans="1:14" x14ac:dyDescent="0.35">
      <c r="A8" t="s">
        <v>106</v>
      </c>
      <c r="C8">
        <v>0.25</v>
      </c>
    </row>
    <row r="10" spans="1:14" x14ac:dyDescent="0.35">
      <c r="A10" t="s">
        <v>102</v>
      </c>
      <c r="B10" s="2">
        <v>1</v>
      </c>
      <c r="C10" s="2">
        <v>2</v>
      </c>
      <c r="D10" s="2">
        <v>3</v>
      </c>
      <c r="E10" s="2">
        <v>4</v>
      </c>
      <c r="F10" s="2">
        <v>5</v>
      </c>
      <c r="G10" s="2">
        <v>6</v>
      </c>
      <c r="H10" s="2">
        <v>7</v>
      </c>
      <c r="I10" s="2">
        <v>8</v>
      </c>
      <c r="J10" s="2">
        <v>9</v>
      </c>
      <c r="K10" s="2">
        <v>10</v>
      </c>
      <c r="L10" s="2">
        <v>11</v>
      </c>
      <c r="M10" s="2">
        <v>12</v>
      </c>
      <c r="N10" s="2">
        <v>13</v>
      </c>
    </row>
    <row r="11" spans="1:14" x14ac:dyDescent="0.35">
      <c r="A11" t="s">
        <v>97</v>
      </c>
      <c r="B11" s="2" cm="1">
        <f t="array" ref="B11:N11">TRANSPOSE('Task3 Data'!C18:C30)</f>
        <v>1482</v>
      </c>
      <c r="C11" s="2">
        <v>1640</v>
      </c>
      <c r="D11" s="2">
        <v>1539</v>
      </c>
      <c r="E11" s="2">
        <v>204</v>
      </c>
      <c r="F11" s="2">
        <v>706</v>
      </c>
      <c r="G11" s="2">
        <v>1345</v>
      </c>
      <c r="H11" s="2">
        <v>1488</v>
      </c>
      <c r="I11" s="2">
        <v>632</v>
      </c>
      <c r="J11" s="2">
        <v>1143</v>
      </c>
      <c r="K11" s="2">
        <v>1609</v>
      </c>
      <c r="L11" s="2">
        <v>609</v>
      </c>
      <c r="M11" s="2">
        <v>2459</v>
      </c>
      <c r="N11" s="2">
        <v>745</v>
      </c>
    </row>
    <row r="12" spans="1:14" x14ac:dyDescent="0.35">
      <c r="A12" t="s">
        <v>104</v>
      </c>
      <c r="B12" s="2" cm="1">
        <f t="array" ref="B12:N12">TRANSPOSE('Task3 Data'!D18:D30)</f>
        <v>97</v>
      </c>
      <c r="C12" s="2">
        <v>126.3</v>
      </c>
      <c r="D12" s="2">
        <v>117</v>
      </c>
      <c r="E12" s="2">
        <v>19.2</v>
      </c>
      <c r="F12" s="2">
        <v>53.4</v>
      </c>
      <c r="G12" s="2">
        <v>105.7</v>
      </c>
      <c r="H12" s="2">
        <v>114.4</v>
      </c>
      <c r="I12" s="2">
        <v>55.4</v>
      </c>
      <c r="J12" s="2">
        <v>90.2</v>
      </c>
      <c r="K12" s="2">
        <v>112.9</v>
      </c>
      <c r="L12" s="2">
        <v>46.8</v>
      </c>
      <c r="M12" s="2">
        <v>166.8</v>
      </c>
      <c r="N12" s="2">
        <v>49</v>
      </c>
    </row>
    <row r="13" spans="1:14" x14ac:dyDescent="0.35">
      <c r="A13" t="s">
        <v>98</v>
      </c>
      <c r="B13" s="2" cm="1">
        <f t="array" ref="B13:N13">TRANSPOSE('Task3 Data'!E18:E30)</f>
        <v>25.6</v>
      </c>
      <c r="C13" s="2">
        <v>33.5</v>
      </c>
      <c r="D13" s="2">
        <v>44.5</v>
      </c>
      <c r="E13" s="2">
        <v>7.4</v>
      </c>
      <c r="F13" s="2">
        <v>55.8</v>
      </c>
      <c r="G13" s="2">
        <v>42.1</v>
      </c>
      <c r="H13" s="2">
        <v>35.5</v>
      </c>
      <c r="I13" s="2">
        <v>27.9</v>
      </c>
      <c r="J13" s="2">
        <v>53.6</v>
      </c>
      <c r="K13" s="2">
        <v>47.3</v>
      </c>
      <c r="L13" s="2">
        <v>22.9</v>
      </c>
      <c r="M13" s="2">
        <v>70.7</v>
      </c>
      <c r="N13" s="2">
        <v>16.600000000000001</v>
      </c>
    </row>
    <row r="14" spans="1:14" x14ac:dyDescent="0.35">
      <c r="A14" t="s">
        <v>99</v>
      </c>
      <c r="B14" s="19" cm="1">
        <f t="array" ref="B14:N14">TRANSPOSE('Task3 Data'!R18:R30)</f>
        <v>5.0917702782711662E-2</v>
      </c>
      <c r="C14" s="19">
        <v>4.3812907045589107E-2</v>
      </c>
      <c r="D14" s="19">
        <v>4.1444641799881589E-2</v>
      </c>
      <c r="E14" s="19">
        <v>2.6939017169923033E-2</v>
      </c>
      <c r="F14" s="19">
        <v>0.17702782711663706</v>
      </c>
      <c r="G14" s="19">
        <v>0.1201894612196566</v>
      </c>
      <c r="H14" s="19">
        <v>1.7169923031379514E-2</v>
      </c>
      <c r="I14" s="19">
        <v>3.6412078152753109E-2</v>
      </c>
      <c r="J14" s="19">
        <v>0.15334517465956188</v>
      </c>
      <c r="K14" s="19">
        <v>0</v>
      </c>
      <c r="L14" s="19">
        <v>9.9467140319715805E-2</v>
      </c>
      <c r="M14" s="19">
        <v>6.3943161634103018E-2</v>
      </c>
      <c r="N14" s="19">
        <v>4.7365304914150384E-2</v>
      </c>
    </row>
    <row r="16" spans="1:14" x14ac:dyDescent="0.35">
      <c r="A16" s="1" t="s">
        <v>93</v>
      </c>
      <c r="B16" s="22">
        <f>$B$5*SUM(B20:N20)</f>
        <v>7376901</v>
      </c>
      <c r="C16" s="22"/>
    </row>
    <row r="18" spans="1:14" x14ac:dyDescent="0.35">
      <c r="A18" s="1" t="s">
        <v>100</v>
      </c>
    </row>
    <row r="19" spans="1:14" x14ac:dyDescent="0.35">
      <c r="B19" s="2" t="s">
        <v>1</v>
      </c>
      <c r="C19" s="2" t="s">
        <v>2</v>
      </c>
      <c r="D19" s="2" t="s">
        <v>3</v>
      </c>
      <c r="E19" s="2" t="s">
        <v>16</v>
      </c>
      <c r="F19" s="2" t="s">
        <v>17</v>
      </c>
      <c r="G19" s="2" t="s">
        <v>18</v>
      </c>
      <c r="H19" s="2" t="s">
        <v>19</v>
      </c>
      <c r="I19" s="2" t="s">
        <v>84</v>
      </c>
      <c r="J19" s="2" t="s">
        <v>85</v>
      </c>
      <c r="K19" s="2" t="s">
        <v>86</v>
      </c>
      <c r="L19" s="2" t="s">
        <v>87</v>
      </c>
      <c r="M19" s="2" t="s">
        <v>88</v>
      </c>
      <c r="N19" s="2" t="s">
        <v>89</v>
      </c>
    </row>
    <row r="20" spans="1:14" x14ac:dyDescent="0.35">
      <c r="A20" t="s">
        <v>4</v>
      </c>
      <c r="B20">
        <v>12</v>
      </c>
      <c r="C20">
        <v>8</v>
      </c>
      <c r="D20">
        <v>5</v>
      </c>
      <c r="E20">
        <v>3</v>
      </c>
      <c r="F20">
        <v>19</v>
      </c>
      <c r="G20">
        <v>13</v>
      </c>
      <c r="H20">
        <v>2</v>
      </c>
      <c r="I20">
        <v>4</v>
      </c>
      <c r="J20">
        <v>17</v>
      </c>
      <c r="K20">
        <v>0</v>
      </c>
      <c r="L20">
        <v>11</v>
      </c>
      <c r="M20">
        <v>7</v>
      </c>
      <c r="N20">
        <v>6</v>
      </c>
    </row>
    <row r="22" spans="1:14" x14ac:dyDescent="0.35">
      <c r="A22" s="1" t="s">
        <v>6</v>
      </c>
    </row>
    <row r="23" spans="1:14" x14ac:dyDescent="0.35">
      <c r="A23" s="1"/>
    </row>
    <row r="24" spans="1:14" x14ac:dyDescent="0.35">
      <c r="A24" t="s">
        <v>90</v>
      </c>
      <c r="B24" t="s">
        <v>22</v>
      </c>
      <c r="C24" s="22">
        <f>$B$5*SUM(B20:N20)</f>
        <v>7376901</v>
      </c>
      <c r="D24" s="22"/>
    </row>
    <row r="25" spans="1:14" x14ac:dyDescent="0.35">
      <c r="A25" s="1"/>
      <c r="B25" t="s">
        <v>8</v>
      </c>
      <c r="C25" s="22">
        <f>$B$6</f>
        <v>106656982</v>
      </c>
      <c r="D25" s="22"/>
      <c r="F25" s="7"/>
    </row>
    <row r="26" spans="1:14" x14ac:dyDescent="0.35">
      <c r="A26" s="1"/>
    </row>
    <row r="27" spans="1:14" x14ac:dyDescent="0.35">
      <c r="B27" s="7"/>
      <c r="C27" s="24" t="s">
        <v>91</v>
      </c>
      <c r="D27" s="24"/>
      <c r="E27" s="23" t="s">
        <v>92</v>
      </c>
      <c r="F27" s="23"/>
      <c r="G27" s="23" t="s">
        <v>105</v>
      </c>
      <c r="H27" s="23"/>
    </row>
    <row r="28" spans="1:14" x14ac:dyDescent="0.35">
      <c r="C28" s="2" t="s">
        <v>22</v>
      </c>
      <c r="D28" s="2" t="s">
        <v>8</v>
      </c>
      <c r="E28" s="2" t="s">
        <v>22</v>
      </c>
      <c r="F28" s="2" t="s">
        <v>8</v>
      </c>
      <c r="G28" s="2" t="s">
        <v>22</v>
      </c>
      <c r="H28" s="2" t="s">
        <v>8</v>
      </c>
    </row>
    <row r="29" spans="1:14" x14ac:dyDescent="0.35">
      <c r="B29">
        <v>1</v>
      </c>
      <c r="C29" s="4">
        <f ca="1">HLOOKUP(B29,$B$10:$N$14,2)-$B$7*(HLOOKUP(B29,$B$10:$N$14,4)+OFFSET($A$20,0,B29))</f>
        <v>-22</v>
      </c>
      <c r="D29" s="7">
        <v>0</v>
      </c>
      <c r="E29" s="4">
        <f ca="1">OFFSET($A$20,0,B29) - HLOOKUP($B29, $B$10:$N$14,5)*SUM($B$20:$N$20)</f>
        <v>6.5518058022498522</v>
      </c>
      <c r="F29">
        <v>0</v>
      </c>
      <c r="G29">
        <f ca="1">OFFSET($A$20,0,B29) - $C$8*(HLOOKUP(B29,$B$10:$N$14,3)+HLOOKUP(B29,$B$10:$N$14,4))</f>
        <v>-18.649999999999999</v>
      </c>
      <c r="H29">
        <v>0</v>
      </c>
      <c r="K29" s="4"/>
    </row>
    <row r="30" spans="1:14" x14ac:dyDescent="0.35">
      <c r="B30">
        <v>2</v>
      </c>
      <c r="C30" s="4">
        <f t="shared" ref="C30:C41" ca="1" si="0">HLOOKUP(B30,$B$10:$N$14,2)-$B$7*(HLOOKUP(B30,$B$10:$N$14,4)+OFFSET($A$20,0,B30))</f>
        <v>-20</v>
      </c>
      <c r="D30" s="7">
        <v>0</v>
      </c>
      <c r="E30" s="4">
        <f t="shared" ref="E30:E41" ca="1" si="1">OFFSET($A$20,0,B30) - HLOOKUP($B30, $B$10:$N$14,5)*SUM($B$20:$N$20)</f>
        <v>3.3120189461219658</v>
      </c>
      <c r="F30">
        <v>0</v>
      </c>
      <c r="G30">
        <f t="shared" ref="G30:G41" ca="1" si="2">OFFSET($A$20,0,B30) - $C$8*(HLOOKUP(B30,$B$10:$N$14,3)+HLOOKUP(B30,$B$10:$N$14,4))</f>
        <v>-31.950000000000003</v>
      </c>
      <c r="H30">
        <v>0</v>
      </c>
      <c r="K30" s="4"/>
    </row>
    <row r="31" spans="1:14" x14ac:dyDescent="0.35">
      <c r="B31">
        <v>3</v>
      </c>
      <c r="C31" s="4">
        <f t="shared" ca="1" si="0"/>
        <v>-441</v>
      </c>
      <c r="D31" s="7">
        <v>0</v>
      </c>
      <c r="E31" s="4">
        <f t="shared" ca="1" si="1"/>
        <v>0.56542332741267032</v>
      </c>
      <c r="F31">
        <v>0</v>
      </c>
      <c r="G31">
        <f t="shared" ca="1" si="2"/>
        <v>-35.375</v>
      </c>
      <c r="H31">
        <v>0</v>
      </c>
      <c r="K31" s="4"/>
    </row>
    <row r="32" spans="1:14" x14ac:dyDescent="0.35">
      <c r="B32">
        <v>4</v>
      </c>
      <c r="C32" s="4">
        <f t="shared" ca="1" si="0"/>
        <v>-212</v>
      </c>
      <c r="D32" s="7">
        <v>0</v>
      </c>
      <c r="E32" s="4">
        <f t="shared" ca="1" si="1"/>
        <v>0.11752516281823544</v>
      </c>
      <c r="F32">
        <v>0</v>
      </c>
      <c r="G32">
        <f t="shared" ca="1" si="2"/>
        <v>-3.6500000000000004</v>
      </c>
      <c r="H32">
        <v>0</v>
      </c>
      <c r="K32" s="4"/>
    </row>
    <row r="33" spans="2:11" x14ac:dyDescent="0.35">
      <c r="B33">
        <v>5</v>
      </c>
      <c r="C33" s="4">
        <f t="shared" ca="1" si="0"/>
        <v>-2286</v>
      </c>
      <c r="D33" s="7">
        <v>0</v>
      </c>
      <c r="E33" s="4">
        <f t="shared" ca="1" si="1"/>
        <v>5.8022498519836319E-2</v>
      </c>
      <c r="F33">
        <v>0</v>
      </c>
      <c r="G33">
        <f t="shared" ca="1" si="2"/>
        <v>-8.2999999999999972</v>
      </c>
      <c r="H33">
        <v>0</v>
      </c>
      <c r="K33" s="4"/>
    </row>
    <row r="34" spans="2:11" x14ac:dyDescent="0.35">
      <c r="B34">
        <v>6</v>
      </c>
      <c r="C34" s="4">
        <f t="shared" ca="1" si="0"/>
        <v>-859</v>
      </c>
      <c r="D34" s="7">
        <v>0</v>
      </c>
      <c r="E34" s="4">
        <f t="shared" ca="1" si="1"/>
        <v>0.13972764949674499</v>
      </c>
      <c r="F34">
        <v>0</v>
      </c>
      <c r="G34">
        <f t="shared" ca="1" si="2"/>
        <v>-23.950000000000003</v>
      </c>
      <c r="H34">
        <v>0</v>
      </c>
      <c r="K34" s="4"/>
    </row>
    <row r="35" spans="2:11" x14ac:dyDescent="0.35">
      <c r="B35">
        <v>7</v>
      </c>
      <c r="C35" s="4">
        <f t="shared" ca="1" si="0"/>
        <v>-12</v>
      </c>
      <c r="D35" s="7">
        <v>0</v>
      </c>
      <c r="E35" s="4">
        <f t="shared" ca="1" si="1"/>
        <v>0.16281823564239195</v>
      </c>
      <c r="F35">
        <v>0</v>
      </c>
      <c r="G35">
        <f t="shared" ca="1" si="2"/>
        <v>-35.475000000000001</v>
      </c>
      <c r="H35">
        <v>0</v>
      </c>
      <c r="K35" s="4"/>
    </row>
    <row r="36" spans="2:11" x14ac:dyDescent="0.35">
      <c r="B36">
        <v>8</v>
      </c>
      <c r="C36" s="4">
        <f t="shared" ca="1" si="0"/>
        <v>-644</v>
      </c>
      <c r="D36" s="7">
        <v>0</v>
      </c>
      <c r="E36" s="4">
        <f t="shared" ca="1" si="1"/>
        <v>0.10390763765541733</v>
      </c>
      <c r="F36">
        <v>0</v>
      </c>
      <c r="G36">
        <f t="shared" ca="1" si="2"/>
        <v>-16.824999999999999</v>
      </c>
      <c r="H36">
        <v>0</v>
      </c>
      <c r="K36" s="4"/>
    </row>
    <row r="37" spans="2:11" x14ac:dyDescent="0.35">
      <c r="B37">
        <v>9</v>
      </c>
      <c r="C37" s="4">
        <f t="shared" ca="1" si="0"/>
        <v>-1681</v>
      </c>
      <c r="D37" s="7">
        <v>0</v>
      </c>
      <c r="E37" s="4">
        <f t="shared" ca="1" si="1"/>
        <v>0.59206631142687982</v>
      </c>
      <c r="F37">
        <v>0</v>
      </c>
      <c r="G37">
        <f t="shared" ca="1" si="2"/>
        <v>-18.950000000000003</v>
      </c>
      <c r="H37">
        <v>0</v>
      </c>
      <c r="K37" s="4"/>
    </row>
    <row r="38" spans="2:11" x14ac:dyDescent="0.35">
      <c r="B38">
        <v>10</v>
      </c>
      <c r="C38" s="4">
        <f t="shared" ca="1" si="0"/>
        <v>-283</v>
      </c>
      <c r="D38" s="7">
        <v>0</v>
      </c>
      <c r="E38" s="4">
        <f t="shared" ca="1" si="1"/>
        <v>0</v>
      </c>
      <c r="F38">
        <v>0</v>
      </c>
      <c r="G38">
        <f t="shared" ca="1" si="2"/>
        <v>-40.049999999999997</v>
      </c>
      <c r="H38">
        <v>0</v>
      </c>
      <c r="K38" s="4"/>
    </row>
    <row r="39" spans="2:11" x14ac:dyDescent="0.35">
      <c r="B39">
        <v>11</v>
      </c>
      <c r="C39" s="4">
        <f t="shared" ca="1" si="0"/>
        <v>-747</v>
      </c>
      <c r="D39" s="7">
        <v>0</v>
      </c>
      <c r="E39" s="4">
        <f t="shared" ca="1" si="1"/>
        <v>0.35701598579040805</v>
      </c>
      <c r="F39">
        <v>0</v>
      </c>
      <c r="G39">
        <f t="shared" ca="1" si="2"/>
        <v>-6.4249999999999972</v>
      </c>
      <c r="H39">
        <v>0</v>
      </c>
      <c r="K39" s="4"/>
    </row>
    <row r="40" spans="2:11" x14ac:dyDescent="0.35">
      <c r="B40">
        <v>12</v>
      </c>
      <c r="C40" s="4">
        <f t="shared" ca="1" si="0"/>
        <v>-649</v>
      </c>
      <c r="D40" s="7">
        <v>0</v>
      </c>
      <c r="E40" s="4">
        <f t="shared" ca="1" si="1"/>
        <v>0.15808170515097686</v>
      </c>
      <c r="F40">
        <v>0</v>
      </c>
      <c r="G40">
        <f t="shared" ca="1" si="2"/>
        <v>-52.375</v>
      </c>
      <c r="H40">
        <v>0</v>
      </c>
      <c r="K40" s="4"/>
    </row>
    <row r="41" spans="2:11" x14ac:dyDescent="0.35">
      <c r="B41">
        <v>13</v>
      </c>
      <c r="C41" s="4">
        <f t="shared" ca="1" si="0"/>
        <v>-159</v>
      </c>
      <c r="D41" s="7">
        <v>0</v>
      </c>
      <c r="E41" s="4">
        <f t="shared" ca="1" si="1"/>
        <v>0.93191237418590855</v>
      </c>
      <c r="F41">
        <v>0</v>
      </c>
      <c r="G41">
        <f t="shared" ca="1" si="2"/>
        <v>-10.399999999999999</v>
      </c>
      <c r="H41">
        <v>0</v>
      </c>
      <c r="K41" s="4"/>
    </row>
  </sheetData>
  <mergeCells count="9">
    <mergeCell ref="C25:D25"/>
    <mergeCell ref="G27:H27"/>
    <mergeCell ref="E27:F27"/>
    <mergeCell ref="C27:D27"/>
    <mergeCell ref="B5:C5"/>
    <mergeCell ref="B6:C6"/>
    <mergeCell ref="B7:C7"/>
    <mergeCell ref="B16:C16"/>
    <mergeCell ref="C24:D2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Task1</vt:lpstr>
      <vt:lpstr>Task2</vt:lpstr>
      <vt:lpstr>Task3 Data</vt:lpstr>
      <vt:lpstr>Task3 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Amanjit Gill</dc:creator>
  <cp:lastModifiedBy>Amanjit Gill</cp:lastModifiedBy>
  <dcterms:created xsi:type="dcterms:W3CDTF">2023-02-13T12:08:46Z</dcterms:created>
  <dcterms:modified xsi:type="dcterms:W3CDTF">2023-02-19T02:53:28Z</dcterms:modified>
</cp:coreProperties>
</file>