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347E3B64-6C04-45A9-898E-98360DDAE7FA}" xr6:coauthVersionLast="45" xr6:coauthVersionMax="45" xr10:uidLastSave="{00000000-0000-0000-0000-000000000000}"/>
  <bookViews>
    <workbookView xWindow="-108" yWindow="-108" windowWidth="23256" windowHeight="12576" firstSheet="2" activeTab="7" xr2:uid="{00000000-000D-0000-FFFF-FFFF00000000}"/>
  </bookViews>
  <sheets>
    <sheet name="Sheet1" sheetId="9" r:id="rId1"/>
    <sheet name="1.Tahoe Salt - Static (even)" sheetId="3" r:id="rId2"/>
    <sheet name="Moving Average" sheetId="5" r:id="rId3"/>
    <sheet name="Exponential Smoothing" sheetId="4" r:id="rId4"/>
    <sheet name="Sheet2" sheetId="10" r:id="rId5"/>
    <sheet name="Holt's Model" sheetId="7" r:id="rId6"/>
    <sheet name="Sheet4" sheetId="12" r:id="rId7"/>
    <sheet name="Winter's Model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8" l="1"/>
  <c r="O15" i="8"/>
  <c r="M3" i="8"/>
  <c r="L3" i="8"/>
  <c r="K3" i="8"/>
  <c r="J3" i="8"/>
  <c r="G15" i="8"/>
  <c r="G3" i="8" l="1"/>
  <c r="H3" i="8" s="1"/>
  <c r="I3" i="8" s="1"/>
  <c r="D3" i="8"/>
  <c r="D4" i="7"/>
  <c r="D3" i="7"/>
  <c r="E4" i="7" s="1"/>
  <c r="C6" i="8"/>
  <c r="C7" i="8"/>
  <c r="C8" i="8"/>
  <c r="C9" i="8"/>
  <c r="C10" i="8"/>
  <c r="C11" i="8"/>
  <c r="C12" i="8"/>
  <c r="C5" i="8"/>
  <c r="C3" i="7"/>
  <c r="E3" i="7"/>
  <c r="D4" i="8" l="1"/>
  <c r="G4" i="8"/>
  <c r="H4" i="8" s="1"/>
  <c r="M4" i="8" s="1"/>
  <c r="E3" i="8"/>
  <c r="F7" i="8"/>
  <c r="C4" i="7"/>
  <c r="E5" i="7" s="1"/>
  <c r="C5" i="7"/>
  <c r="D5" i="7" s="1"/>
  <c r="I4" i="8" l="1"/>
  <c r="J4" i="8"/>
  <c r="F8" i="8"/>
  <c r="E4" i="8"/>
  <c r="G5" i="8" s="1"/>
  <c r="H5" i="8" s="1"/>
  <c r="M5" i="8" s="1"/>
  <c r="D5" i="8"/>
  <c r="C6" i="7"/>
  <c r="D6" i="7" s="1"/>
  <c r="L4" i="8" l="1"/>
  <c r="K4" i="8"/>
  <c r="I5" i="8"/>
  <c r="J5" i="8"/>
  <c r="E5" i="8"/>
  <c r="D6" i="8" s="1"/>
  <c r="F9" i="8"/>
  <c r="E6" i="7"/>
  <c r="C7" i="7"/>
  <c r="D7" i="7" s="1"/>
  <c r="L5" i="8" l="1"/>
  <c r="K5" i="8"/>
  <c r="E6" i="8"/>
  <c r="G7" i="8" s="1"/>
  <c r="H7" i="8" s="1"/>
  <c r="M7" i="8" s="1"/>
  <c r="F10" i="8"/>
  <c r="G6" i="8"/>
  <c r="H6" i="8" s="1"/>
  <c r="M6" i="8" s="1"/>
  <c r="E7" i="7"/>
  <c r="C8" i="7"/>
  <c r="D8" i="7" s="1"/>
  <c r="I6" i="8" l="1"/>
  <c r="J6" i="8"/>
  <c r="I7" i="8"/>
  <c r="J7" i="8"/>
  <c r="D7" i="8"/>
  <c r="E8" i="7"/>
  <c r="C9" i="7"/>
  <c r="D9" i="7" s="1"/>
  <c r="C6" i="4"/>
  <c r="E6" i="4"/>
  <c r="C5" i="4"/>
  <c r="E5" i="4"/>
  <c r="C4" i="4"/>
  <c r="E4" i="4"/>
  <c r="C3" i="4"/>
  <c r="E3" i="4"/>
  <c r="C2" i="4"/>
  <c r="E6" i="5"/>
  <c r="C6" i="5"/>
  <c r="D14" i="3"/>
  <c r="F5" i="3"/>
  <c r="F4" i="3"/>
  <c r="F3" i="3"/>
  <c r="F2" i="3"/>
  <c r="E3" i="3"/>
  <c r="E4" i="3"/>
  <c r="E5" i="3"/>
  <c r="E6" i="3"/>
  <c r="E7" i="3"/>
  <c r="E8" i="3"/>
  <c r="E9" i="3"/>
  <c r="E10" i="3"/>
  <c r="E11" i="3"/>
  <c r="E12" i="3"/>
  <c r="E13" i="3"/>
  <c r="D3" i="3"/>
  <c r="D4" i="3"/>
  <c r="D5" i="3"/>
  <c r="D6" i="3"/>
  <c r="D7" i="3"/>
  <c r="D8" i="3"/>
  <c r="D9" i="3"/>
  <c r="D10" i="3"/>
  <c r="D11" i="3"/>
  <c r="D12" i="3"/>
  <c r="D13" i="3"/>
  <c r="D2" i="3"/>
  <c r="E2" i="3" s="1"/>
  <c r="L7" i="8" l="1"/>
  <c r="K7" i="8"/>
  <c r="L6" i="8"/>
  <c r="K6" i="8"/>
  <c r="E7" i="8"/>
  <c r="G8" i="8" s="1"/>
  <c r="H8" i="8" s="1"/>
  <c r="M8" i="8" s="1"/>
  <c r="F11" i="8"/>
  <c r="E9" i="7"/>
  <c r="C5" i="3"/>
  <c r="C6" i="3"/>
  <c r="C7" i="3"/>
  <c r="C8" i="3"/>
  <c r="C9" i="3"/>
  <c r="C10" i="3"/>
  <c r="C11" i="3"/>
  <c r="C4" i="3"/>
  <c r="I8" i="8" l="1"/>
  <c r="J8" i="8"/>
  <c r="D8" i="8"/>
  <c r="K8" i="8" l="1"/>
  <c r="L8" i="8"/>
  <c r="G9" i="8"/>
  <c r="H9" i="8" s="1"/>
  <c r="M9" i="8" s="1"/>
  <c r="E8" i="8"/>
  <c r="F12" i="8"/>
  <c r="D9" i="8"/>
  <c r="I9" i="8" l="1"/>
  <c r="J9" i="8"/>
  <c r="E9" i="8"/>
  <c r="D10" i="8" s="1"/>
  <c r="F13" i="8"/>
  <c r="K9" i="8" l="1"/>
  <c r="L9" i="8"/>
  <c r="D11" i="8"/>
  <c r="E11" i="8" s="1"/>
  <c r="E10" i="8"/>
  <c r="G11" i="8" s="1"/>
  <c r="H11" i="8" s="1"/>
  <c r="M11" i="8" s="1"/>
  <c r="F14" i="8"/>
  <c r="G10" i="8"/>
  <c r="H10" i="8" s="1"/>
  <c r="M10" i="8" s="1"/>
  <c r="I10" i="8" l="1"/>
  <c r="J10" i="8"/>
  <c r="I11" i="8"/>
  <c r="J11" i="8"/>
  <c r="G12" i="8"/>
  <c r="H12" i="8" s="1"/>
  <c r="M12" i="8" s="1"/>
  <c r="F15" i="8"/>
  <c r="D12" i="8"/>
  <c r="I12" i="8" l="1"/>
  <c r="J12" i="8"/>
  <c r="K11" i="8"/>
  <c r="L11" i="8"/>
  <c r="K10" i="8"/>
  <c r="L10" i="8"/>
  <c r="E12" i="8"/>
  <c r="G13" i="8" s="1"/>
  <c r="H13" i="8" s="1"/>
  <c r="M13" i="8" s="1"/>
  <c r="D13" i="8"/>
  <c r="I13" i="8" l="1"/>
  <c r="J13" i="8"/>
  <c r="K12" i="8"/>
  <c r="L12" i="8"/>
  <c r="G14" i="8"/>
  <c r="H14" i="8" s="1"/>
  <c r="M14" i="8" s="1"/>
  <c r="E13" i="8"/>
  <c r="D14" i="8"/>
  <c r="I14" i="8" l="1"/>
  <c r="J14" i="8"/>
  <c r="J15" i="8" s="1"/>
  <c r="L13" i="8"/>
  <c r="K13" i="8"/>
  <c r="E14" i="8"/>
  <c r="D15" i="8"/>
  <c r="E15" i="8" s="1"/>
  <c r="L14" i="8" l="1"/>
  <c r="L15" i="8" s="1"/>
  <c r="K14" i="8"/>
  <c r="K15" i="8" s="1"/>
  <c r="N15" i="8" s="1"/>
</calcChain>
</file>

<file path=xl/sharedStrings.xml><?xml version="1.0" encoding="utf-8"?>
<sst xmlns="http://schemas.openxmlformats.org/spreadsheetml/2006/main" count="125" uniqueCount="56">
  <si>
    <t>Period t</t>
  </si>
  <si>
    <t>Demand Dt</t>
  </si>
  <si>
    <t>Period</t>
  </si>
  <si>
    <t>T</t>
  </si>
  <si>
    <t>Dt= L+Tt</t>
  </si>
  <si>
    <t>Intercept</t>
  </si>
  <si>
    <t>Deseasonalised Demand</t>
  </si>
  <si>
    <t>Dseasonalised Demand (Regressed) D't</t>
  </si>
  <si>
    <t>Seasonal Factor</t>
  </si>
  <si>
    <t>Avg Seas Fact</t>
  </si>
  <si>
    <t>Level Lt</t>
  </si>
  <si>
    <t>Level</t>
  </si>
  <si>
    <t>Level L</t>
  </si>
  <si>
    <t>Forecast</t>
  </si>
  <si>
    <t>Error</t>
  </si>
  <si>
    <t>Alpha</t>
  </si>
  <si>
    <t>Trend Tt</t>
  </si>
  <si>
    <t>Ft</t>
  </si>
  <si>
    <t xml:space="preserve">alpha </t>
  </si>
  <si>
    <t>Beta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</si>
  <si>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</si>
  <si>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</si>
  <si>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</si>
  <si>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</si>
  <si>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</si>
  <si>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</si>
  <si>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</si>
  <si>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</si>
  <si>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</si>
  <si>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</si>
  <si>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</si>
  <si>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</si>
  <si>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</si>
  <si>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</si>
  <si>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</si>
  <si>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</si>
  <si>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</si>
  <si>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</si>
  <si>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</si>
  <si>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</si>
  <si>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</si>
  <si>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</si>
  <si>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</si>
  <si>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</si>
  <si>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Trend</t>
  </si>
  <si>
    <t>Seasonality</t>
  </si>
  <si>
    <t>alpha</t>
  </si>
  <si>
    <t>beta</t>
  </si>
  <si>
    <t>gamma</t>
  </si>
  <si>
    <t>Absolute Error</t>
  </si>
  <si>
    <t>MSE</t>
  </si>
  <si>
    <t>MAD</t>
  </si>
  <si>
    <t>MAPE</t>
  </si>
  <si>
    <t>bias</t>
  </si>
  <si>
    <t>TS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</si>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</sst>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Border="1"/>
    <xf numFmtId="0" fontId="0" fillId="7" borderId="0" xfId="0" applyFill="1"/>
    <xf numFmtId="0" fontId="1" fillId="0" borderId="0" xfId="0" applyFont="1" applyFill="1" applyBorder="1" applyAlignment="1">
      <alignment horizontal="centerContinuous"/>
    </xf>
    <xf numFmtId="0" fontId="0" fillId="0" borderId="0" xfId="0" applyFill="1" applyBorder="1" applyAlignment="1"/>
    <xf numFmtId="0" fontId="1" fillId="0" borderId="0" xfId="0" applyFont="1" applyFill="1" applyBorder="1" applyAlignment="1">
      <alignment horizontal="center"/>
    </xf>
    <xf numFmtId="0" fontId="0" fillId="8" borderId="0" xfId="0" applyFill="1"/>
    <xf numFmtId="0" fontId="0" fillId="0" borderId="0" xfId="0" applyFill="1"/>
    <xf numFmtId="0" fontId="0" fillId="0" borderId="0" xfId="0" applyFill="1" applyBorder="1"/>
    <xf numFmtId="0" fontId="0" fillId="0" borderId="0" xfId="0" applyAlignment="1">
      <alignment wrapText="1"/>
    </xf>
    <xf numFmtId="0" fontId="0" fillId="9" borderId="0" xfId="0" applyFill="1"/>
    <xf numFmtId="0" fontId="0" fillId="10" borderId="0" xfId="0" applyFill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289560</xdr:colOff>
      <xdr:row>0</xdr:row>
      <xdr:rowOff>0</xdr:rowOff>
    </xdr:from>
    <xdr:to>
      <xdr:col>17</xdr:col>
      <xdr:colOff>434340</xdr:colOff>
      <xdr:row>11</xdr:row>
      <xdr:rowOff>147037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0F7ED1-B3C6-4C61-90D4-EF7CFDCBB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0"/>
          <a:ext cx="4411980" cy="2158717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152400</xdr:colOff>
      <xdr:row>12</xdr:row>
      <xdr:rowOff>106680</xdr:rowOff>
    </xdr:from>
    <xdr:to>
      <xdr:col>17</xdr:col>
      <xdr:colOff>458362</xdr:colOff>
      <xdr:row>24</xdr:row>
      <xdr:rowOff>53340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195A5F-58BF-4A45-AD22-5AC723710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2340" y="2301240"/>
          <a:ext cx="4573162" cy="21412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365760</xdr:colOff>
      <xdr:row>15</xdr:row>
      <xdr:rowOff>144781</xdr:rowOff>
    </xdr:from>
    <xdr:to>
      <xdr:col>14</xdr:col>
      <xdr:colOff>419100</xdr:colOff>
      <xdr:row>25</xdr:row>
      <xdr:rowOff>45721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48EA88-7B9D-4EB4-8E11-A29D8849E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5420" y="2872741"/>
          <a:ext cx="4808220" cy="1729740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0</xdr:row>
      <xdr:rowOff>152400</xdr:rowOff>
    </xdr:from>
    <xdr:to>
      <xdr:col>15</xdr:col>
      <xdr:colOff>40109</xdr:colOff>
      <xdr:row>14</xdr:row>
      <xdr:rowOff>53340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E7F8120-D9D6-4198-BA50-31099C546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99661" y="152400"/>
          <a:ext cx="5404588" cy="24460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605428</xdr:colOff>
      <xdr:row>2</xdr:row>
      <xdr:rowOff>53341</xdr:rowOff>
    </xdr:from>
    <xdr:to>
      <xdr:col>19</xdr:col>
      <xdr:colOff>414126</xdr:colOff>
      <xdr:row>12</xdr:row>
      <xdr:rowOff>76201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19AF21-B867-4951-9608-3011FF8AD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1428" y="236221"/>
          <a:ext cx="5295098" cy="1851660"/>
        </a:xfrm>
        <a:prstGeom prst="rect">
          <a:avLst/>
        </a:prstGeom>
      </xdr:spPr>
    </xdr:pic>
    <xdr:clientData/>
  </xdr:twoCellAnchor>
  <xdr:twoCellAnchor editAs="oneCell">
    <xdr:from>
      <xdr:col>10</xdr:col>
      <xdr:colOff>538524</xdr:colOff>
      <xdr:row>12</xdr:row>
      <xdr:rowOff>167640</xdr:rowOff>
    </xdr:from>
    <xdr:to>
      <xdr:col>20</xdr:col>
      <xdr:colOff>69284</xdr:colOff>
      <xdr:row>30</xdr:row>
      <xdr:rowOff>126941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667D34-E158-405A-9E01-2724C694F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34524" y="2179320"/>
          <a:ext cx="5626760" cy="32511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549075</xdr:colOff>
      <xdr:row>0</xdr:row>
      <xdr:rowOff>121920</xdr:rowOff>
    </xdr:from>
    <xdr:to>
      <xdr:col>20</xdr:col>
      <xdr:colOff>547411</xdr:colOff>
      <xdr:row>15</xdr:row>
      <xdr:rowOff>168920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00B589-6D78-4127-AD00-1ABB495C7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4675" y="121920"/>
          <a:ext cx="5484736" cy="2790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190500</xdr:colOff>
      <xdr:row>0</xdr:row>
      <xdr:rowOff>152400</xdr:rowOff>
    </xdr:from>
    <xdr:to>
      <xdr:col>25</xdr:col>
      <xdr:colOff>304800</xdr:colOff>
      <xdr:row>8</xdr:row>
      <xdr:rowOff>122370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812334-B7BC-4C70-B7B3-5EB0B7871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44100" y="152400"/>
          <a:ext cx="3771900" cy="1433010"/>
        </a:xfrm>
        <a:prstGeom prst="rect">
          <a:avLst/>
        </a:prstGeom>
      </xdr:spPr>
    </xdr:pic>
    <xdr:clientData/>
  </xdr:twoCellAnchor>
  <xdr:twoCellAnchor editAs="oneCell">
    <xdr:from>
      <xdr:col>19</xdr:col>
      <xdr:colOff>109645</xdr:colOff>
      <xdr:row>9</xdr:row>
      <xdr:rowOff>83821</xdr:rowOff>
    </xdr:from>
    <xdr:to>
      <xdr:col>25</xdr:col>
      <xdr:colOff>388621</xdr:colOff>
      <xdr:row>18</xdr:row>
      <xdr:rowOff>68581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9CCEDA-C888-4316-AC49-5B80D5FBC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63245" y="1729741"/>
          <a:ext cx="3936576" cy="1630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07814-416B-4A84-8015-6844480BB1F2}">
  <dimension ref="A1:I18"/>
  <sheetViews>
    <sheetView workbookViewId="0">
      <selection activeCell="I24" sqref="I24"/>
    </sheetView>
  </sheetViews>
  <sheetFormatPr defaultRowHeight="14.4" x14ac:dyDescent="0.3"/>
  <cols>
    <col min="1" max="1" width="18.33203125" customWidth="1"/>
    <col min="2" max="2" width="10" customWidth="1"/>
    <col min="3" max="3" width="12.77734375" customWidth="1"/>
    <col min="8" max="8" width="11.109375" customWidth="1"/>
    <col min="9" max="9" width="11.77734375" customWidth="1"/>
  </cols>
  <sheetData>
    <row r="1" spans="1:9" x14ac:dyDescent="0.3">
      <c r="A1" t="s">
        <v>20</v>
      </c>
    </row>
    <row r="2" spans="1:9" ht="15" thickBot="1" x14ac:dyDescent="0.35"/>
    <row r="3" spans="1:9" x14ac:dyDescent="0.3">
      <c r="A3" s="19" t="s">
        <v>21</v>
      </c>
      <c r="B3" s="19"/>
    </row>
    <row r="4" spans="1:9" x14ac:dyDescent="0.3">
      <c r="A4" s="9" t="s">
        <v>22</v>
      </c>
      <c r="B4" s="9">
        <v>0.95806523657865916</v>
      </c>
    </row>
    <row r="5" spans="1:9" x14ac:dyDescent="0.3">
      <c r="A5" s="9" t="s">
        <v>23</v>
      </c>
      <c r="B5" s="9">
        <v>0.91788899754052211</v>
      </c>
    </row>
    <row r="6" spans="1:9" x14ac:dyDescent="0.3">
      <c r="A6" s="9" t="s">
        <v>24</v>
      </c>
      <c r="B6" s="9">
        <v>0.90420383046394248</v>
      </c>
    </row>
    <row r="7" spans="1:9" x14ac:dyDescent="0.3">
      <c r="A7" s="9" t="s">
        <v>25</v>
      </c>
      <c r="B7" s="9">
        <v>414.50331244966662</v>
      </c>
    </row>
    <row r="8" spans="1:9" ht="15" thickBot="1" x14ac:dyDescent="0.35">
      <c r="A8" s="17" t="s">
        <v>26</v>
      </c>
      <c r="B8" s="17">
        <v>8</v>
      </c>
    </row>
    <row r="10" spans="1:9" ht="15" thickBot="1" x14ac:dyDescent="0.35">
      <c r="A10" t="s">
        <v>27</v>
      </c>
    </row>
    <row r="11" spans="1:9" x14ac:dyDescent="0.3">
      <c r="A11" s="18"/>
      <c r="B11" s="18" t="s">
        <v>31</v>
      </c>
      <c r="C11" s="18" t="s">
        <v>32</v>
      </c>
      <c r="D11" s="18" t="s">
        <v>33</v>
      </c>
      <c r="E11" s="18" t="s">
        <v>34</v>
      </c>
      <c r="F11" s="18" t="s">
        <v>35</v>
      </c>
    </row>
    <row r="12" spans="1:9" x14ac:dyDescent="0.3">
      <c r="A12" s="9" t="s">
        <v>28</v>
      </c>
      <c r="B12" s="9">
        <v>1</v>
      </c>
      <c r="C12" s="9">
        <v>11523809.523809524</v>
      </c>
      <c r="D12" s="9">
        <v>11523809.523809524</v>
      </c>
      <c r="E12" s="9">
        <v>67.071815229159185</v>
      </c>
      <c r="F12" s="9">
        <v>1.7860862471323006E-4</v>
      </c>
    </row>
    <row r="13" spans="1:9" x14ac:dyDescent="0.3">
      <c r="A13" s="9" t="s">
        <v>29</v>
      </c>
      <c r="B13" s="9">
        <v>6</v>
      </c>
      <c r="C13" s="9">
        <v>1030877.9761904756</v>
      </c>
      <c r="D13" s="9">
        <v>171812.99603174595</v>
      </c>
      <c r="E13" s="9"/>
      <c r="F13" s="9"/>
    </row>
    <row r="14" spans="1:9" ht="15" thickBot="1" x14ac:dyDescent="0.35">
      <c r="A14" s="17" t="s">
        <v>30</v>
      </c>
      <c r="B14" s="17">
        <v>7</v>
      </c>
      <c r="C14" s="17">
        <v>12554687.5</v>
      </c>
      <c r="D14" s="17"/>
      <c r="E14" s="17"/>
      <c r="F14" s="17"/>
    </row>
    <row r="15" spans="1:9" ht="15" thickBot="1" x14ac:dyDescent="0.35"/>
    <row r="16" spans="1:9" x14ac:dyDescent="0.3">
      <c r="A16" s="18"/>
      <c r="B16" s="18" t="s">
        <v>36</v>
      </c>
      <c r="C16" s="18" t="s">
        <v>25</v>
      </c>
      <c r="D16" s="18" t="s">
        <v>37</v>
      </c>
      <c r="E16" s="18" t="s">
        <v>38</v>
      </c>
      <c r="F16" s="18" t="s">
        <v>39</v>
      </c>
      <c r="G16" s="18" t="s">
        <v>40</v>
      </c>
      <c r="H16" s="18" t="s">
        <v>41</v>
      </c>
      <c r="I16" s="18" t="s">
        <v>42</v>
      </c>
    </row>
    <row r="17" spans="1:9" x14ac:dyDescent="0.3">
      <c r="A17" s="9" t="s">
        <v>5</v>
      </c>
      <c r="B17" s="9">
        <v>18438.988095238095</v>
      </c>
      <c r="C17" s="9">
        <v>440.80870787753844</v>
      </c>
      <c r="D17" s="9">
        <v>41.829908905430813</v>
      </c>
      <c r="E17" s="9">
        <v>1.2487616472712049E-8</v>
      </c>
      <c r="F17" s="9">
        <v>17360.368043844646</v>
      </c>
      <c r="G17" s="9">
        <v>19517.608146631545</v>
      </c>
      <c r="H17" s="9">
        <v>17360.368043844646</v>
      </c>
      <c r="I17" s="9">
        <v>19517.608146631545</v>
      </c>
    </row>
    <row r="18" spans="1:9" ht="15" thickBot="1" x14ac:dyDescent="0.35">
      <c r="A18" s="17" t="s">
        <v>43</v>
      </c>
      <c r="B18" s="17">
        <v>523.80952380952385</v>
      </c>
      <c r="C18" s="17">
        <v>63.95924968136724</v>
      </c>
      <c r="D18" s="17">
        <v>8.1897384103009774</v>
      </c>
      <c r="E18" s="17">
        <v>1.7860862471323006E-4</v>
      </c>
      <c r="F18" s="17">
        <v>367.30687777384622</v>
      </c>
      <c r="G18" s="17">
        <v>680.31216984520142</v>
      </c>
      <c r="H18" s="17">
        <v>367.30687777384622</v>
      </c>
      <c r="I18" s="17">
        <v>680.31216984520142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417DE-25CA-4052-8393-A8A749B4D696}">
  <dimension ref="A1:Q21"/>
  <sheetViews>
    <sheetView workbookViewId="0">
      <selection activeCell="F2" sqref="F2:F5"/>
    </sheetView>
  </sheetViews>
  <sheetFormatPr defaultRowHeight="14.4" x14ac:dyDescent="0.3"/>
  <cols>
    <col min="3" max="3" width="21" bestFit="1" customWidth="1"/>
    <col min="6" max="6" width="12" bestFit="1" customWidth="1"/>
  </cols>
  <sheetData>
    <row r="1" spans="1:17" x14ac:dyDescent="0.3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s="6"/>
      <c r="H1" s="6"/>
      <c r="I1" s="6"/>
      <c r="J1" s="6"/>
      <c r="K1" s="6"/>
      <c r="L1" s="6"/>
    </row>
    <row r="2" spans="1:17" x14ac:dyDescent="0.3">
      <c r="A2">
        <v>1</v>
      </c>
      <c r="B2">
        <v>8000</v>
      </c>
      <c r="D2">
        <f>18439+A2*524</f>
        <v>18963</v>
      </c>
      <c r="E2">
        <f>B2/D2</f>
        <v>0.42187417602699995</v>
      </c>
      <c r="F2" s="7">
        <f>AVERAGE(E2,E6,E10)</f>
        <v>0.47165904366200612</v>
      </c>
      <c r="G2" s="8"/>
      <c r="H2" s="8"/>
      <c r="I2" s="6"/>
      <c r="J2" s="6"/>
      <c r="K2" s="6"/>
      <c r="L2" s="6"/>
    </row>
    <row r="3" spans="1:17" x14ac:dyDescent="0.3">
      <c r="A3">
        <v>2</v>
      </c>
      <c r="B3">
        <v>13000</v>
      </c>
      <c r="D3">
        <f t="shared" ref="D3:D13" si="0">18439+A3*524</f>
        <v>19487</v>
      </c>
      <c r="E3">
        <f t="shared" ref="E3:E13" si="1">B3/D3</f>
        <v>0.66711140760507004</v>
      </c>
      <c r="F3" s="7">
        <f>AVERAGE(E3,E7,E11)</f>
        <v>0.68337026424948055</v>
      </c>
      <c r="G3" s="9"/>
      <c r="H3" s="9"/>
      <c r="I3" s="13"/>
      <c r="J3" s="13"/>
      <c r="K3" s="13"/>
      <c r="L3" s="13"/>
      <c r="M3" s="13"/>
      <c r="N3" s="13"/>
      <c r="O3" s="13"/>
      <c r="P3" s="13"/>
      <c r="Q3" s="13"/>
    </row>
    <row r="4" spans="1:17" x14ac:dyDescent="0.3">
      <c r="A4">
        <v>3</v>
      </c>
      <c r="B4">
        <v>23000</v>
      </c>
      <c r="C4">
        <f>(B2+B6+2*SUM(B3:B5))/8</f>
        <v>19750</v>
      </c>
      <c r="D4">
        <f t="shared" si="0"/>
        <v>20011</v>
      </c>
      <c r="E4">
        <f t="shared" si="1"/>
        <v>1.1493678476837739</v>
      </c>
      <c r="F4" s="7">
        <f>AVERAGE(E4,E8,E12)</f>
        <v>1.1706374798527197</v>
      </c>
      <c r="G4" s="9"/>
      <c r="H4" s="9"/>
      <c r="I4" s="13"/>
      <c r="J4" s="13"/>
      <c r="K4" s="13"/>
      <c r="L4" s="13"/>
      <c r="M4" s="13"/>
      <c r="N4" s="13"/>
      <c r="O4" s="13"/>
      <c r="P4" s="13"/>
      <c r="Q4" s="13"/>
    </row>
    <row r="5" spans="1:17" x14ac:dyDescent="0.3">
      <c r="A5">
        <v>4</v>
      </c>
      <c r="B5">
        <v>34000</v>
      </c>
      <c r="C5">
        <f t="shared" ref="C5:C11" si="2">(B3+B7+2*SUM(B4:B6))/8</f>
        <v>20625</v>
      </c>
      <c r="D5">
        <f t="shared" si="0"/>
        <v>20535</v>
      </c>
      <c r="E5">
        <f t="shared" si="1"/>
        <v>1.6557097638178719</v>
      </c>
      <c r="F5" s="7">
        <f>AVERAGE(E5,E9,E13)</f>
        <v>1.6643096695132693</v>
      </c>
      <c r="G5" s="9"/>
      <c r="H5" s="9"/>
      <c r="I5" s="8"/>
      <c r="J5" s="8"/>
      <c r="K5" s="13"/>
      <c r="L5" s="13"/>
      <c r="M5" s="13"/>
      <c r="N5" s="13"/>
      <c r="O5" s="13"/>
      <c r="P5" s="13"/>
      <c r="Q5" s="13"/>
    </row>
    <row r="6" spans="1:17" x14ac:dyDescent="0.3">
      <c r="A6">
        <v>5</v>
      </c>
      <c r="B6">
        <v>10000</v>
      </c>
      <c r="C6">
        <f t="shared" si="2"/>
        <v>21250</v>
      </c>
      <c r="D6">
        <f t="shared" si="0"/>
        <v>21059</v>
      </c>
      <c r="E6">
        <f t="shared" si="1"/>
        <v>0.47485635595232445</v>
      </c>
      <c r="G6" s="9"/>
      <c r="H6" s="9"/>
      <c r="I6" s="9"/>
      <c r="J6" s="9"/>
      <c r="K6" s="13"/>
      <c r="L6" s="13"/>
      <c r="M6" s="13"/>
      <c r="N6" s="13"/>
      <c r="O6" s="13"/>
      <c r="P6" s="13"/>
      <c r="Q6" s="13"/>
    </row>
    <row r="7" spans="1:17" x14ac:dyDescent="0.3">
      <c r="A7">
        <v>6</v>
      </c>
      <c r="B7">
        <v>18000</v>
      </c>
      <c r="C7">
        <f t="shared" si="2"/>
        <v>21750</v>
      </c>
      <c r="D7">
        <f t="shared" si="0"/>
        <v>21583</v>
      </c>
      <c r="E7">
        <f t="shared" si="1"/>
        <v>0.83398971412685907</v>
      </c>
      <c r="G7" s="9"/>
      <c r="H7" s="9"/>
      <c r="I7" s="9"/>
      <c r="J7" s="9"/>
      <c r="K7" s="13"/>
      <c r="L7" s="13"/>
      <c r="M7" s="13"/>
      <c r="N7" s="13"/>
      <c r="O7" s="13"/>
      <c r="P7" s="13"/>
      <c r="Q7" s="13"/>
    </row>
    <row r="8" spans="1:17" x14ac:dyDescent="0.3">
      <c r="A8">
        <v>7</v>
      </c>
      <c r="B8">
        <v>23000</v>
      </c>
      <c r="C8">
        <f t="shared" si="2"/>
        <v>22500</v>
      </c>
      <c r="D8">
        <f t="shared" si="0"/>
        <v>22107</v>
      </c>
      <c r="E8">
        <f t="shared" si="1"/>
        <v>1.0403944451983536</v>
      </c>
      <c r="G8" s="6"/>
      <c r="H8" s="6"/>
      <c r="I8" s="9"/>
      <c r="J8" s="9"/>
      <c r="K8" s="13"/>
      <c r="L8" s="13"/>
      <c r="M8" s="13"/>
      <c r="N8" s="13"/>
      <c r="O8" s="13"/>
      <c r="P8" s="13"/>
      <c r="Q8" s="13"/>
    </row>
    <row r="9" spans="1:17" x14ac:dyDescent="0.3">
      <c r="A9">
        <v>8</v>
      </c>
      <c r="B9">
        <v>38000</v>
      </c>
      <c r="C9">
        <f t="shared" si="2"/>
        <v>22125</v>
      </c>
      <c r="D9">
        <f t="shared" si="0"/>
        <v>22631</v>
      </c>
      <c r="E9">
        <f t="shared" si="1"/>
        <v>1.6791127214882242</v>
      </c>
      <c r="G9" s="6"/>
      <c r="H9" s="6"/>
      <c r="I9" s="9"/>
      <c r="J9" s="9"/>
      <c r="K9" s="13"/>
      <c r="L9" s="13"/>
      <c r="M9" s="13"/>
      <c r="N9" s="13"/>
      <c r="O9" s="13"/>
      <c r="P9" s="13"/>
      <c r="Q9" s="13"/>
    </row>
    <row r="10" spans="1:17" x14ac:dyDescent="0.3">
      <c r="A10">
        <v>9</v>
      </c>
      <c r="B10">
        <v>12000</v>
      </c>
      <c r="C10">
        <f t="shared" si="2"/>
        <v>22625</v>
      </c>
      <c r="D10">
        <f t="shared" si="0"/>
        <v>23155</v>
      </c>
      <c r="E10">
        <f t="shared" si="1"/>
        <v>0.51824659900669401</v>
      </c>
      <c r="G10" s="10"/>
      <c r="H10" s="10"/>
      <c r="I10" s="9"/>
      <c r="J10" s="9"/>
      <c r="K10" s="13"/>
      <c r="L10" s="13"/>
      <c r="M10" s="13"/>
      <c r="N10" s="13"/>
      <c r="O10" s="13"/>
      <c r="P10" s="13"/>
      <c r="Q10" s="13"/>
    </row>
    <row r="11" spans="1:17" x14ac:dyDescent="0.3">
      <c r="A11">
        <v>10</v>
      </c>
      <c r="B11">
        <v>13000</v>
      </c>
      <c r="C11">
        <f t="shared" si="2"/>
        <v>24125</v>
      </c>
      <c r="D11">
        <f t="shared" si="0"/>
        <v>23679</v>
      </c>
      <c r="E11">
        <f t="shared" si="1"/>
        <v>0.54900967101651255</v>
      </c>
      <c r="G11" s="9"/>
      <c r="H11" s="9"/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3">
      <c r="A12">
        <v>11</v>
      </c>
      <c r="B12">
        <v>32000</v>
      </c>
      <c r="D12">
        <f t="shared" si="0"/>
        <v>24203</v>
      </c>
      <c r="E12">
        <f t="shared" si="1"/>
        <v>1.3221501466760319</v>
      </c>
      <c r="G12" s="9"/>
      <c r="H12" s="9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3">
      <c r="A13">
        <v>12</v>
      </c>
      <c r="B13">
        <v>41000</v>
      </c>
      <c r="D13">
        <f t="shared" si="0"/>
        <v>24727</v>
      </c>
      <c r="E13">
        <f t="shared" si="1"/>
        <v>1.6581065232337122</v>
      </c>
      <c r="G13" s="9"/>
      <c r="H13" s="9"/>
      <c r="I13" s="10"/>
      <c r="J13" s="10"/>
      <c r="K13" s="10"/>
      <c r="L13" s="10"/>
      <c r="M13" s="10"/>
      <c r="N13" s="10"/>
      <c r="O13" s="13"/>
      <c r="P13" s="13"/>
      <c r="Q13" s="13"/>
    </row>
    <row r="14" spans="1:17" x14ac:dyDescent="0.3">
      <c r="A14" s="11">
        <v>13</v>
      </c>
      <c r="B14" s="11"/>
      <c r="C14" s="11"/>
      <c r="D14" s="11">
        <f>(18439+A14*524)*F2</f>
        <v>11909.862511509316</v>
      </c>
      <c r="E14" s="11"/>
      <c r="F14" s="11"/>
      <c r="G14" s="11"/>
      <c r="I14" s="9"/>
      <c r="J14" s="9"/>
      <c r="K14" s="9"/>
      <c r="L14" s="9"/>
      <c r="M14" s="9"/>
      <c r="N14" s="9"/>
      <c r="O14" s="13"/>
      <c r="P14" s="13"/>
      <c r="Q14" s="13"/>
    </row>
    <row r="15" spans="1:17" x14ac:dyDescent="0.3">
      <c r="I15" s="9"/>
      <c r="J15" s="9"/>
      <c r="K15" s="9"/>
      <c r="L15" s="9"/>
      <c r="M15" s="9"/>
      <c r="N15" s="9"/>
      <c r="O15" s="13"/>
      <c r="P15" s="13"/>
      <c r="Q15" s="13"/>
    </row>
    <row r="16" spans="1:17" x14ac:dyDescent="0.3">
      <c r="A16" s="2" t="s">
        <v>2</v>
      </c>
      <c r="B16" s="2"/>
      <c r="C16" s="3" t="s">
        <v>3</v>
      </c>
      <c r="D16" s="3"/>
      <c r="F16" t="s">
        <v>4</v>
      </c>
      <c r="G16" s="4" t="s">
        <v>5</v>
      </c>
      <c r="H16" s="4"/>
      <c r="I16" s="13"/>
      <c r="J16" s="13"/>
      <c r="K16" s="13"/>
      <c r="L16" s="13"/>
      <c r="M16" s="13"/>
      <c r="N16" s="13"/>
      <c r="O16" s="13"/>
      <c r="P16" s="13"/>
      <c r="Q16" s="13"/>
    </row>
    <row r="17" spans="2:17" x14ac:dyDescent="0.3">
      <c r="I17" s="9"/>
      <c r="J17" s="9"/>
      <c r="K17" s="9"/>
      <c r="L17" s="9"/>
      <c r="M17" s="9"/>
      <c r="N17" s="9"/>
      <c r="O17" s="13"/>
      <c r="P17" s="13"/>
      <c r="Q17" s="13"/>
    </row>
    <row r="18" spans="2:17" x14ac:dyDescent="0.3">
      <c r="B18" t="s">
        <v>11</v>
      </c>
      <c r="C18">
        <v>18439</v>
      </c>
      <c r="I18" s="13"/>
      <c r="J18" s="13"/>
      <c r="K18" s="13"/>
      <c r="L18" s="13"/>
      <c r="M18" s="13"/>
      <c r="N18" s="13"/>
      <c r="O18" s="13"/>
      <c r="P18" s="13"/>
      <c r="Q18" s="13"/>
    </row>
    <row r="19" spans="2:17" x14ac:dyDescent="0.3">
      <c r="B19" t="s">
        <v>44</v>
      </c>
      <c r="C19">
        <v>524</v>
      </c>
      <c r="I19" s="10"/>
      <c r="J19" s="10"/>
      <c r="K19" s="10"/>
      <c r="L19" s="10"/>
      <c r="M19" s="10"/>
      <c r="N19" s="10"/>
      <c r="O19" s="10"/>
      <c r="P19" s="10"/>
      <c r="Q19" s="10"/>
    </row>
    <row r="20" spans="2:17" x14ac:dyDescent="0.3">
      <c r="I20" s="9"/>
      <c r="J20" s="9"/>
      <c r="K20" s="9"/>
      <c r="L20" s="9"/>
      <c r="M20" s="9"/>
      <c r="N20" s="9"/>
      <c r="O20" s="9"/>
      <c r="P20" s="9"/>
      <c r="Q20" s="9"/>
    </row>
    <row r="21" spans="2:17" x14ac:dyDescent="0.3">
      <c r="I21" s="9"/>
      <c r="J21" s="9"/>
      <c r="K21" s="9"/>
      <c r="L21" s="9"/>
      <c r="M21" s="9"/>
      <c r="N21" s="9"/>
      <c r="O21" s="9"/>
      <c r="P21" s="9"/>
      <c r="Q21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C6E06-836E-4C55-A27E-14901A228402}">
  <dimension ref="A1:S13"/>
  <sheetViews>
    <sheetView workbookViewId="0">
      <selection activeCell="E7" sqref="E7"/>
    </sheetView>
  </sheetViews>
  <sheetFormatPr defaultRowHeight="14.4" x14ac:dyDescent="0.3"/>
  <cols>
    <col min="2" max="2" width="10.109375" bestFit="1" customWidth="1"/>
    <col min="7" max="7" width="16.88671875" bestFit="1" customWidth="1"/>
    <col min="12" max="12" width="16" bestFit="1" customWidth="1"/>
    <col min="19" max="19" width="9.5546875" bestFit="1" customWidth="1"/>
  </cols>
  <sheetData>
    <row r="1" spans="1:19" x14ac:dyDescent="0.3">
      <c r="A1" s="1" t="s">
        <v>0</v>
      </c>
      <c r="B1" s="1" t="s">
        <v>1</v>
      </c>
      <c r="C1" t="s">
        <v>12</v>
      </c>
      <c r="D1" t="s">
        <v>13</v>
      </c>
      <c r="E1" t="s">
        <v>14</v>
      </c>
    </row>
    <row r="2" spans="1:19" x14ac:dyDescent="0.3">
      <c r="A2" s="1">
        <v>1</v>
      </c>
      <c r="B2" s="1">
        <v>120</v>
      </c>
    </row>
    <row r="3" spans="1:19" ht="13.2" customHeight="1" x14ac:dyDescent="0.3">
      <c r="A3" s="1">
        <v>2</v>
      </c>
      <c r="B3" s="1">
        <v>127</v>
      </c>
      <c r="S3" s="14"/>
    </row>
    <row r="4" spans="1:19" x14ac:dyDescent="0.3">
      <c r="A4" s="1">
        <v>3</v>
      </c>
      <c r="B4" s="1">
        <v>114</v>
      </c>
      <c r="S4" s="14"/>
    </row>
    <row r="5" spans="1:19" x14ac:dyDescent="0.3">
      <c r="A5" s="1">
        <v>4</v>
      </c>
      <c r="B5" s="1">
        <v>122</v>
      </c>
      <c r="S5" s="14"/>
    </row>
    <row r="6" spans="1:19" x14ac:dyDescent="0.3">
      <c r="A6" s="1">
        <v>5</v>
      </c>
      <c r="B6" s="1">
        <v>125</v>
      </c>
      <c r="C6">
        <f>AVERAGE(B2:B5)</f>
        <v>120.75</v>
      </c>
      <c r="D6">
        <v>120.75</v>
      </c>
      <c r="E6">
        <f>D6-B6</f>
        <v>-4.25</v>
      </c>
      <c r="S6" s="14"/>
    </row>
    <row r="7" spans="1:19" x14ac:dyDescent="0.3">
      <c r="A7" s="12"/>
      <c r="B7" s="12"/>
      <c r="S7" s="14"/>
    </row>
    <row r="8" spans="1:19" x14ac:dyDescent="0.3">
      <c r="A8" s="12"/>
      <c r="B8" s="12"/>
      <c r="S8" s="14"/>
    </row>
    <row r="9" spans="1:19" x14ac:dyDescent="0.3">
      <c r="A9" s="12"/>
      <c r="B9" s="12"/>
      <c r="S9" s="14"/>
    </row>
    <row r="10" spans="1:19" x14ac:dyDescent="0.3">
      <c r="A10" s="12"/>
      <c r="B10" s="12"/>
      <c r="S10" s="14"/>
    </row>
    <row r="11" spans="1:19" x14ac:dyDescent="0.3">
      <c r="A11" s="12"/>
      <c r="B11" s="12"/>
      <c r="S11" s="14"/>
    </row>
    <row r="12" spans="1:19" x14ac:dyDescent="0.3">
      <c r="A12" s="12"/>
      <c r="B12" s="12"/>
      <c r="S12" s="14"/>
    </row>
    <row r="13" spans="1:19" x14ac:dyDescent="0.3">
      <c r="A13" s="12"/>
      <c r="B13" s="12"/>
      <c r="S13" s="1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6898D-7B32-4B2B-8683-6956AF4B2200}">
  <dimension ref="A1:M7"/>
  <sheetViews>
    <sheetView workbookViewId="0">
      <selection activeCell="H20" sqref="H20"/>
    </sheetView>
  </sheetViews>
  <sheetFormatPr defaultRowHeight="14.4" x14ac:dyDescent="0.3"/>
  <sheetData>
    <row r="1" spans="1:13" x14ac:dyDescent="0.3">
      <c r="A1" s="1" t="s">
        <v>0</v>
      </c>
      <c r="B1" s="1" t="s">
        <v>1</v>
      </c>
      <c r="C1" t="s">
        <v>11</v>
      </c>
      <c r="D1" t="s">
        <v>13</v>
      </c>
      <c r="E1" t="s">
        <v>14</v>
      </c>
      <c r="L1" s="5" t="s">
        <v>15</v>
      </c>
      <c r="M1" s="5">
        <v>0.1</v>
      </c>
    </row>
    <row r="2" spans="1:13" x14ac:dyDescent="0.3">
      <c r="A2" s="1">
        <v>0</v>
      </c>
      <c r="B2" s="1"/>
      <c r="C2">
        <f>AVERAGE(B3:B6)</f>
        <v>120.75</v>
      </c>
      <c r="L2" s="5"/>
      <c r="M2" s="5"/>
    </row>
    <row r="3" spans="1:13" x14ac:dyDescent="0.3">
      <c r="A3" s="1">
        <v>1</v>
      </c>
      <c r="B3" s="1">
        <v>120</v>
      </c>
      <c r="C3">
        <f>(0.1*B3)+(0.9*C2)</f>
        <v>120.675</v>
      </c>
      <c r="D3">
        <v>120.75</v>
      </c>
      <c r="E3">
        <f>D3-B3</f>
        <v>0.75</v>
      </c>
    </row>
    <row r="4" spans="1:13" x14ac:dyDescent="0.3">
      <c r="A4" s="1">
        <v>2</v>
      </c>
      <c r="B4" s="1">
        <v>127</v>
      </c>
      <c r="C4">
        <f>(0.1*B4)+(0.9*D4)</f>
        <v>121.3075</v>
      </c>
      <c r="D4">
        <v>120.675</v>
      </c>
      <c r="E4">
        <f>D4-B4</f>
        <v>-6.3250000000000028</v>
      </c>
    </row>
    <row r="5" spans="1:13" x14ac:dyDescent="0.3">
      <c r="A5" s="1">
        <v>3</v>
      </c>
      <c r="B5" s="1">
        <v>114</v>
      </c>
      <c r="C5">
        <f>(0.1*B5)+(0.9*D5)</f>
        <v>119.67675000000001</v>
      </c>
      <c r="D5">
        <v>120.3075</v>
      </c>
      <c r="E5">
        <f>D5-B5</f>
        <v>6.3075000000000045</v>
      </c>
    </row>
    <row r="6" spans="1:13" x14ac:dyDescent="0.3">
      <c r="A6" s="1">
        <v>4</v>
      </c>
      <c r="B6" s="1">
        <v>122</v>
      </c>
      <c r="C6">
        <f>(0.1*B6)+(0.9*D6)</f>
        <v>119.9102</v>
      </c>
      <c r="D6">
        <v>119.678</v>
      </c>
      <c r="E6">
        <f>D6-B6</f>
        <v>-2.3220000000000027</v>
      </c>
    </row>
    <row r="7" spans="1:13" x14ac:dyDescent="0.3">
      <c r="A7" s="1">
        <v>5</v>
      </c>
      <c r="B7" s="12"/>
      <c r="D7">
        <v>119.9102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1D18E-92BA-426A-BC1B-46A6A3E6C868}">
  <dimension ref="A1:I18"/>
  <sheetViews>
    <sheetView workbookViewId="0">
      <selection activeCell="K20" sqref="K20"/>
    </sheetView>
  </sheetViews>
  <sheetFormatPr defaultRowHeight="14.4" x14ac:dyDescent="0.3"/>
  <sheetData>
    <row r="1" spans="1:9" x14ac:dyDescent="0.3">
      <c r="A1" t="s">
        <v>20</v>
      </c>
    </row>
    <row r="2" spans="1:9" ht="15" thickBot="1" x14ac:dyDescent="0.35"/>
    <row r="3" spans="1:9" x14ac:dyDescent="0.3">
      <c r="A3" s="19" t="s">
        <v>21</v>
      </c>
      <c r="B3" s="19"/>
    </row>
    <row r="4" spans="1:9" x14ac:dyDescent="0.3">
      <c r="A4" s="9" t="s">
        <v>22</v>
      </c>
      <c r="B4" s="9">
        <v>0.95566482788194207</v>
      </c>
    </row>
    <row r="5" spans="1:9" x14ac:dyDescent="0.3">
      <c r="A5" s="9" t="s">
        <v>23</v>
      </c>
      <c r="B5" s="9">
        <v>0.91329526325062194</v>
      </c>
    </row>
    <row r="6" spans="1:9" x14ac:dyDescent="0.3">
      <c r="A6" s="9" t="s">
        <v>24</v>
      </c>
      <c r="B6" s="9">
        <v>0.89161907906327742</v>
      </c>
    </row>
    <row r="7" spans="1:9" x14ac:dyDescent="0.3">
      <c r="A7" s="9" t="s">
        <v>25</v>
      </c>
      <c r="B7" s="9">
        <v>433.95140171178048</v>
      </c>
    </row>
    <row r="8" spans="1:9" ht="15" thickBot="1" x14ac:dyDescent="0.35">
      <c r="A8" s="17" t="s">
        <v>26</v>
      </c>
      <c r="B8" s="17">
        <v>6</v>
      </c>
    </row>
    <row r="10" spans="1:9" ht="15" thickBot="1" x14ac:dyDescent="0.35">
      <c r="A10" t="s">
        <v>27</v>
      </c>
    </row>
    <row r="11" spans="1:9" x14ac:dyDescent="0.3">
      <c r="A11" s="18"/>
      <c r="B11" s="18" t="s">
        <v>31</v>
      </c>
      <c r="C11" s="18" t="s">
        <v>32</v>
      </c>
      <c r="D11" s="18" t="s">
        <v>33</v>
      </c>
      <c r="E11" s="18" t="s">
        <v>34</v>
      </c>
      <c r="F11" s="18" t="s">
        <v>35</v>
      </c>
    </row>
    <row r="12" spans="1:9" x14ac:dyDescent="0.3">
      <c r="A12" s="9" t="s">
        <v>28</v>
      </c>
      <c r="B12" s="9">
        <v>1</v>
      </c>
      <c r="C12" s="9">
        <v>7934335.5571428575</v>
      </c>
      <c r="D12" s="9">
        <v>7934335.5571428575</v>
      </c>
      <c r="E12" s="9">
        <v>42.133581047158813</v>
      </c>
      <c r="F12" s="9">
        <v>2.9048384569861996E-3</v>
      </c>
    </row>
    <row r="13" spans="1:9" x14ac:dyDescent="0.3">
      <c r="A13" s="9" t="s">
        <v>29</v>
      </c>
      <c r="B13" s="9">
        <v>4</v>
      </c>
      <c r="C13" s="9">
        <v>753255.27619047626</v>
      </c>
      <c r="D13" s="9">
        <v>188313.81904761906</v>
      </c>
      <c r="E13" s="9"/>
      <c r="F13" s="9"/>
    </row>
    <row r="14" spans="1:9" ht="15" thickBot="1" x14ac:dyDescent="0.35">
      <c r="A14" s="17" t="s">
        <v>30</v>
      </c>
      <c r="B14" s="17">
        <v>5</v>
      </c>
      <c r="C14" s="17">
        <v>8687590.833333334</v>
      </c>
      <c r="D14" s="17"/>
      <c r="E14" s="17"/>
      <c r="F14" s="17"/>
    </row>
    <row r="15" spans="1:9" ht="15" thickBot="1" x14ac:dyDescent="0.35"/>
    <row r="16" spans="1:9" x14ac:dyDescent="0.3">
      <c r="A16" s="18"/>
      <c r="B16" s="18" t="s">
        <v>36</v>
      </c>
      <c r="C16" s="18" t="s">
        <v>25</v>
      </c>
      <c r="D16" s="18" t="s">
        <v>37</v>
      </c>
      <c r="E16" s="18" t="s">
        <v>38</v>
      </c>
      <c r="F16" s="18" t="s">
        <v>39</v>
      </c>
      <c r="G16" s="18" t="s">
        <v>40</v>
      </c>
      <c r="H16" s="18" t="s">
        <v>41</v>
      </c>
      <c r="I16" s="18" t="s">
        <v>42</v>
      </c>
    </row>
    <row r="17" spans="1:9" x14ac:dyDescent="0.3">
      <c r="A17" s="9" t="s">
        <v>5</v>
      </c>
      <c r="B17" s="9">
        <v>7367.1333333333332</v>
      </c>
      <c r="C17" s="9">
        <v>403.98676938888713</v>
      </c>
      <c r="D17" s="9">
        <v>18.236075761782086</v>
      </c>
      <c r="E17" s="9">
        <v>5.3182561761527798E-5</v>
      </c>
      <c r="F17" s="9">
        <v>6245.4862448988879</v>
      </c>
      <c r="G17" s="9">
        <v>8488.7804217677785</v>
      </c>
      <c r="H17" s="9">
        <v>6245.4862448988879</v>
      </c>
      <c r="I17" s="9">
        <v>8488.7804217677785</v>
      </c>
    </row>
    <row r="18" spans="1:9" ht="15" thickBot="1" x14ac:dyDescent="0.35">
      <c r="A18" s="17" t="s">
        <v>43</v>
      </c>
      <c r="B18" s="17">
        <v>673.34285714285727</v>
      </c>
      <c r="C18" s="17">
        <v>103.73422607733643</v>
      </c>
      <c r="D18" s="17">
        <v>6.4910385183850847</v>
      </c>
      <c r="E18" s="17">
        <v>2.9048384569861948E-3</v>
      </c>
      <c r="F18" s="17">
        <v>385.33047290895524</v>
      </c>
      <c r="G18" s="17">
        <v>961.3552413767593</v>
      </c>
      <c r="H18" s="17">
        <v>385.33047290895524</v>
      </c>
      <c r="I18" s="17">
        <v>961.3552413767593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01CFE-95B5-4510-B2AB-8DA388FF89F8}">
  <dimension ref="A1:O18"/>
  <sheetViews>
    <sheetView workbookViewId="0">
      <selection activeCell="I20" sqref="I20"/>
    </sheetView>
  </sheetViews>
  <sheetFormatPr defaultRowHeight="14.4" x14ac:dyDescent="0.3"/>
  <sheetData>
    <row r="1" spans="1:15" x14ac:dyDescent="0.3">
      <c r="A1" s="15" t="s">
        <v>0</v>
      </c>
      <c r="B1" s="15" t="s">
        <v>1</v>
      </c>
      <c r="C1" t="s">
        <v>10</v>
      </c>
      <c r="D1" t="s">
        <v>16</v>
      </c>
      <c r="E1" t="s">
        <v>17</v>
      </c>
      <c r="G1" s="13"/>
      <c r="H1" s="6"/>
      <c r="I1" s="6"/>
    </row>
    <row r="2" spans="1:15" x14ac:dyDescent="0.3">
      <c r="A2" s="15">
        <v>0</v>
      </c>
      <c r="C2">
        <v>7367</v>
      </c>
      <c r="D2">
        <v>673</v>
      </c>
      <c r="G2" s="6"/>
      <c r="H2" s="6"/>
      <c r="I2" s="6"/>
    </row>
    <row r="3" spans="1:15" x14ac:dyDescent="0.3">
      <c r="A3" s="15">
        <v>1</v>
      </c>
      <c r="B3" s="15">
        <v>8415</v>
      </c>
      <c r="C3">
        <f>$K$4*B3+(1-$K$4)*(C2+D2)</f>
        <v>8077.5</v>
      </c>
      <c r="D3">
        <f>$K$5*(C3-C2)+(1-$K$5)*D2</f>
        <v>680.5</v>
      </c>
      <c r="E3">
        <f>C2+D2</f>
        <v>8040</v>
      </c>
      <c r="G3" s="8"/>
      <c r="H3" s="8"/>
      <c r="I3" s="6"/>
    </row>
    <row r="4" spans="1:15" x14ac:dyDescent="0.3">
      <c r="A4" s="15">
        <v>2</v>
      </c>
      <c r="B4" s="15">
        <v>8732</v>
      </c>
      <c r="C4">
        <f t="shared" ref="C4:C9" si="0">$K$4*B4+(1-$K$4)*(C3+D3)</f>
        <v>8755.4</v>
      </c>
      <c r="D4">
        <f t="shared" ref="D4:D9" si="1">$K$5*(C4-C3)+(1-$K$5)*D3</f>
        <v>679.9799999999999</v>
      </c>
      <c r="E4">
        <f t="shared" ref="E4:E9" si="2">C3+D3</f>
        <v>8758</v>
      </c>
      <c r="G4" s="9"/>
      <c r="H4" s="9"/>
      <c r="I4" s="6"/>
      <c r="J4" s="15" t="s">
        <v>18</v>
      </c>
      <c r="K4" s="15">
        <v>0.1</v>
      </c>
    </row>
    <row r="5" spans="1:15" x14ac:dyDescent="0.3">
      <c r="A5" s="15">
        <v>3</v>
      </c>
      <c r="B5" s="15">
        <v>9014</v>
      </c>
      <c r="C5">
        <f t="shared" si="0"/>
        <v>9393.2419999999984</v>
      </c>
      <c r="D5">
        <f t="shared" si="1"/>
        <v>671.55239999999969</v>
      </c>
      <c r="E5">
        <f t="shared" si="2"/>
        <v>9435.3799999999992</v>
      </c>
      <c r="G5" s="9"/>
      <c r="H5" s="9"/>
      <c r="I5" s="6"/>
      <c r="J5" s="15" t="s">
        <v>19</v>
      </c>
      <c r="K5" s="15">
        <v>0.2</v>
      </c>
    </row>
    <row r="6" spans="1:15" x14ac:dyDescent="0.3">
      <c r="A6" s="15">
        <v>4</v>
      </c>
      <c r="B6" s="15">
        <v>9808</v>
      </c>
      <c r="C6">
        <f t="shared" si="0"/>
        <v>10039.114959999999</v>
      </c>
      <c r="D6">
        <f t="shared" si="1"/>
        <v>666.41651200000001</v>
      </c>
      <c r="E6">
        <f t="shared" si="2"/>
        <v>10064.794399999999</v>
      </c>
      <c r="G6" s="9"/>
      <c r="H6" s="9"/>
      <c r="I6" s="6"/>
    </row>
    <row r="7" spans="1:15" x14ac:dyDescent="0.3">
      <c r="A7" s="15">
        <v>5</v>
      </c>
      <c r="B7" s="15">
        <v>10413</v>
      </c>
      <c r="C7">
        <f t="shared" si="0"/>
        <v>10676.278324799998</v>
      </c>
      <c r="D7">
        <f t="shared" si="1"/>
        <v>660.56588255999975</v>
      </c>
      <c r="E7">
        <f t="shared" si="2"/>
        <v>10705.531471999999</v>
      </c>
      <c r="G7" s="9"/>
      <c r="H7" s="9"/>
      <c r="I7" s="6"/>
    </row>
    <row r="8" spans="1:15" x14ac:dyDescent="0.3">
      <c r="A8" s="15">
        <v>6</v>
      </c>
      <c r="B8" s="15">
        <v>11961</v>
      </c>
      <c r="C8">
        <f t="shared" si="0"/>
        <v>11399.259786623999</v>
      </c>
      <c r="D8">
        <f t="shared" si="1"/>
        <v>673.04899841280019</v>
      </c>
      <c r="E8">
        <f t="shared" si="2"/>
        <v>11336.844207359998</v>
      </c>
      <c r="G8" s="9"/>
      <c r="H8" s="9"/>
      <c r="I8" s="6"/>
    </row>
    <row r="9" spans="1:15" x14ac:dyDescent="0.3">
      <c r="A9" s="16">
        <v>7</v>
      </c>
      <c r="B9" s="16"/>
      <c r="C9">
        <f t="shared" si="0"/>
        <v>10865.077906533119</v>
      </c>
      <c r="D9">
        <f t="shared" si="1"/>
        <v>431.60282271206404</v>
      </c>
      <c r="E9">
        <f t="shared" si="2"/>
        <v>12072.308785036799</v>
      </c>
      <c r="G9" s="6"/>
      <c r="H9" s="6"/>
      <c r="I9" s="6"/>
    </row>
    <row r="10" spans="1:15" x14ac:dyDescent="0.3">
      <c r="G10" s="6"/>
      <c r="H10" s="6"/>
      <c r="I10" s="6"/>
    </row>
    <row r="11" spans="1:15" x14ac:dyDescent="0.3">
      <c r="G11" s="10"/>
      <c r="H11" s="10"/>
      <c r="I11" s="10"/>
      <c r="J11" s="10"/>
      <c r="K11" s="10"/>
      <c r="L11" s="10"/>
      <c r="M11" s="13"/>
      <c r="N11" s="13"/>
      <c r="O11" s="13"/>
    </row>
    <row r="12" spans="1:15" x14ac:dyDescent="0.3">
      <c r="G12" s="9"/>
      <c r="H12" s="9"/>
      <c r="I12" s="9"/>
      <c r="J12" s="9"/>
      <c r="K12" s="9"/>
      <c r="L12" s="9"/>
      <c r="M12" s="13"/>
      <c r="N12" s="13"/>
      <c r="O12" s="13"/>
    </row>
    <row r="13" spans="1:15" x14ac:dyDescent="0.3">
      <c r="G13" s="9"/>
      <c r="H13" s="9"/>
      <c r="I13" s="9"/>
      <c r="J13" s="9"/>
      <c r="K13" s="9"/>
      <c r="L13" s="9"/>
      <c r="M13" s="13"/>
      <c r="N13" s="13"/>
      <c r="O13" s="13"/>
    </row>
    <row r="14" spans="1:15" x14ac:dyDescent="0.3">
      <c r="G14" s="9"/>
      <c r="H14" s="9"/>
      <c r="I14" s="9"/>
      <c r="J14" s="9"/>
      <c r="K14" s="9"/>
      <c r="L14" s="9"/>
      <c r="M14" s="13"/>
      <c r="N14" s="13"/>
      <c r="O14" s="13"/>
    </row>
    <row r="15" spans="1:15" x14ac:dyDescent="0.3">
      <c r="G15" s="6"/>
      <c r="H15" s="6"/>
      <c r="I15" s="6"/>
      <c r="J15" s="13"/>
      <c r="K15" s="13"/>
      <c r="L15" s="13"/>
      <c r="M15" s="13"/>
      <c r="N15" s="13"/>
      <c r="O15" s="13"/>
    </row>
    <row r="16" spans="1:15" x14ac:dyDescent="0.3">
      <c r="G16" s="10"/>
      <c r="H16" s="10"/>
      <c r="I16" s="10"/>
      <c r="J16" s="10"/>
      <c r="K16" s="10"/>
      <c r="L16" s="10"/>
      <c r="M16" s="10"/>
      <c r="N16" s="10"/>
      <c r="O16" s="10"/>
    </row>
    <row r="17" spans="7:15" x14ac:dyDescent="0.3">
      <c r="G17" s="9"/>
      <c r="H17" s="9"/>
      <c r="I17" s="9"/>
      <c r="J17" s="9"/>
      <c r="K17" s="9"/>
      <c r="L17" s="9"/>
      <c r="M17" s="9"/>
      <c r="N17" s="9"/>
      <c r="O17" s="9"/>
    </row>
    <row r="18" spans="7:15" x14ac:dyDescent="0.3">
      <c r="G18" s="9"/>
      <c r="H18" s="9"/>
      <c r="I18" s="9"/>
      <c r="J18" s="9"/>
      <c r="K18" s="9"/>
      <c r="L18" s="9"/>
      <c r="M18" s="9"/>
      <c r="N18" s="9"/>
      <c r="O18" s="9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88CA1-8C6A-488F-AFD6-9FC4B35DC144}">
  <dimension ref="A1:I18"/>
  <sheetViews>
    <sheetView workbookViewId="0">
      <selection activeCell="K16" sqref="K16"/>
    </sheetView>
  </sheetViews>
  <sheetFormatPr defaultRowHeight="14.4" x14ac:dyDescent="0.3"/>
  <sheetData>
    <row r="1" spans="1:9" x14ac:dyDescent="0.3">
      <c r="A1" t="s">
        <v>20</v>
      </c>
    </row>
    <row r="2" spans="1:9" ht="15" thickBot="1" x14ac:dyDescent="0.35"/>
    <row r="3" spans="1:9" x14ac:dyDescent="0.3">
      <c r="A3" s="19" t="s">
        <v>21</v>
      </c>
      <c r="B3" s="19"/>
    </row>
    <row r="4" spans="1:9" x14ac:dyDescent="0.3">
      <c r="A4" s="9" t="s">
        <v>22</v>
      </c>
      <c r="B4" s="9">
        <v>0.95806523657865916</v>
      </c>
    </row>
    <row r="5" spans="1:9" x14ac:dyDescent="0.3">
      <c r="A5" s="9" t="s">
        <v>23</v>
      </c>
      <c r="B5" s="9">
        <v>0.91788899754052211</v>
      </c>
    </row>
    <row r="6" spans="1:9" x14ac:dyDescent="0.3">
      <c r="A6" s="9" t="s">
        <v>24</v>
      </c>
      <c r="B6" s="9">
        <v>0.90420383046394248</v>
      </c>
    </row>
    <row r="7" spans="1:9" x14ac:dyDescent="0.3">
      <c r="A7" s="9" t="s">
        <v>25</v>
      </c>
      <c r="B7" s="9">
        <v>414.50331244966662</v>
      </c>
    </row>
    <row r="8" spans="1:9" ht="15" thickBot="1" x14ac:dyDescent="0.35">
      <c r="A8" s="17" t="s">
        <v>26</v>
      </c>
      <c r="B8" s="17">
        <v>8</v>
      </c>
    </row>
    <row r="10" spans="1:9" ht="15" thickBot="1" x14ac:dyDescent="0.35">
      <c r="A10" t="s">
        <v>27</v>
      </c>
    </row>
    <row r="11" spans="1:9" x14ac:dyDescent="0.3">
      <c r="A11" s="18"/>
      <c r="B11" s="18" t="s">
        <v>31</v>
      </c>
      <c r="C11" s="18" t="s">
        <v>32</v>
      </c>
      <c r="D11" s="18" t="s">
        <v>33</v>
      </c>
      <c r="E11" s="18" t="s">
        <v>34</v>
      </c>
      <c r="F11" s="18" t="s">
        <v>35</v>
      </c>
    </row>
    <row r="12" spans="1:9" x14ac:dyDescent="0.3">
      <c r="A12" s="9" t="s">
        <v>28</v>
      </c>
      <c r="B12" s="9">
        <v>1</v>
      </c>
      <c r="C12" s="9">
        <v>11523809.523809524</v>
      </c>
      <c r="D12" s="9">
        <v>11523809.523809524</v>
      </c>
      <c r="E12" s="9">
        <v>67.071815229159185</v>
      </c>
      <c r="F12" s="9">
        <v>1.7860862471323006E-4</v>
      </c>
    </row>
    <row r="13" spans="1:9" x14ac:dyDescent="0.3">
      <c r="A13" s="9" t="s">
        <v>29</v>
      </c>
      <c r="B13" s="9">
        <v>6</v>
      </c>
      <c r="C13" s="9">
        <v>1030877.9761904756</v>
      </c>
      <c r="D13" s="9">
        <v>171812.99603174595</v>
      </c>
      <c r="E13" s="9"/>
      <c r="F13" s="9"/>
    </row>
    <row r="14" spans="1:9" ht="15" thickBot="1" x14ac:dyDescent="0.35">
      <c r="A14" s="17" t="s">
        <v>30</v>
      </c>
      <c r="B14" s="17">
        <v>7</v>
      </c>
      <c r="C14" s="17">
        <v>12554687.5</v>
      </c>
      <c r="D14" s="17"/>
      <c r="E14" s="17"/>
      <c r="F14" s="17"/>
    </row>
    <row r="15" spans="1:9" ht="15" thickBot="1" x14ac:dyDescent="0.35"/>
    <row r="16" spans="1:9" x14ac:dyDescent="0.3">
      <c r="A16" s="18"/>
      <c r="B16" s="18" t="s">
        <v>36</v>
      </c>
      <c r="C16" s="18" t="s">
        <v>25</v>
      </c>
      <c r="D16" s="18" t="s">
        <v>37</v>
      </c>
      <c r="E16" s="18" t="s">
        <v>38</v>
      </c>
      <c r="F16" s="18" t="s">
        <v>39</v>
      </c>
      <c r="G16" s="18" t="s">
        <v>40</v>
      </c>
      <c r="H16" s="18" t="s">
        <v>41</v>
      </c>
      <c r="I16" s="18" t="s">
        <v>42</v>
      </c>
    </row>
    <row r="17" spans="1:9" x14ac:dyDescent="0.3">
      <c r="A17" s="9" t="s">
        <v>5</v>
      </c>
      <c r="B17" s="9">
        <v>18438.988095238095</v>
      </c>
      <c r="C17" s="9">
        <v>440.80870787753844</v>
      </c>
      <c r="D17" s="9">
        <v>41.829908905430813</v>
      </c>
      <c r="E17" s="9">
        <v>1.2487616472712049E-8</v>
      </c>
      <c r="F17" s="9">
        <v>17360.368043844646</v>
      </c>
      <c r="G17" s="9">
        <v>19517.608146631545</v>
      </c>
      <c r="H17" s="9">
        <v>17360.368043844646</v>
      </c>
      <c r="I17" s="9">
        <v>19517.608146631545</v>
      </c>
    </row>
    <row r="18" spans="1:9" ht="15" thickBot="1" x14ac:dyDescent="0.35">
      <c r="A18" s="17" t="s">
        <v>43</v>
      </c>
      <c r="B18" s="17">
        <v>523.80952380952385</v>
      </c>
      <c r="C18" s="17">
        <v>63.95924968136724</v>
      </c>
      <c r="D18" s="17">
        <v>8.1897384103009774</v>
      </c>
      <c r="E18" s="17">
        <v>1.7860862471323006E-4</v>
      </c>
      <c r="F18" s="17">
        <v>367.30687777384622</v>
      </c>
      <c r="G18" s="17">
        <v>680.31216984520142</v>
      </c>
      <c r="H18" s="17">
        <v>367.30687777384622</v>
      </c>
      <c r="I18" s="17">
        <v>680.31216984520142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BDE3E-8518-455B-A79F-A26033D802C5}">
  <dimension ref="A1:Q15"/>
  <sheetViews>
    <sheetView tabSelected="1" workbookViewId="0">
      <selection activeCell="R24" sqref="R24"/>
    </sheetView>
  </sheetViews>
  <sheetFormatPr defaultRowHeight="14.4" x14ac:dyDescent="0.3"/>
  <cols>
    <col min="9" max="9" width="12.88671875" customWidth="1"/>
    <col min="10" max="10" width="9.21875" customWidth="1"/>
  </cols>
  <sheetData>
    <row r="1" spans="1:17" x14ac:dyDescent="0.3">
      <c r="A1" s="15" t="s">
        <v>0</v>
      </c>
      <c r="B1" s="15" t="s">
        <v>1</v>
      </c>
      <c r="D1" t="s">
        <v>11</v>
      </c>
      <c r="E1" t="s">
        <v>44</v>
      </c>
      <c r="F1" t="s">
        <v>45</v>
      </c>
      <c r="G1" t="s">
        <v>13</v>
      </c>
      <c r="H1" t="s">
        <v>14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</row>
    <row r="2" spans="1:17" x14ac:dyDescent="0.3">
      <c r="A2" s="15"/>
      <c r="B2" s="15"/>
      <c r="D2">
        <v>18439</v>
      </c>
      <c r="E2">
        <v>524</v>
      </c>
    </row>
    <row r="3" spans="1:17" x14ac:dyDescent="0.3">
      <c r="A3" s="15">
        <v>1</v>
      </c>
      <c r="B3" s="15">
        <v>8000</v>
      </c>
      <c r="D3">
        <f>$Q$5*(B3/F3)+(1-$Q$5)*(D2+E2)</f>
        <v>18762.840486968562</v>
      </c>
      <c r="E3">
        <f>$Q$6*(D3-D2)+(1-$Q$6)*E2</f>
        <v>483.96809739371241</v>
      </c>
      <c r="F3">
        <v>0.47165904366200612</v>
      </c>
      <c r="G3">
        <f>(D2+E2)*F3</f>
        <v>8944.0704449626228</v>
      </c>
      <c r="H3">
        <f>G3-B3</f>
        <v>944.07044496262279</v>
      </c>
      <c r="I3">
        <f>ABS(H3:H15)</f>
        <v>944.07044496262279</v>
      </c>
      <c r="J3">
        <f>H3^2</f>
        <v>891269.00505192461</v>
      </c>
      <c r="K3">
        <f>I3</f>
        <v>944.07044496262279</v>
      </c>
      <c r="L3">
        <f>((I3/B3)*100)</f>
        <v>11.800880562032786</v>
      </c>
      <c r="M3">
        <f>H3</f>
        <v>944.07044496262279</v>
      </c>
    </row>
    <row r="4" spans="1:17" x14ac:dyDescent="0.3">
      <c r="A4" s="15">
        <v>2</v>
      </c>
      <c r="B4" s="15">
        <v>13000</v>
      </c>
      <c r="D4">
        <f t="shared" ref="D4:D15" si="0">$Q$5*(B4/F4)+(1-$Q$5)*(D3+E3)</f>
        <v>19224.463938093169</v>
      </c>
      <c r="E4">
        <f t="shared" ref="E4:E15" si="1">$Q$6*(D4-D3)+(1-$Q$6)*E3</f>
        <v>479.49916813989148</v>
      </c>
      <c r="F4">
        <v>0.68337026424948055</v>
      </c>
      <c r="G4">
        <f t="shared" ref="G4:G14" si="2">(D3+E3)*F4</f>
        <v>13152.696668254819</v>
      </c>
      <c r="H4">
        <f t="shared" ref="H4:H14" si="3">G4-B4</f>
        <v>152.69666825481909</v>
      </c>
      <c r="I4">
        <f t="shared" ref="I4:I14" si="4">ABS(H4:H16)</f>
        <v>152.69666825481909</v>
      </c>
      <c r="J4">
        <f t="shared" ref="J4:J14" si="5">H4^2</f>
        <v>23316.272496122274</v>
      </c>
      <c r="K4">
        <f t="shared" ref="K4:K14" si="6">I4</f>
        <v>152.69666825481909</v>
      </c>
      <c r="L4">
        <f t="shared" ref="L4:L14" si="7">((I4/B4)*100)</f>
        <v>1.1745897558063008</v>
      </c>
      <c r="M4">
        <f t="shared" ref="M4:M14" si="8">H4</f>
        <v>152.69666825481909</v>
      </c>
    </row>
    <row r="5" spans="1:17" x14ac:dyDescent="0.3">
      <c r="A5" s="15">
        <v>3</v>
      </c>
      <c r="B5" s="15">
        <v>23000</v>
      </c>
      <c r="C5">
        <f>(B3+B7+2*SUM(B4:B6))/8</f>
        <v>19750</v>
      </c>
      <c r="D5">
        <f t="shared" si="0"/>
        <v>19698.308263044546</v>
      </c>
      <c r="E5">
        <f t="shared" si="1"/>
        <v>478.36819950218853</v>
      </c>
      <c r="F5">
        <v>1.1706374798527197</v>
      </c>
      <c r="G5">
        <f t="shared" si="2"/>
        <v>23066.197713791636</v>
      </c>
      <c r="H5">
        <f t="shared" si="3"/>
        <v>66.197713791636488</v>
      </c>
      <c r="I5">
        <f t="shared" si="4"/>
        <v>66.197713791636488</v>
      </c>
      <c r="J5">
        <f t="shared" si="5"/>
        <v>4382.1373112394194</v>
      </c>
      <c r="K5">
        <f t="shared" si="6"/>
        <v>66.197713791636488</v>
      </c>
      <c r="L5">
        <f t="shared" si="7"/>
        <v>0.28781614692015867</v>
      </c>
      <c r="M5">
        <f t="shared" si="8"/>
        <v>66.197713791636488</v>
      </c>
      <c r="P5" t="s">
        <v>46</v>
      </c>
      <c r="Q5">
        <v>0.1</v>
      </c>
    </row>
    <row r="6" spans="1:17" x14ac:dyDescent="0.3">
      <c r="A6" s="15">
        <v>4</v>
      </c>
      <c r="B6" s="15">
        <v>34000</v>
      </c>
      <c r="C6">
        <f t="shared" ref="C6:C12" si="9">(B4+B8+2*SUM(B5:B7))/8</f>
        <v>20625</v>
      </c>
      <c r="D6">
        <f t="shared" si="0"/>
        <v>20201.897866497686</v>
      </c>
      <c r="E6">
        <f t="shared" si="1"/>
        <v>483.41248029237875</v>
      </c>
      <c r="F6">
        <v>1.6643096695132693</v>
      </c>
      <c r="G6">
        <f t="shared" si="2"/>
        <v>33580.237735257309</v>
      </c>
      <c r="H6">
        <f t="shared" si="3"/>
        <v>-419.7622647426906</v>
      </c>
      <c r="I6">
        <f t="shared" si="4"/>
        <v>419.7622647426906</v>
      </c>
      <c r="J6">
        <f t="shared" si="5"/>
        <v>176200.35890191267</v>
      </c>
      <c r="K6">
        <f t="shared" si="6"/>
        <v>419.7622647426906</v>
      </c>
      <c r="L6">
        <f t="shared" si="7"/>
        <v>1.2345948963020312</v>
      </c>
      <c r="M6">
        <f t="shared" si="8"/>
        <v>-419.7622647426906</v>
      </c>
      <c r="P6" t="s">
        <v>47</v>
      </c>
      <c r="Q6">
        <v>0.2</v>
      </c>
    </row>
    <row r="7" spans="1:17" x14ac:dyDescent="0.3">
      <c r="A7" s="15">
        <v>5</v>
      </c>
      <c r="B7" s="15">
        <v>10000</v>
      </c>
      <c r="C7">
        <f t="shared" si="9"/>
        <v>21250</v>
      </c>
      <c r="D7">
        <f t="shared" si="0"/>
        <v>20757.508233786994</v>
      </c>
      <c r="E7">
        <f t="shared" si="1"/>
        <v>497.85205769176457</v>
      </c>
      <c r="F7">
        <f>$Q$7*(B3/D3)+(1-$Q$7)*F3</f>
        <v>0.46713060671741619</v>
      </c>
      <c r="G7">
        <f t="shared" si="2"/>
        <v>9662.7415724340899</v>
      </c>
      <c r="H7">
        <f t="shared" si="3"/>
        <v>-337.2584275659101</v>
      </c>
      <c r="I7">
        <f t="shared" si="4"/>
        <v>337.2584275659101</v>
      </c>
      <c r="J7">
        <f t="shared" si="5"/>
        <v>113743.24696423023</v>
      </c>
      <c r="K7">
        <f t="shared" si="6"/>
        <v>337.2584275659101</v>
      </c>
      <c r="L7">
        <f t="shared" si="7"/>
        <v>3.3725842756591011</v>
      </c>
      <c r="M7">
        <f t="shared" si="8"/>
        <v>-337.2584275659101</v>
      </c>
      <c r="P7" t="s">
        <v>48</v>
      </c>
      <c r="Q7">
        <v>0.1</v>
      </c>
    </row>
    <row r="8" spans="1:17" x14ac:dyDescent="0.3">
      <c r="A8" s="15">
        <v>6</v>
      </c>
      <c r="B8" s="15">
        <v>18000</v>
      </c>
      <c r="C8">
        <f t="shared" si="9"/>
        <v>21750</v>
      </c>
      <c r="D8">
        <f t="shared" si="0"/>
        <v>21766.586492673148</v>
      </c>
      <c r="E8">
        <f t="shared" si="1"/>
        <v>600.09729793064264</v>
      </c>
      <c r="F8">
        <f t="shared" ref="F8:F15" si="10">$Q$7*(B4/D4)+(1-$Q$7)*F4</f>
        <v>0.68265540945887693</v>
      </c>
      <c r="G8">
        <f t="shared" si="2"/>
        <v>14510.086682975385</v>
      </c>
      <c r="H8">
        <f t="shared" si="3"/>
        <v>-3489.913317024615</v>
      </c>
      <c r="I8">
        <f t="shared" si="4"/>
        <v>3489.913317024615</v>
      </c>
      <c r="J8">
        <f t="shared" si="5"/>
        <v>12179494.960345751</v>
      </c>
      <c r="K8">
        <f t="shared" si="6"/>
        <v>3489.913317024615</v>
      </c>
      <c r="L8">
        <f t="shared" si="7"/>
        <v>19.388407316803416</v>
      </c>
      <c r="M8">
        <f t="shared" si="8"/>
        <v>-3489.913317024615</v>
      </c>
    </row>
    <row r="9" spans="1:17" x14ac:dyDescent="0.3">
      <c r="A9" s="15">
        <v>7</v>
      </c>
      <c r="B9" s="15">
        <v>23000</v>
      </c>
      <c r="C9">
        <f t="shared" si="9"/>
        <v>22500</v>
      </c>
      <c r="D9">
        <f t="shared" si="0"/>
        <v>22095.264631137085</v>
      </c>
      <c r="E9">
        <f t="shared" si="1"/>
        <v>545.8134660373014</v>
      </c>
      <c r="F9">
        <f t="shared" si="10"/>
        <v>1.1703350277760394</v>
      </c>
      <c r="G9">
        <f t="shared" si="2"/>
        <v>26176.513495334177</v>
      </c>
      <c r="H9">
        <f t="shared" si="3"/>
        <v>3176.5134953341767</v>
      </c>
      <c r="I9">
        <f t="shared" si="4"/>
        <v>3176.5134953341767</v>
      </c>
      <c r="J9">
        <f t="shared" si="5"/>
        <v>10090237.986040149</v>
      </c>
      <c r="K9">
        <f t="shared" si="6"/>
        <v>3176.5134953341767</v>
      </c>
      <c r="L9">
        <f t="shared" si="7"/>
        <v>13.810928240583378</v>
      </c>
      <c r="M9">
        <f t="shared" si="8"/>
        <v>3176.5134953341767</v>
      </c>
    </row>
    <row r="10" spans="1:17" x14ac:dyDescent="0.3">
      <c r="A10" s="15">
        <v>8</v>
      </c>
      <c r="B10" s="15">
        <v>38000</v>
      </c>
      <c r="C10">
        <f t="shared" si="9"/>
        <v>22125</v>
      </c>
      <c r="D10">
        <f t="shared" si="0"/>
        <v>22657.636622815586</v>
      </c>
      <c r="E10">
        <f t="shared" si="1"/>
        <v>549.12517116554136</v>
      </c>
      <c r="F10">
        <f t="shared" si="10"/>
        <v>1.6661797217270018</v>
      </c>
      <c r="G10">
        <f t="shared" si="2"/>
        <v>37724.105203549334</v>
      </c>
      <c r="H10">
        <f t="shared" si="3"/>
        <v>-275.89479645066604</v>
      </c>
      <c r="I10">
        <f t="shared" si="4"/>
        <v>275.89479645066604</v>
      </c>
      <c r="J10">
        <f t="shared" si="5"/>
        <v>76117.938708554444</v>
      </c>
      <c r="K10">
        <f t="shared" si="6"/>
        <v>275.89479645066604</v>
      </c>
      <c r="L10">
        <f t="shared" si="7"/>
        <v>0.72603893802806851</v>
      </c>
      <c r="M10">
        <f t="shared" si="8"/>
        <v>-275.89479645066604</v>
      </c>
    </row>
    <row r="11" spans="1:17" x14ac:dyDescent="0.3">
      <c r="A11" s="15">
        <v>9</v>
      </c>
      <c r="B11" s="15">
        <v>12000</v>
      </c>
      <c r="C11">
        <f t="shared" si="9"/>
        <v>22625</v>
      </c>
      <c r="D11">
        <f t="shared" si="0"/>
        <v>23446.943958354856</v>
      </c>
      <c r="E11">
        <f t="shared" si="1"/>
        <v>597.1616040402871</v>
      </c>
      <c r="F11">
        <f t="shared" si="10"/>
        <v>0.46859288524040027</v>
      </c>
      <c r="G11">
        <f t="shared" si="2"/>
        <v>10874.523466128305</v>
      </c>
      <c r="H11">
        <f t="shared" si="3"/>
        <v>-1125.4765338716952</v>
      </c>
      <c r="I11">
        <f t="shared" si="4"/>
        <v>1125.4765338716952</v>
      </c>
      <c r="J11">
        <f t="shared" si="5"/>
        <v>1266697.4282958452</v>
      </c>
      <c r="K11">
        <f t="shared" si="6"/>
        <v>1125.4765338716952</v>
      </c>
      <c r="L11">
        <f t="shared" si="7"/>
        <v>9.3789711155974604</v>
      </c>
      <c r="M11">
        <f t="shared" si="8"/>
        <v>-1125.4765338716952</v>
      </c>
    </row>
    <row r="12" spans="1:17" x14ac:dyDescent="0.3">
      <c r="A12" s="15">
        <v>10</v>
      </c>
      <c r="B12" s="15">
        <v>13000</v>
      </c>
      <c r="C12">
        <f t="shared" si="9"/>
        <v>24125</v>
      </c>
      <c r="D12">
        <f t="shared" si="0"/>
        <v>23504.602737556386</v>
      </c>
      <c r="E12">
        <f t="shared" si="1"/>
        <v>489.26103907253582</v>
      </c>
      <c r="F12">
        <f t="shared" si="10"/>
        <v>0.6970854257886282</v>
      </c>
      <c r="G12">
        <f t="shared" si="2"/>
        <v>16760.795563668944</v>
      </c>
      <c r="H12">
        <f t="shared" si="3"/>
        <v>3760.7955636689439</v>
      </c>
      <c r="I12">
        <f t="shared" si="4"/>
        <v>3760.7955636689439</v>
      </c>
      <c r="J12">
        <f t="shared" si="5"/>
        <v>14143583.271712009</v>
      </c>
      <c r="K12">
        <f t="shared" si="6"/>
        <v>3760.7955636689439</v>
      </c>
      <c r="L12">
        <f t="shared" si="7"/>
        <v>28.929196643607263</v>
      </c>
      <c r="M12">
        <f t="shared" si="8"/>
        <v>3760.7955636689439</v>
      </c>
    </row>
    <row r="13" spans="1:17" x14ac:dyDescent="0.3">
      <c r="A13" s="15">
        <v>11</v>
      </c>
      <c r="B13" s="15">
        <v>32000</v>
      </c>
      <c r="D13">
        <f t="shared" si="0"/>
        <v>24359.304105478463</v>
      </c>
      <c r="E13">
        <f t="shared" si="1"/>
        <v>562.34910484244392</v>
      </c>
      <c r="F13">
        <f t="shared" si="10"/>
        <v>1.1573962275691752</v>
      </c>
      <c r="G13">
        <f t="shared" si="2"/>
        <v>27770.407419878997</v>
      </c>
      <c r="H13">
        <f t="shared" si="3"/>
        <v>-4229.5925801210033</v>
      </c>
      <c r="I13">
        <f t="shared" si="4"/>
        <v>4229.5925801210033</v>
      </c>
      <c r="J13">
        <f t="shared" si="5"/>
        <v>17889453.393814646</v>
      </c>
      <c r="K13">
        <f t="shared" si="6"/>
        <v>4229.5925801210033</v>
      </c>
      <c r="L13">
        <f t="shared" si="7"/>
        <v>13.217476812878134</v>
      </c>
      <c r="M13">
        <f t="shared" si="8"/>
        <v>-4229.5925801210033</v>
      </c>
    </row>
    <row r="14" spans="1:17" x14ac:dyDescent="0.3">
      <c r="A14" s="15">
        <v>12</v>
      </c>
      <c r="B14" s="15">
        <v>41000</v>
      </c>
      <c r="D14">
        <f t="shared" si="0"/>
        <v>24888.58939810003</v>
      </c>
      <c r="E14">
        <f t="shared" si="1"/>
        <v>555.73634239826868</v>
      </c>
      <c r="F14">
        <f t="shared" si="10"/>
        <v>1.6672756229497956</v>
      </c>
      <c r="G14">
        <f t="shared" si="2"/>
        <v>41551.264881176561</v>
      </c>
      <c r="H14">
        <f t="shared" si="3"/>
        <v>551.26488117656118</v>
      </c>
      <c r="I14">
        <f t="shared" si="4"/>
        <v>551.26488117656118</v>
      </c>
      <c r="J14">
        <f t="shared" si="5"/>
        <v>303892.96921860811</v>
      </c>
      <c r="K14">
        <f t="shared" si="6"/>
        <v>551.26488117656118</v>
      </c>
      <c r="L14">
        <f t="shared" si="7"/>
        <v>1.3445484906745395</v>
      </c>
      <c r="M14">
        <f t="shared" si="8"/>
        <v>551.26488117656118</v>
      </c>
    </row>
    <row r="15" spans="1:17" x14ac:dyDescent="0.3">
      <c r="D15">
        <f t="shared" si="0"/>
        <v>22899.89316644847</v>
      </c>
      <c r="E15">
        <f t="shared" si="1"/>
        <v>46.849827588302958</v>
      </c>
      <c r="F15">
        <f t="shared" si="10"/>
        <v>0.47291297438414381</v>
      </c>
      <c r="G15">
        <f>(D14+E14)*F15</f>
        <v>12032.951767138082</v>
      </c>
      <c r="J15">
        <f>AVERAGE(J3:J14)</f>
        <v>4763199.0807384159</v>
      </c>
      <c r="K15">
        <f>AVERAGE(K3:K14)</f>
        <v>1544.1197239137782</v>
      </c>
      <c r="L15">
        <f>AVERAGE(L3:L14)</f>
        <v>8.7221694329077195</v>
      </c>
      <c r="M15">
        <f>SUM(M3:M14)</f>
        <v>-1226.3591525878201</v>
      </c>
      <c r="N15">
        <f>M15/K15</f>
        <v>-0.79421247821344354</v>
      </c>
      <c r="O15">
        <f>1.25*K15</f>
        <v>1930.1496548922228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1.Tahoe Salt - Static (even)</vt:lpstr>
      <vt:lpstr>Moving Average</vt:lpstr>
      <vt:lpstr>Exponential Smoothing</vt:lpstr>
      <vt:lpstr>Sheet2</vt:lpstr>
      <vt:lpstr>Holt's Model</vt:lpstr>
      <vt:lpstr>Sheet4</vt:lpstr>
      <vt:lpstr>Winter's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2020-10-17T06:17:10Z</dcterms:modified>
</cp:coreProperties>
</file>