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user1\Downloads\"/>
    </mc:Choice>
  </mc:AlternateContent>
  <xr:revisionPtr revIDLastSave="0" documentId="13_ncr:1_{0E3F3AA8-28C4-4217-879B-E9E21D41B3A6}" xr6:coauthVersionLast="47" xr6:coauthVersionMax="47" xr10:uidLastSave="{00000000-0000-0000-0000-000000000000}"/>
  <bookViews>
    <workbookView xWindow="-98" yWindow="-98" windowWidth="22695" windowHeight="14476" firstSheet="7" activeTab="9" xr2:uid="{00000000-000D-0000-FFFF-FFFF00000000}"/>
  </bookViews>
  <sheets>
    <sheet name="Cover" sheetId="12" r:id="rId1"/>
    <sheet name="Income Stat_Warehouse" sheetId="5" r:id="rId2"/>
    <sheet name="Income_Producers" sheetId="2" r:id="rId3"/>
    <sheet name="Western Cities" sheetId="3" r:id="rId4"/>
    <sheet name="Eastern Cities" sheetId="4" r:id="rId5"/>
    <sheet name="Income Stmt" sheetId="6" r:id="rId6"/>
    <sheet name="Balance Sheet." sheetId="8" r:id="rId7"/>
    <sheet name="Cash Flow" sheetId="7" r:id="rId8"/>
    <sheet name="CCC" sheetId="9" r:id="rId9"/>
    <sheet name="Liquidity Position" sheetId="13" r:id="rId10"/>
    <sheet name="Fin_Ratios" sheetId="14" r:id="rId11"/>
    <sheet name="Note_In  Stmt" sheetId="10" r:id="rId12"/>
    <sheet name="NOTE_BS" sheetId="11" r:id="rId13"/>
    <sheet name="Sheet1" sheetId="1" r:id="rId14"/>
  </sheets>
  <externalReferences>
    <externalReference r:id="rId15"/>
    <externalReference r:id="rId16"/>
    <externalReference r:id="rId17"/>
  </externalReferences>
  <definedNames>
    <definedName name="ActualNumberOfPayments" localSheetId="10">IFERROR(IF(LoanIsGood,IF(PaymentsPerYear=1,1,MATCH(0.01,End_Bal,-1)+1)),"")</definedName>
    <definedName name="ActualNumberOfPayments" localSheetId="9">IFERROR(IF(LoanIsGood,IF(PaymentsPerYear=1,1,MATCH(0.01,End_Bal,-1)+1)),"")</definedName>
    <definedName name="ActualNumberOfPayments">IFERROR(IF(LoanIsGood,IF(PaymentsPerYear=1,1,MATCH(0.01,End_Bal,-1)+1)),"")</definedName>
    <definedName name="Advance_Payment" localSheetId="10">[2]NOTE_BS!$C$44</definedName>
    <definedName name="Advance_Payment" localSheetId="9">#REF!</definedName>
    <definedName name="Advance_Payment">#REF!</definedName>
    <definedName name="Average_Inventory" localSheetId="10">[2]NOTE_BS!$G$21</definedName>
    <definedName name="Average_Inventory" localSheetId="9">#REF!</definedName>
    <definedName name="Average_Inventory">#REF!</definedName>
    <definedName name="Average_Total_Assets" localSheetId="10">'[2]Balance Sheet.'!$I$24</definedName>
    <definedName name="Average_Total_Assets" localSheetId="9">#REF!</definedName>
    <definedName name="Average_Total_Assets">#REF!</definedName>
    <definedName name="Cash_And_Cash_Equivalent" localSheetId="10">[2]NOTE_BS!$C$65</definedName>
    <definedName name="Cash_And_Cash_Equivalent" localSheetId="9">#REF!</definedName>
    <definedName name="Cash_And_Cash_Equivalent">#REF!</definedName>
    <definedName name="Cash_Flow_from_Operating_Activities" localSheetId="10">'[2]Cash Flow'!$B$25</definedName>
    <definedName name="Cash_Flow_from_Operating_Activities" localSheetId="9">#REF!</definedName>
    <definedName name="Cash_Flow_from_Operating_Activities">#REF!</definedName>
    <definedName name="ColumnTitle1">#REF!</definedName>
    <definedName name="Cost_of_Goods_Sold" localSheetId="10">'[2]Income Stmt'!$C$8</definedName>
    <definedName name="Cost_of_Goods_Sold" localSheetId="9">#REF!</definedName>
    <definedName name="Cost_of_Goods_Sold">#REF!</definedName>
    <definedName name="Cost_of_Goods_Sold.">#REF!</definedName>
    <definedName name="Current_Asset" localSheetId="10">'[2]Balance Sheet.'!$C$21</definedName>
    <definedName name="Current_Asset" localSheetId="9">#REF!</definedName>
    <definedName name="Current_Asset">#REF!</definedName>
    <definedName name="Current_Liablities" localSheetId="10">'[2]Balance Sheet.'!$C$46</definedName>
    <definedName name="Current_Liablities" localSheetId="9">#REF!</definedName>
    <definedName name="Current_Liablities">#REF!</definedName>
    <definedName name="Drivers_Receivables" localSheetId="10">[2]NOTE_BS!$C$25</definedName>
    <definedName name="Drivers_Receivables" localSheetId="9">#REF!</definedName>
    <definedName name="Drivers_Receivables">#REF!</definedName>
    <definedName name="EBIT" localSheetId="10">'[2]Income Stmt'!$C$49</definedName>
    <definedName name="EBIT" localSheetId="9">#REF!</definedName>
    <definedName name="EBIT">#REF!</definedName>
    <definedName name="End_Bal">#REF!</definedName>
    <definedName name="ExtraPayments">#REF!</definedName>
    <definedName name="Gross_Profit" localSheetId="10">'[2]Income Stmt'!$C$9</definedName>
    <definedName name="Gross_Profit" localSheetId="9">#REF!</definedName>
    <definedName name="Gross_Profit">#REF!</definedName>
    <definedName name="Interest_Expense" localSheetId="10">'[2]Income Stmt'!$C$52</definedName>
    <definedName name="Interest_Expense" localSheetId="9">#REF!</definedName>
    <definedName name="Interest_Expense">#REF!</definedName>
    <definedName name="InterestRate">#REF!</definedName>
    <definedName name="LastCol">MATCH(REPT("z",255),#REF!)</definedName>
    <definedName name="LastRow">MATCH(9.99E+307,#REF!)</definedName>
    <definedName name="LenderName">#REF!</definedName>
    <definedName name="LoanAmount">#REF!</definedName>
    <definedName name="LoanIsGood">(#REF!*#REF!*#REF!*#REF!)&gt;0</definedName>
    <definedName name="LoanPeriod">#REF!</definedName>
    <definedName name="LoanStartDate">#REF!</definedName>
    <definedName name="Outstanding_Payments" localSheetId="10">'[2]Pivot_Con. TB'!$G$4</definedName>
    <definedName name="Outstanding_Payments" localSheetId="9">#REF!</definedName>
    <definedName name="Outstanding_Payments">#REF!</definedName>
    <definedName name="Outstanding_Payments.">#REF!</definedName>
    <definedName name="Outstanding_Receipts" localSheetId="10">'[2]Pivot_Con. TB'!$G$3</definedName>
    <definedName name="Outstanding_Receipts" localSheetId="9">#REF!</definedName>
    <definedName name="Outstanding_Receipts">#REF!</definedName>
    <definedName name="PaymentsPerYear">#REF!</definedName>
    <definedName name="_xlnm.Print_Area" localSheetId="6">'Balance Sheet.'!$A$1:$G$52</definedName>
    <definedName name="_xlnm.Print_Area" localSheetId="7">'Cash Flow'!$A$1:$E$41</definedName>
    <definedName name="_xlnm.Print_Area" localSheetId="8">CCC!$A$1:$P$33</definedName>
    <definedName name="_xlnm.Print_Area" localSheetId="0">Cover!$A$1:$F$34</definedName>
    <definedName name="_xlnm.Print_Area" localSheetId="4">'Eastern Cities'!$A$1:$I$54</definedName>
    <definedName name="_xlnm.Print_Area" localSheetId="10">Fin_Ratios!$A$1:$L$41</definedName>
    <definedName name="_xlnm.Print_Area" localSheetId="1">'Income Stat_Warehouse'!$A$1:$S$54</definedName>
    <definedName name="_xlnm.Print_Area" localSheetId="5">'Income Stmt'!$A$1:$H$49</definedName>
    <definedName name="_xlnm.Print_Area" localSheetId="2">Income_Producers!$A$1:$R$57</definedName>
    <definedName name="_xlnm.Print_Area" localSheetId="9">'Liquidity Position'!$A$1:$R$34</definedName>
    <definedName name="_xlnm.Print_Area" localSheetId="12">NOTE_BS!$A$1:$F$87</definedName>
    <definedName name="_xlnm.Print_Area" localSheetId="11">'Note_In  Stmt'!$A$1:$G$63</definedName>
    <definedName name="_xlnm.Print_Area" localSheetId="3">'Western Cities'!$A$1:$F$54</definedName>
    <definedName name="PrintArea_SET" localSheetId="10">OFFSET(#REF!,,,LastRow,LastCol)</definedName>
    <definedName name="PrintArea_SET" localSheetId="9">OFFSET(#REF!,,,LastRow,LastCol)</definedName>
    <definedName name="PrintArea_SET">OFFSET(#REF!,,,LastRow,LastCol)</definedName>
    <definedName name="RowTitleRegion1..E9">#REF!</definedName>
    <definedName name="RowTitleRegion2..I7">#REF!</definedName>
    <definedName name="RowTitleRegion3..E9">#REF!</definedName>
    <definedName name="RowTitleRegion4..H9">#REF!</definedName>
    <definedName name="Sales" localSheetId="10">'[2]Income Stmt'!$C$7</definedName>
    <definedName name="Sales" localSheetId="9">#REF!</definedName>
    <definedName name="Sales">#REF!</definedName>
    <definedName name="ScheduledNumberOfPayments">#REF!</definedName>
    <definedName name="ScheduledPayment">#REF!</definedName>
    <definedName name="Scrap_expense" localSheetId="10">'[2]Pivot_Con. TB'!$G$5</definedName>
    <definedName name="Scrap_expense" localSheetId="9">#REF!</definedName>
    <definedName name="Scrap_expense">#REF!</definedName>
    <definedName name="Stock_On_Hand" localSheetId="10">[2]NOTE_BS!$C$11</definedName>
    <definedName name="Stock_On_Hand" localSheetId="9">#REF!</definedName>
    <definedName name="Stock_On_Hand">#REF!</definedName>
    <definedName name="Supplier_Payable" localSheetId="10">[2]NOTE_BS!$C$68</definedName>
    <definedName name="Supplier_Payable" localSheetId="9">#REF!</definedName>
    <definedName name="Supplier_Payable">#REF!</definedName>
    <definedName name="Total_Assets" localSheetId="10">'[2]Balance Sheet.'!$C$24</definedName>
    <definedName name="Total_Assets" localSheetId="9">#REF!</definedName>
    <definedName name="Total_Assets">#REF!</definedName>
    <definedName name="Total_Expenses" localSheetId="10">'[2]Income Stmt'!$C$65</definedName>
    <definedName name="Total_Expenses" localSheetId="9">#REF!</definedName>
    <definedName name="Total_Expenses">#REF!</definedName>
    <definedName name="Total_Liablities" localSheetId="10">'[2]Balance Sheet.'!$C$48</definedName>
    <definedName name="Total_Liablities" localSheetId="9">#REF!</definedName>
    <definedName name="Total_Liablities">#REF!</definedName>
    <definedName name="TotalEarlyPayments" localSheetId="10">SUM(#REF!)</definedName>
    <definedName name="TotalEarlyPayments" localSheetId="9">SUM(#REF!)</definedName>
    <definedName name="TotalEarlyPayments">SUM(#REF!)</definedName>
    <definedName name="TotalInterest">SUM(#REF!)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3" l="1"/>
  <c r="S4" i="5"/>
  <c r="D58" i="2"/>
  <c r="E3" i="14"/>
  <c r="D3" i="14"/>
  <c r="B41" i="7"/>
  <c r="L35" i="13"/>
  <c r="K35" i="13"/>
  <c r="J35" i="13"/>
  <c r="I35" i="13"/>
  <c r="M35" i="13"/>
  <c r="U26" i="13"/>
  <c r="R22" i="13"/>
  <c r="R21" i="13"/>
  <c r="R20" i="13"/>
  <c r="R19" i="13"/>
  <c r="R18" i="13"/>
  <c r="R17" i="13"/>
  <c r="R16" i="13"/>
  <c r="R15" i="13"/>
  <c r="R14" i="13"/>
  <c r="R13" i="13"/>
  <c r="R12" i="13"/>
  <c r="R10" i="13"/>
  <c r="R7" i="13"/>
  <c r="R6" i="13"/>
  <c r="R5" i="13"/>
  <c r="R4" i="13"/>
  <c r="R3" i="13"/>
  <c r="E31" i="13"/>
  <c r="D40" i="14"/>
  <c r="M40" i="14" s="1"/>
  <c r="M39" i="14"/>
  <c r="F39" i="14"/>
  <c r="D38" i="14"/>
  <c r="M38" i="14" s="1"/>
  <c r="M33" i="14"/>
  <c r="F33" i="14"/>
  <c r="D33" i="14"/>
  <c r="R32" i="14"/>
  <c r="D32" i="14"/>
  <c r="M32" i="14" s="1"/>
  <c r="F31" i="14"/>
  <c r="U30" i="14"/>
  <c r="S30" i="14"/>
  <c r="D30" i="14"/>
  <c r="M30" i="14" s="1"/>
  <c r="D29" i="14"/>
  <c r="M29" i="14" s="1"/>
  <c r="P28" i="14"/>
  <c r="F26" i="14"/>
  <c r="D25" i="14"/>
  <c r="M25" i="14" s="1"/>
  <c r="D24" i="14"/>
  <c r="M24" i="14" s="1"/>
  <c r="D14" i="14"/>
  <c r="F14" i="14" s="1"/>
  <c r="M13" i="14"/>
  <c r="F13" i="14"/>
  <c r="D13" i="14"/>
  <c r="D8" i="14"/>
  <c r="M8" i="14" s="1"/>
  <c r="D7" i="14"/>
  <c r="M7" i="14" s="1"/>
  <c r="M6" i="14"/>
  <c r="D6" i="14"/>
  <c r="F6" i="14" s="1"/>
  <c r="M4" i="14"/>
  <c r="J23" i="13"/>
  <c r="F22" i="13"/>
  <c r="M22" i="13"/>
  <c r="F24" i="13"/>
  <c r="M21" i="13"/>
  <c r="N21" i="13" s="1"/>
  <c r="F21" i="13"/>
  <c r="F20" i="13"/>
  <c r="K19" i="13"/>
  <c r="F19" i="13"/>
  <c r="F13" i="13"/>
  <c r="K23" i="13"/>
  <c r="F11" i="13"/>
  <c r="N40" i="13"/>
  <c r="R24" i="13" l="1"/>
  <c r="D23" i="14"/>
  <c r="D20" i="14"/>
  <c r="D21" i="14"/>
  <c r="F21" i="14" s="1"/>
  <c r="D41" i="14"/>
  <c r="D22" i="14"/>
  <c r="D19" i="14"/>
  <c r="D37" i="14"/>
  <c r="F7" i="14"/>
  <c r="M14" i="14"/>
  <c r="F24" i="14"/>
  <c r="F29" i="14"/>
  <c r="F40" i="14"/>
  <c r="F8" i="14"/>
  <c r="F32" i="14"/>
  <c r="F25" i="14"/>
  <c r="F30" i="14"/>
  <c r="F38" i="14"/>
  <c r="K25" i="13"/>
  <c r="L20" i="13"/>
  <c r="M20" i="13" s="1"/>
  <c r="N20" i="13" s="1"/>
  <c r="L23" i="13"/>
  <c r="F9" i="13"/>
  <c r="I19" i="13"/>
  <c r="M19" i="13" s="1"/>
  <c r="F10" i="13"/>
  <c r="J19" i="13"/>
  <c r="J25" i="13" s="1"/>
  <c r="M24" i="13"/>
  <c r="N24" i="13" s="1"/>
  <c r="N10" i="13"/>
  <c r="N4" i="13"/>
  <c r="M13" i="13" s="1"/>
  <c r="F8" i="13"/>
  <c r="M37" i="14" l="1"/>
  <c r="F37" i="14"/>
  <c r="M19" i="14"/>
  <c r="F19" i="14"/>
  <c r="M22" i="14"/>
  <c r="F22" i="14"/>
  <c r="M41" i="14"/>
  <c r="F41" i="14"/>
  <c r="M20" i="14"/>
  <c r="F20" i="14"/>
  <c r="F23" i="14"/>
  <c r="M23" i="14"/>
  <c r="I23" i="13"/>
  <c r="I25" i="13"/>
  <c r="L13" i="13"/>
  <c r="K13" i="13"/>
  <c r="L25" i="13"/>
  <c r="N19" i="13"/>
  <c r="N25" i="13" s="1"/>
  <c r="N8" i="13"/>
  <c r="J13" i="13"/>
  <c r="I13" i="13"/>
  <c r="N13" i="13" l="1"/>
  <c r="K14" i="13"/>
  <c r="K27" i="13" s="1"/>
  <c r="K37" i="13" s="1"/>
  <c r="N11" i="13"/>
  <c r="I14" i="13"/>
  <c r="I27" i="13" s="1"/>
  <c r="L14" i="13"/>
  <c r="L27" i="13" s="1"/>
  <c r="L37" i="13" s="1"/>
  <c r="J14" i="13"/>
  <c r="J27" i="13" s="1"/>
  <c r="J37" i="13" s="1"/>
  <c r="D14" i="13"/>
  <c r="D25" i="13"/>
  <c r="M23" i="13" l="1"/>
  <c r="M25" i="13" s="1"/>
  <c r="E25" i="13"/>
  <c r="F23" i="13"/>
  <c r="F25" i="13" s="1"/>
  <c r="I37" i="13"/>
  <c r="F12" i="13"/>
  <c r="F14" i="13" s="1"/>
  <c r="M14" i="13"/>
  <c r="M27" i="13" s="1"/>
  <c r="E14" i="13"/>
  <c r="E27" i="13" s="1"/>
  <c r="N9" i="13"/>
  <c r="N14" i="13" s="1"/>
  <c r="D27" i="13"/>
  <c r="F27" i="13" l="1"/>
  <c r="M37" i="13"/>
  <c r="N27" i="13"/>
  <c r="N37" i="13" s="1"/>
  <c r="F31" i="13"/>
  <c r="E32" i="13"/>
  <c r="R25" i="13"/>
  <c r="N35" i="13" l="1"/>
  <c r="F32" i="13"/>
  <c r="E33" i="13"/>
  <c r="E34" i="13" l="1"/>
  <c r="E37" i="13"/>
  <c r="C3" i="11" l="1"/>
  <c r="C3" i="10"/>
  <c r="C4" i="9"/>
  <c r="Q10" i="9" s="1"/>
  <c r="C3" i="7"/>
  <c r="A2" i="7"/>
  <c r="A4" i="8"/>
  <c r="A3" i="6"/>
  <c r="G18" i="11"/>
  <c r="G16" i="11"/>
  <c r="G19" i="11" s="1"/>
  <c r="G33" i="11" s="1"/>
  <c r="D3" i="10"/>
  <c r="D3" i="11"/>
  <c r="C7" i="8"/>
  <c r="C4" i="6"/>
  <c r="D71" i="11"/>
  <c r="D59" i="11"/>
  <c r="D50" i="11"/>
  <c r="D33" i="11"/>
  <c r="D28" i="11"/>
  <c r="D12" i="11"/>
  <c r="E86" i="11"/>
  <c r="F85" i="11"/>
  <c r="E85" i="11"/>
  <c r="F84" i="11"/>
  <c r="E80" i="11"/>
  <c r="F76" i="11"/>
  <c r="E76" i="11"/>
  <c r="F70" i="11"/>
  <c r="F69" i="11"/>
  <c r="E69" i="11"/>
  <c r="C71" i="11"/>
  <c r="F67" i="11"/>
  <c r="E67" i="11"/>
  <c r="F66" i="11"/>
  <c r="F62" i="11"/>
  <c r="F58" i="11"/>
  <c r="F56" i="11"/>
  <c r="E56" i="11"/>
  <c r="F55" i="11"/>
  <c r="E54" i="11"/>
  <c r="K54" i="11" s="1"/>
  <c r="G53" i="11"/>
  <c r="F49" i="11"/>
  <c r="E49" i="11"/>
  <c r="F48" i="11"/>
  <c r="E47" i="11"/>
  <c r="F46" i="11"/>
  <c r="E46" i="11"/>
  <c r="F45" i="11"/>
  <c r="F44" i="11"/>
  <c r="E44" i="11"/>
  <c r="F43" i="11"/>
  <c r="E42" i="11"/>
  <c r="F41" i="11"/>
  <c r="E41" i="11"/>
  <c r="F40" i="11"/>
  <c r="F39" i="11"/>
  <c r="F38" i="11"/>
  <c r="E38" i="11"/>
  <c r="E37" i="11"/>
  <c r="C33" i="11"/>
  <c r="G31" i="11"/>
  <c r="F31" i="11"/>
  <c r="E31" i="11"/>
  <c r="E27" i="11"/>
  <c r="F26" i="11"/>
  <c r="E26" i="11"/>
  <c r="F25" i="11"/>
  <c r="E24" i="11"/>
  <c r="F23" i="11"/>
  <c r="E23" i="11"/>
  <c r="E22" i="11"/>
  <c r="F21" i="11"/>
  <c r="E21" i="11"/>
  <c r="F20" i="11"/>
  <c r="E19" i="11"/>
  <c r="F17" i="11"/>
  <c r="F16" i="11"/>
  <c r="E16" i="11"/>
  <c r="F11" i="11"/>
  <c r="E11" i="11"/>
  <c r="F10" i="11"/>
  <c r="F9" i="11"/>
  <c r="F8" i="11"/>
  <c r="E8" i="11"/>
  <c r="E7" i="11"/>
  <c r="E6" i="11"/>
  <c r="F61" i="10"/>
  <c r="F60" i="10"/>
  <c r="G62" i="10"/>
  <c r="C62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G55" i="10"/>
  <c r="F47" i="10"/>
  <c r="C55" i="10"/>
  <c r="E42" i="10"/>
  <c r="F41" i="10"/>
  <c r="E40" i="10"/>
  <c r="G44" i="10"/>
  <c r="F39" i="10"/>
  <c r="G35" i="10"/>
  <c r="E33" i="10"/>
  <c r="E35" i="10" s="1"/>
  <c r="F28" i="10"/>
  <c r="E28" i="10"/>
  <c r="F27" i="10"/>
  <c r="E27" i="10"/>
  <c r="F26" i="10"/>
  <c r="E26" i="10"/>
  <c r="G29" i="10"/>
  <c r="F25" i="10"/>
  <c r="C29" i="10"/>
  <c r="F19" i="10"/>
  <c r="E18" i="10"/>
  <c r="K19" i="10"/>
  <c r="E16" i="10"/>
  <c r="G21" i="10"/>
  <c r="F15" i="10"/>
  <c r="C21" i="10"/>
  <c r="G11" i="10"/>
  <c r="E9" i="10"/>
  <c r="F8" i="10"/>
  <c r="E8" i="10"/>
  <c r="F7" i="10"/>
  <c r="E7" i="10"/>
  <c r="F6" i="10"/>
  <c r="E6" i="10"/>
  <c r="C11" i="10"/>
  <c r="D29" i="9"/>
  <c r="D28" i="9"/>
  <c r="D26" i="9"/>
  <c r="D25" i="9"/>
  <c r="D22" i="9"/>
  <c r="D23" i="9" s="1"/>
  <c r="D33" i="9" s="1"/>
  <c r="P28" i="9"/>
  <c r="O28" i="9"/>
  <c r="O29" i="9" s="1"/>
  <c r="N28" i="9"/>
  <c r="M28" i="9"/>
  <c r="L28" i="9"/>
  <c r="K28" i="9"/>
  <c r="J28" i="9"/>
  <c r="H28" i="9"/>
  <c r="F28" i="9"/>
  <c r="F29" i="9" s="1"/>
  <c r="E28" i="9"/>
  <c r="E29" i="9" s="1"/>
  <c r="P25" i="9"/>
  <c r="O25" i="9"/>
  <c r="N25" i="9"/>
  <c r="M25" i="9"/>
  <c r="L25" i="9"/>
  <c r="K25" i="9"/>
  <c r="J25" i="9"/>
  <c r="H25" i="9"/>
  <c r="F25" i="9"/>
  <c r="F26" i="9" s="1"/>
  <c r="E25" i="9"/>
  <c r="E26" i="9" s="1"/>
  <c r="P22" i="9"/>
  <c r="O22" i="9"/>
  <c r="N22" i="9"/>
  <c r="M22" i="9"/>
  <c r="L22" i="9"/>
  <c r="K22" i="9"/>
  <c r="J22" i="9"/>
  <c r="J23" i="9" s="1"/>
  <c r="H22" i="9"/>
  <c r="F22" i="9"/>
  <c r="F23" i="9" s="1"/>
  <c r="E22" i="9"/>
  <c r="E23" i="9" s="1"/>
  <c r="C28" i="9"/>
  <c r="C29" i="9" s="1"/>
  <c r="C25" i="9"/>
  <c r="C26" i="9" s="1"/>
  <c r="C22" i="9"/>
  <c r="C23" i="9" s="1"/>
  <c r="O7" i="9"/>
  <c r="O26" i="9" s="1"/>
  <c r="K7" i="9"/>
  <c r="K29" i="9" s="1"/>
  <c r="J7" i="9"/>
  <c r="N7" i="9" s="1"/>
  <c r="N26" i="9" s="1"/>
  <c r="F43" i="8"/>
  <c r="E43" i="8"/>
  <c r="B43" i="8"/>
  <c r="F42" i="8"/>
  <c r="E42" i="8"/>
  <c r="B42" i="8"/>
  <c r="D44" i="8"/>
  <c r="C44" i="8"/>
  <c r="E44" i="8" s="1"/>
  <c r="B41" i="8"/>
  <c r="F39" i="8"/>
  <c r="E39" i="8"/>
  <c r="B38" i="8"/>
  <c r="F37" i="8"/>
  <c r="E37" i="8"/>
  <c r="F31" i="8"/>
  <c r="E31" i="8"/>
  <c r="F30" i="8"/>
  <c r="E30" i="8"/>
  <c r="F29" i="8"/>
  <c r="E29" i="8"/>
  <c r="B29" i="8"/>
  <c r="F28" i="8"/>
  <c r="E28" i="8"/>
  <c r="B28" i="8"/>
  <c r="F21" i="8"/>
  <c r="E21" i="8"/>
  <c r="F20" i="8"/>
  <c r="E20" i="8"/>
  <c r="F19" i="8"/>
  <c r="E19" i="8"/>
  <c r="F18" i="8"/>
  <c r="E18" i="8"/>
  <c r="B18" i="8"/>
  <c r="F17" i="8"/>
  <c r="E17" i="8"/>
  <c r="F16" i="8"/>
  <c r="E16" i="8"/>
  <c r="F15" i="8"/>
  <c r="E15" i="8"/>
  <c r="B15" i="8"/>
  <c r="F14" i="8"/>
  <c r="E14" i="8"/>
  <c r="B14" i="8"/>
  <c r="D22" i="8"/>
  <c r="E13" i="8"/>
  <c r="B13" i="8"/>
  <c r="F10" i="8"/>
  <c r="E10" i="8"/>
  <c r="D7" i="8"/>
  <c r="C39" i="7"/>
  <c r="D39" i="7"/>
  <c r="C34" i="7"/>
  <c r="D34" i="7"/>
  <c r="C25" i="7"/>
  <c r="D25" i="7"/>
  <c r="B34" i="7"/>
  <c r="B25" i="7"/>
  <c r="B3" i="7"/>
  <c r="G51" i="6"/>
  <c r="D51" i="6"/>
  <c r="C51" i="6"/>
  <c r="G49" i="6"/>
  <c r="C49" i="6"/>
  <c r="F44" i="6"/>
  <c r="B43" i="6"/>
  <c r="F39" i="6"/>
  <c r="B39" i="6"/>
  <c r="C35" i="6"/>
  <c r="F34" i="6"/>
  <c r="G35" i="6"/>
  <c r="F33" i="6"/>
  <c r="F32" i="6"/>
  <c r="B31" i="6"/>
  <c r="F23" i="6"/>
  <c r="G25" i="6"/>
  <c r="F21" i="6"/>
  <c r="E21" i="6"/>
  <c r="B20" i="6"/>
  <c r="F15" i="6"/>
  <c r="E15" i="6"/>
  <c r="C16" i="6"/>
  <c r="F13" i="6"/>
  <c r="G16" i="6"/>
  <c r="D16" i="6"/>
  <c r="B11" i="6"/>
  <c r="D9" i="6"/>
  <c r="C9" i="6"/>
  <c r="E9" i="6" s="1"/>
  <c r="F8" i="6"/>
  <c r="B8" i="6"/>
  <c r="G9" i="6"/>
  <c r="F7" i="6"/>
  <c r="E7" i="6"/>
  <c r="B7" i="6"/>
  <c r="D4" i="6"/>
  <c r="S50" i="5"/>
  <c r="Q50" i="5"/>
  <c r="Q51" i="5" s="1"/>
  <c r="P50" i="5"/>
  <c r="M50" i="5"/>
  <c r="L50" i="5"/>
  <c r="N50" i="5" s="1"/>
  <c r="J50" i="5"/>
  <c r="R42" i="5"/>
  <c r="N42" i="5"/>
  <c r="T41" i="5"/>
  <c r="N37" i="5"/>
  <c r="Q32" i="5"/>
  <c r="Q35" i="5" s="1"/>
  <c r="T31" i="5"/>
  <c r="R22" i="5"/>
  <c r="N22" i="5"/>
  <c r="N21" i="5" s="1"/>
  <c r="H22" i="5"/>
  <c r="J22" i="5" s="1"/>
  <c r="T22" i="5" s="1"/>
  <c r="S32" i="5"/>
  <c r="P32" i="5"/>
  <c r="M32" i="5"/>
  <c r="S15" i="5"/>
  <c r="R15" i="5"/>
  <c r="N15" i="5"/>
  <c r="J15" i="5"/>
  <c r="M11" i="5"/>
  <c r="M25" i="5" s="1"/>
  <c r="S10" i="5"/>
  <c r="S11" i="5" s="1"/>
  <c r="S51" i="5" s="1"/>
  <c r="R10" i="5"/>
  <c r="N10" i="5"/>
  <c r="J10" i="5"/>
  <c r="D11" i="5"/>
  <c r="D16" i="5" s="1"/>
  <c r="R9" i="5"/>
  <c r="Q11" i="5"/>
  <c r="Q30" i="5" s="1"/>
  <c r="P11" i="5"/>
  <c r="T7" i="5"/>
  <c r="T6" i="5"/>
  <c r="R5" i="5"/>
  <c r="N5" i="5"/>
  <c r="R4" i="5"/>
  <c r="N4" i="5"/>
  <c r="J4" i="5"/>
  <c r="H50" i="4"/>
  <c r="H42" i="4"/>
  <c r="H37" i="4"/>
  <c r="H27" i="4"/>
  <c r="H22" i="4"/>
  <c r="H21" i="4"/>
  <c r="H32" i="4" s="1"/>
  <c r="H15" i="4"/>
  <c r="H10" i="4"/>
  <c r="H9" i="4"/>
  <c r="H8" i="4"/>
  <c r="H11" i="4" s="1"/>
  <c r="H5" i="4"/>
  <c r="H4" i="4"/>
  <c r="S23" i="9"/>
  <c r="S25" i="9"/>
  <c r="S28" i="9"/>
  <c r="S29" i="9"/>
  <c r="S26" i="9"/>
  <c r="S33" i="9"/>
  <c r="S22" i="9"/>
  <c r="P7" i="9" l="1"/>
  <c r="P26" i="9" s="1"/>
  <c r="J26" i="9"/>
  <c r="N29" i="9"/>
  <c r="N23" i="9"/>
  <c r="L7" i="9"/>
  <c r="L29" i="9" s="1"/>
  <c r="E33" i="9"/>
  <c r="O23" i="9"/>
  <c r="O33" i="9" s="1"/>
  <c r="P29" i="9"/>
  <c r="M7" i="9"/>
  <c r="F33" i="9"/>
  <c r="P23" i="9"/>
  <c r="J29" i="9"/>
  <c r="S35" i="5"/>
  <c r="H4" i="9"/>
  <c r="S44" i="5"/>
  <c r="E33" i="11"/>
  <c r="F33" i="11"/>
  <c r="F71" i="11"/>
  <c r="E71" i="11"/>
  <c r="E39" i="11"/>
  <c r="E70" i="11"/>
  <c r="F6" i="11"/>
  <c r="E9" i="11"/>
  <c r="C12" i="11"/>
  <c r="F12" i="11" s="1"/>
  <c r="E17" i="11"/>
  <c r="F19" i="11"/>
  <c r="F24" i="11"/>
  <c r="F47" i="11"/>
  <c r="F54" i="11"/>
  <c r="F27" i="11"/>
  <c r="F42" i="11"/>
  <c r="E45" i="11"/>
  <c r="F80" i="11"/>
  <c r="F22" i="11"/>
  <c r="E25" i="11"/>
  <c r="C28" i="11"/>
  <c r="F28" i="11" s="1"/>
  <c r="E32" i="11"/>
  <c r="F37" i="11"/>
  <c r="E40" i="11"/>
  <c r="E48" i="11"/>
  <c r="E58" i="11"/>
  <c r="F68" i="11"/>
  <c r="F86" i="11"/>
  <c r="F7" i="11"/>
  <c r="E10" i="11"/>
  <c r="E18" i="11"/>
  <c r="E20" i="11"/>
  <c r="F32" i="11"/>
  <c r="E43" i="11"/>
  <c r="E53" i="11"/>
  <c r="E55" i="11"/>
  <c r="E66" i="11"/>
  <c r="E84" i="11"/>
  <c r="C50" i="11"/>
  <c r="E62" i="11"/>
  <c r="E68" i="11"/>
  <c r="F18" i="11"/>
  <c r="F53" i="11"/>
  <c r="C59" i="11"/>
  <c r="E11" i="10"/>
  <c r="F55" i="10"/>
  <c r="E55" i="10"/>
  <c r="F21" i="10"/>
  <c r="F11" i="10"/>
  <c r="F29" i="10"/>
  <c r="E29" i="10"/>
  <c r="F62" i="10"/>
  <c r="E62" i="10"/>
  <c r="F18" i="10"/>
  <c r="E25" i="10"/>
  <c r="F33" i="10"/>
  <c r="F40" i="10"/>
  <c r="F42" i="10"/>
  <c r="E47" i="10"/>
  <c r="C35" i="10"/>
  <c r="C44" i="10"/>
  <c r="E59" i="10"/>
  <c r="E61" i="10"/>
  <c r="E17" i="10"/>
  <c r="E19" i="10"/>
  <c r="E39" i="10"/>
  <c r="E41" i="10"/>
  <c r="E44" i="10" s="1"/>
  <c r="F59" i="10"/>
  <c r="E15" i="10"/>
  <c r="F17" i="10"/>
  <c r="E60" i="10"/>
  <c r="N33" i="9"/>
  <c r="M29" i="9"/>
  <c r="C33" i="9"/>
  <c r="J33" i="9"/>
  <c r="H7" i="9"/>
  <c r="K23" i="9"/>
  <c r="K26" i="9"/>
  <c r="L23" i="9"/>
  <c r="M23" i="9"/>
  <c r="M26" i="9"/>
  <c r="D46" i="8"/>
  <c r="F44" i="8"/>
  <c r="C46" i="8"/>
  <c r="F13" i="8"/>
  <c r="C33" i="8"/>
  <c r="E41" i="8"/>
  <c r="D33" i="8"/>
  <c r="E38" i="8"/>
  <c r="C22" i="8"/>
  <c r="F22" i="8" s="1"/>
  <c r="F38" i="8"/>
  <c r="B39" i="7"/>
  <c r="E24" i="6"/>
  <c r="F24" i="6"/>
  <c r="E16" i="6"/>
  <c r="F16" i="6"/>
  <c r="C18" i="6"/>
  <c r="G18" i="6"/>
  <c r="D25" i="6"/>
  <c r="D27" i="6" s="1"/>
  <c r="D29" i="6" s="1"/>
  <c r="D18" i="6"/>
  <c r="G27" i="6"/>
  <c r="G29" i="6" s="1"/>
  <c r="G37" i="6" s="1"/>
  <c r="G47" i="6" s="1"/>
  <c r="E12" i="6"/>
  <c r="E33" i="6"/>
  <c r="E44" i="6"/>
  <c r="F12" i="6"/>
  <c r="C25" i="6"/>
  <c r="C27" i="6" s="1"/>
  <c r="C29" i="6" s="1"/>
  <c r="D35" i="6"/>
  <c r="F35" i="6" s="1"/>
  <c r="E23" i="6"/>
  <c r="F9" i="6"/>
  <c r="F14" i="6"/>
  <c r="E32" i="6"/>
  <c r="E22" i="6"/>
  <c r="E8" i="6"/>
  <c r="E13" i="6"/>
  <c r="F22" i="6"/>
  <c r="E34" i="6"/>
  <c r="E39" i="6"/>
  <c r="E14" i="6"/>
  <c r="P35" i="5"/>
  <c r="M35" i="5"/>
  <c r="D51" i="5"/>
  <c r="D30" i="5"/>
  <c r="D25" i="5"/>
  <c r="P51" i="5"/>
  <c r="R50" i="5"/>
  <c r="T50" i="5" s="1"/>
  <c r="T4" i="5"/>
  <c r="M51" i="5"/>
  <c r="M16" i="5"/>
  <c r="M40" i="5"/>
  <c r="M30" i="5"/>
  <c r="N9" i="5"/>
  <c r="R21" i="5"/>
  <c r="R44" i="5"/>
  <c r="J5" i="5"/>
  <c r="P16" i="5"/>
  <c r="P30" i="5"/>
  <c r="P40" i="5"/>
  <c r="R37" i="5"/>
  <c r="Q40" i="5"/>
  <c r="T15" i="5"/>
  <c r="U15" i="5" s="1"/>
  <c r="R13" i="5"/>
  <c r="J8" i="5"/>
  <c r="F11" i="5"/>
  <c r="F16" i="5" s="1"/>
  <c r="M44" i="5"/>
  <c r="P25" i="5"/>
  <c r="G11" i="5"/>
  <c r="G16" i="5" s="1"/>
  <c r="D35" i="5"/>
  <c r="H11" i="5"/>
  <c r="H16" i="5" s="1"/>
  <c r="I11" i="5"/>
  <c r="I16" i="5" s="1"/>
  <c r="R27" i="5"/>
  <c r="S30" i="5"/>
  <c r="S25" i="5"/>
  <c r="S16" i="5"/>
  <c r="J32" i="5"/>
  <c r="Q16" i="5"/>
  <c r="Q25" i="5"/>
  <c r="T10" i="5"/>
  <c r="D44" i="5"/>
  <c r="R8" i="5"/>
  <c r="R11" i="5" s="1"/>
  <c r="D40" i="5"/>
  <c r="L32" i="5"/>
  <c r="N27" i="5"/>
  <c r="N32" i="5" s="1"/>
  <c r="H16" i="4"/>
  <c r="H40" i="4"/>
  <c r="H25" i="4"/>
  <c r="H44" i="4"/>
  <c r="H51" i="4"/>
  <c r="H30" i="4"/>
  <c r="H35" i="4"/>
  <c r="R40" i="5" l="1"/>
  <c r="G52" i="6"/>
  <c r="D87" i="11"/>
  <c r="C87" i="11"/>
  <c r="P33" i="9"/>
  <c r="L26" i="9"/>
  <c r="L33" i="9" s="1"/>
  <c r="E21" i="10"/>
  <c r="E28" i="11"/>
  <c r="E12" i="11"/>
  <c r="E59" i="11"/>
  <c r="F59" i="11"/>
  <c r="F50" i="11"/>
  <c r="E50" i="11"/>
  <c r="F44" i="10"/>
  <c r="F35" i="10"/>
  <c r="K33" i="9"/>
  <c r="H29" i="9"/>
  <c r="H26" i="9"/>
  <c r="H23" i="9"/>
  <c r="M33" i="9"/>
  <c r="E33" i="8"/>
  <c r="D48" i="8"/>
  <c r="F46" i="8"/>
  <c r="C48" i="8"/>
  <c r="E46" i="8"/>
  <c r="E22" i="8"/>
  <c r="C52" i="8"/>
  <c r="F33" i="8"/>
  <c r="D37" i="6"/>
  <c r="D41" i="6" s="1"/>
  <c r="D47" i="6" s="1"/>
  <c r="F29" i="6"/>
  <c r="C37" i="6"/>
  <c r="E29" i="6"/>
  <c r="F18" i="6"/>
  <c r="E18" i="6"/>
  <c r="F27" i="6"/>
  <c r="E27" i="6"/>
  <c r="F25" i="6"/>
  <c r="E25" i="6"/>
  <c r="E35" i="6"/>
  <c r="R32" i="5"/>
  <c r="R35" i="5" s="1"/>
  <c r="T21" i="5"/>
  <c r="T5" i="5"/>
  <c r="F30" i="5"/>
  <c r="H40" i="5"/>
  <c r="N8" i="5"/>
  <c r="N11" i="5" s="1"/>
  <c r="N35" i="5" s="1"/>
  <c r="L11" i="5"/>
  <c r="L35" i="5" s="1"/>
  <c r="S23" i="5"/>
  <c r="S28" i="5" s="1"/>
  <c r="S38" i="5" s="1"/>
  <c r="S18" i="5"/>
  <c r="S33" i="5"/>
  <c r="M33" i="5"/>
  <c r="M18" i="5"/>
  <c r="M23" i="5"/>
  <c r="M28" i="5" s="1"/>
  <c r="M38" i="5" s="1"/>
  <c r="M46" i="5" s="1"/>
  <c r="I40" i="5"/>
  <c r="R25" i="5"/>
  <c r="R16" i="5"/>
  <c r="T32" i="5"/>
  <c r="F40" i="5"/>
  <c r="T27" i="5"/>
  <c r="P23" i="5"/>
  <c r="P28" i="5" s="1"/>
  <c r="P38" i="5" s="1"/>
  <c r="P46" i="5" s="1"/>
  <c r="P33" i="5"/>
  <c r="I30" i="5"/>
  <c r="H30" i="5"/>
  <c r="G30" i="5"/>
  <c r="D33" i="5"/>
  <c r="D18" i="5"/>
  <c r="D23" i="5"/>
  <c r="J9" i="5"/>
  <c r="T9" i="5" s="1"/>
  <c r="T37" i="5"/>
  <c r="Q33" i="5"/>
  <c r="Q23" i="5"/>
  <c r="Q28" i="5" s="1"/>
  <c r="Q38" i="5" s="1"/>
  <c r="Q46" i="5" s="1"/>
  <c r="R30" i="5"/>
  <c r="G40" i="5"/>
  <c r="R51" i="5"/>
  <c r="H23" i="4"/>
  <c r="H28" i="4" s="1"/>
  <c r="H38" i="4" s="1"/>
  <c r="H46" i="4" s="1"/>
  <c r="H18" i="4"/>
  <c r="H33" i="4"/>
  <c r="E87" i="11" l="1"/>
  <c r="F87" i="11"/>
  <c r="H33" i="9"/>
  <c r="E48" i="8"/>
  <c r="F48" i="8"/>
  <c r="D52" i="8"/>
  <c r="C41" i="6"/>
  <c r="C47" i="6" s="1"/>
  <c r="F37" i="6"/>
  <c r="F41" i="6" s="1"/>
  <c r="E37" i="6"/>
  <c r="E41" i="6" s="1"/>
  <c r="H35" i="5"/>
  <c r="H25" i="5"/>
  <c r="F25" i="5"/>
  <c r="F35" i="5"/>
  <c r="S40" i="5"/>
  <c r="S46" i="5"/>
  <c r="F33" i="5"/>
  <c r="F18" i="5"/>
  <c r="F23" i="5"/>
  <c r="F28" i="5" s="1"/>
  <c r="F38" i="5" s="1"/>
  <c r="M47" i="5"/>
  <c r="M48" i="5"/>
  <c r="M52" i="5"/>
  <c r="I35" i="5"/>
  <c r="I25" i="5"/>
  <c r="T8" i="5"/>
  <c r="Q52" i="5"/>
  <c r="Q48" i="5"/>
  <c r="P52" i="5"/>
  <c r="P48" i="5"/>
  <c r="I23" i="5"/>
  <c r="I28" i="5" s="1"/>
  <c r="I38" i="5" s="1"/>
  <c r="I18" i="5"/>
  <c r="L25" i="5"/>
  <c r="L44" i="5"/>
  <c r="L16" i="5"/>
  <c r="L51" i="5"/>
  <c r="L40" i="5"/>
  <c r="L30" i="5"/>
  <c r="D28" i="5"/>
  <c r="N16" i="5"/>
  <c r="N25" i="5"/>
  <c r="N40" i="5"/>
  <c r="N13" i="5"/>
  <c r="N51" i="5"/>
  <c r="N44" i="5"/>
  <c r="R23" i="5"/>
  <c r="R28" i="5" s="1"/>
  <c r="R38" i="5" s="1"/>
  <c r="R46" i="5" s="1"/>
  <c r="R18" i="5"/>
  <c r="R33" i="5"/>
  <c r="G18" i="5"/>
  <c r="G23" i="5"/>
  <c r="G28" i="5" s="1"/>
  <c r="G38" i="5" s="1"/>
  <c r="J11" i="5"/>
  <c r="J13" i="5" s="1"/>
  <c r="H18" i="5"/>
  <c r="H23" i="5"/>
  <c r="H28" i="5" s="1"/>
  <c r="H38" i="5" s="1"/>
  <c r="H33" i="5"/>
  <c r="G25" i="5"/>
  <c r="G35" i="5"/>
  <c r="N30" i="5"/>
  <c r="H52" i="4"/>
  <c r="H48" i="4"/>
  <c r="H47" i="4"/>
  <c r="F47" i="6" l="1"/>
  <c r="C52" i="6"/>
  <c r="E47" i="6"/>
  <c r="I33" i="5"/>
  <c r="J51" i="5"/>
  <c r="J44" i="5"/>
  <c r="J40" i="5"/>
  <c r="J16" i="5"/>
  <c r="T11" i="5"/>
  <c r="J25" i="5"/>
  <c r="J30" i="5"/>
  <c r="H44" i="5"/>
  <c r="F51" i="5"/>
  <c r="J35" i="5"/>
  <c r="G44" i="5"/>
  <c r="H51" i="5"/>
  <c r="G51" i="5"/>
  <c r="F44" i="5"/>
  <c r="I51" i="5"/>
  <c r="I44" i="5"/>
  <c r="D38" i="5"/>
  <c r="R52" i="5"/>
  <c r="R48" i="5"/>
  <c r="R47" i="5"/>
  <c r="S52" i="5"/>
  <c r="S48" i="5"/>
  <c r="S47" i="5"/>
  <c r="G33" i="5"/>
  <c r="L33" i="5"/>
  <c r="L23" i="5"/>
  <c r="L28" i="5" s="1"/>
  <c r="L38" i="5" s="1"/>
  <c r="L46" i="5" s="1"/>
  <c r="L18" i="5"/>
  <c r="H46" i="5"/>
  <c r="N33" i="5"/>
  <c r="N18" i="5"/>
  <c r="N23" i="5"/>
  <c r="N28" i="5" s="1"/>
  <c r="N38" i="5" s="1"/>
  <c r="N46" i="5" s="1"/>
  <c r="F50" i="3"/>
  <c r="F42" i="3"/>
  <c r="F37" i="3"/>
  <c r="F27" i="3"/>
  <c r="F30" i="3" s="1"/>
  <c r="F22" i="3"/>
  <c r="F21" i="3"/>
  <c r="F15" i="3"/>
  <c r="F10" i="3"/>
  <c r="F8" i="3"/>
  <c r="F11" i="3" s="1"/>
  <c r="F5" i="3"/>
  <c r="F4" i="3"/>
  <c r="S4" i="2"/>
  <c r="S55" i="2"/>
  <c r="S53" i="2"/>
  <c r="S49" i="2"/>
  <c r="S45" i="2"/>
  <c r="S41" i="2"/>
  <c r="S40" i="2"/>
  <c r="S39" i="2"/>
  <c r="S34" i="2"/>
  <c r="S33" i="2"/>
  <c r="S29" i="2"/>
  <c r="S28" i="2"/>
  <c r="S24" i="2"/>
  <c r="S23" i="2"/>
  <c r="S18" i="2"/>
  <c r="S17" i="2"/>
  <c r="S13" i="2"/>
  <c r="S12" i="2"/>
  <c r="S11" i="2"/>
  <c r="S10" i="2"/>
  <c r="S8" i="2"/>
  <c r="S7" i="2"/>
  <c r="S5" i="2"/>
  <c r="F32" i="3" l="1"/>
  <c r="F35" i="3" s="1"/>
  <c r="I46" i="5"/>
  <c r="I52" i="5" s="1"/>
  <c r="H47" i="5"/>
  <c r="H52" i="5"/>
  <c r="H48" i="5"/>
  <c r="F46" i="5"/>
  <c r="J23" i="5"/>
  <c r="J33" i="5"/>
  <c r="T33" i="5" s="1"/>
  <c r="J18" i="5"/>
  <c r="T16" i="5"/>
  <c r="G46" i="5"/>
  <c r="L47" i="5"/>
  <c r="L52" i="5"/>
  <c r="L48" i="5"/>
  <c r="N47" i="5"/>
  <c r="N52" i="5"/>
  <c r="N48" i="5"/>
  <c r="D46" i="5"/>
  <c r="F16" i="3"/>
  <c r="F40" i="3"/>
  <c r="F25" i="3"/>
  <c r="F44" i="3"/>
  <c r="F51" i="3"/>
  <c r="I47" i="5" l="1"/>
  <c r="I48" i="5"/>
  <c r="J28" i="5"/>
  <c r="T23" i="5"/>
  <c r="G48" i="5"/>
  <c r="G52" i="5"/>
  <c r="G47" i="5"/>
  <c r="D47" i="5"/>
  <c r="D48" i="5"/>
  <c r="D52" i="5"/>
  <c r="F48" i="5"/>
  <c r="F52" i="5"/>
  <c r="F47" i="5"/>
  <c r="F23" i="3"/>
  <c r="F28" i="3" s="1"/>
  <c r="F38" i="3" s="1"/>
  <c r="F46" i="3" s="1"/>
  <c r="F33" i="3"/>
  <c r="F18" i="3"/>
  <c r="D55" i="5" l="1"/>
  <c r="J38" i="5"/>
  <c r="T28" i="5"/>
  <c r="F52" i="3"/>
  <c r="F48" i="3"/>
  <c r="F47" i="3"/>
  <c r="J46" i="5" l="1"/>
  <c r="T38" i="5"/>
  <c r="J52" i="5" l="1"/>
  <c r="T52" i="5" s="1"/>
  <c r="J48" i="5"/>
  <c r="J47" i="5"/>
  <c r="T4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M19" authorId="0" shapeId="0" xr:uid="{0ED82028-7E3A-47BD-8EFA-3A154C1D1C4E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Accrued Interest Expenses</t>
        </r>
      </text>
    </comment>
  </commentList>
</comments>
</file>

<file path=xl/sharedStrings.xml><?xml version="1.0" encoding="utf-8"?>
<sst xmlns="http://schemas.openxmlformats.org/spreadsheetml/2006/main" count="592" uniqueCount="328">
  <si>
    <t>Group</t>
  </si>
  <si>
    <t>Guinness Nigeria Plc</t>
  </si>
  <si>
    <t>FrieslandCampina WAMCO Nigeria</t>
  </si>
  <si>
    <t>Flour Mills of Nigeria</t>
  </si>
  <si>
    <t>Nestle Nigeria Plc</t>
  </si>
  <si>
    <t>Honeywell Flour Mills</t>
  </si>
  <si>
    <t>Promasidor</t>
  </si>
  <si>
    <t>Rite Foods</t>
  </si>
  <si>
    <t>Unilever Nigeria Plc</t>
  </si>
  <si>
    <t>Nigerian Breweries</t>
  </si>
  <si>
    <t>Coca-Cola Company</t>
  </si>
  <si>
    <t>Lacasera</t>
  </si>
  <si>
    <t>Binatone Nigeria</t>
  </si>
  <si>
    <t>Others</t>
  </si>
  <si>
    <t>GMV_NGN</t>
  </si>
  <si>
    <t>GMV_Cases</t>
  </si>
  <si>
    <t>% Growth</t>
  </si>
  <si>
    <t>Average Stock(Qty)</t>
  </si>
  <si>
    <t>Average Stock(NGN)</t>
  </si>
  <si>
    <t>Revenue from Trading</t>
  </si>
  <si>
    <t>Rebate Income/Other Income</t>
  </si>
  <si>
    <t>Revenue from Dropshipping</t>
  </si>
  <si>
    <t>Revenue</t>
  </si>
  <si>
    <t>COGS</t>
  </si>
  <si>
    <t>Contribution Margin 1</t>
  </si>
  <si>
    <t>%Revenue</t>
  </si>
  <si>
    <t>Logistic Cost</t>
  </si>
  <si>
    <t>Contribution Margin 2</t>
  </si>
  <si>
    <t>Warehousing Cost</t>
  </si>
  <si>
    <t>Contribution Margin 3</t>
  </si>
  <si>
    <t>Distribution Cost</t>
  </si>
  <si>
    <t>Selling Cost</t>
  </si>
  <si>
    <t>Sales Reps</t>
  </si>
  <si>
    <t>Producers Mag</t>
  </si>
  <si>
    <t>Contribution Margin 4</t>
  </si>
  <si>
    <t>Admin Cost</t>
  </si>
  <si>
    <t>EBITDA</t>
  </si>
  <si>
    <t>%CM1</t>
  </si>
  <si>
    <t>Interest Expense</t>
  </si>
  <si>
    <t>EBTDA</t>
  </si>
  <si>
    <t>CCC</t>
  </si>
  <si>
    <t>Summary of Western Cities Trading Performance for the Month of Febuary 2023</t>
  </si>
  <si>
    <t>Oyo</t>
  </si>
  <si>
    <t>Kwara</t>
  </si>
  <si>
    <t>Western Cities</t>
  </si>
  <si>
    <t>Rebate Income</t>
  </si>
  <si>
    <t>Logistic cost_Personnel</t>
  </si>
  <si>
    <t>Rivers</t>
  </si>
  <si>
    <t>Edo</t>
  </si>
  <si>
    <t>Uyo</t>
  </si>
  <si>
    <t>Eastern Cities</t>
  </si>
  <si>
    <t>Iganmu DC</t>
  </si>
  <si>
    <t>Ikotun DC</t>
  </si>
  <si>
    <t>Oke Arin FS</t>
  </si>
  <si>
    <t xml:space="preserve">Marketplace </t>
  </si>
  <si>
    <t>Lagos</t>
  </si>
  <si>
    <t>Abuja</t>
  </si>
  <si>
    <t>STATEMENT OF PROFIT OR LOSS FOR TRADING OPERATION</t>
  </si>
  <si>
    <t>VARIANCE</t>
  </si>
  <si>
    <t>YTD ACT</t>
  </si>
  <si>
    <t>NGN</t>
  </si>
  <si>
    <t>%</t>
  </si>
  <si>
    <t>REMARK</t>
  </si>
  <si>
    <t>Notes</t>
  </si>
  <si>
    <t>Cost of Good Sold</t>
  </si>
  <si>
    <t>Drive To Own Cost</t>
  </si>
  <si>
    <t>Third-Party Logistics</t>
  </si>
  <si>
    <t>Logistics Personnel cost</t>
  </si>
  <si>
    <t>Logistic Cost- Others</t>
  </si>
  <si>
    <t>Rent</t>
  </si>
  <si>
    <t xml:space="preserve">Service </t>
  </si>
  <si>
    <t>Personnel</t>
  </si>
  <si>
    <t>Other</t>
  </si>
  <si>
    <t>Producer Manager</t>
  </si>
  <si>
    <t>Sales Rep Cost</t>
  </si>
  <si>
    <t>Other Selling Cost</t>
  </si>
  <si>
    <t>Other Operating Expenses</t>
  </si>
  <si>
    <t>Net Profit Before Financing Cost</t>
  </si>
  <si>
    <t>Financing Cost</t>
  </si>
  <si>
    <t>Net Profit After Financing Cost</t>
  </si>
  <si>
    <t>Cash from Trading Activities</t>
  </si>
  <si>
    <t>Other Income</t>
  </si>
  <si>
    <t>Account Receivables</t>
  </si>
  <si>
    <t>Prepayment(Advance Payment)</t>
  </si>
  <si>
    <t>Cash Paid out to Suppliers</t>
  </si>
  <si>
    <t>Inventory</t>
  </si>
  <si>
    <t>Account Payables</t>
  </si>
  <si>
    <t xml:space="preserve">Income tax payables </t>
  </si>
  <si>
    <t>Cash Paid out for Other Expenses</t>
  </si>
  <si>
    <t>Cash Flow from Operating Activities</t>
  </si>
  <si>
    <t>Cash Flow from Investing Activities</t>
  </si>
  <si>
    <t>Capital Contribution</t>
  </si>
  <si>
    <t>Prior year Adjustment(Retained Earnings)</t>
  </si>
  <si>
    <t xml:space="preserve">Non-current borrowings </t>
  </si>
  <si>
    <t xml:space="preserve">Current borrowings </t>
  </si>
  <si>
    <t>Cash Flow from Financing Activities</t>
  </si>
  <si>
    <t>Beginning  Cash Balance</t>
  </si>
  <si>
    <t>Change in Cash</t>
  </si>
  <si>
    <t>Ending Cash Balance</t>
  </si>
  <si>
    <t xml:space="preserve">STATEMENT OF FINANCIAL POSITION </t>
  </si>
  <si>
    <t>N'000</t>
  </si>
  <si>
    <t>ASSETS</t>
  </si>
  <si>
    <t>Non-current assets</t>
  </si>
  <si>
    <t>The represent increase in placement with other banks</t>
  </si>
  <si>
    <t>Current assets</t>
  </si>
  <si>
    <t xml:space="preserve">Inventories </t>
  </si>
  <si>
    <t xml:space="preserve">Trade and other receivables </t>
  </si>
  <si>
    <t xml:space="preserve">Prepaid expenses </t>
  </si>
  <si>
    <t>The movt represents increase in NIP transactions (NIP receivable account)</t>
  </si>
  <si>
    <t>Term deposits and other financial assets</t>
  </si>
  <si>
    <t xml:space="preserve">Cash and cash equivalents </t>
  </si>
  <si>
    <t>TOTAL ASSETS</t>
  </si>
  <si>
    <t>EQUITY AND LIABILITIES</t>
  </si>
  <si>
    <t>SHAREHOLDERS' EQUITY</t>
  </si>
  <si>
    <t>General Reserve</t>
  </si>
  <si>
    <t>Retained Earnings</t>
  </si>
  <si>
    <t>Current Year Earnings</t>
  </si>
  <si>
    <t>Total Equity</t>
  </si>
  <si>
    <t>LIABILITIES</t>
  </si>
  <si>
    <t>Non-current liabilities</t>
  </si>
  <si>
    <t>Current liabilities</t>
  </si>
  <si>
    <t xml:space="preserve">Trade and other payables </t>
  </si>
  <si>
    <t>Total Liabilities</t>
  </si>
  <si>
    <t>This represents  NIP settelment (NIP payable account)</t>
  </si>
  <si>
    <t xml:space="preserve">TOTAL EQUITY AND LIABILITIES </t>
  </si>
  <si>
    <t>CHECK SUM</t>
  </si>
  <si>
    <t>Period</t>
  </si>
  <si>
    <t>Input Data</t>
  </si>
  <si>
    <t>Number of Days</t>
  </si>
  <si>
    <t>31</t>
  </si>
  <si>
    <t>MTD</t>
  </si>
  <si>
    <t>YTD</t>
  </si>
  <si>
    <t>Sales</t>
  </si>
  <si>
    <t>Cost of Goods Sold (COGS)</t>
  </si>
  <si>
    <t>Average Inventory</t>
  </si>
  <si>
    <t>Average Receivables</t>
  </si>
  <si>
    <t>Average accounts payables</t>
  </si>
  <si>
    <t>Purchases*</t>
  </si>
  <si>
    <t>* Purchases = ending inventory – beginning inventory + cost of goods sold</t>
  </si>
  <si>
    <t>Output</t>
  </si>
  <si>
    <t>Inventory Turnover</t>
  </si>
  <si>
    <t>Number of Days of Inventory</t>
  </si>
  <si>
    <t>Accounts Receivable Turnover</t>
  </si>
  <si>
    <t>Number of Days of Receivables</t>
  </si>
  <si>
    <t>Payables Turnover</t>
  </si>
  <si>
    <t>Number of Days of Payables</t>
  </si>
  <si>
    <t>Cash Conversion Cycle</t>
  </si>
  <si>
    <t>Note to Income Statements</t>
  </si>
  <si>
    <t>REVENUE</t>
  </si>
  <si>
    <t>Income from Rebate</t>
  </si>
  <si>
    <t>Other Incomes</t>
  </si>
  <si>
    <t>COST OF SALES</t>
  </si>
  <si>
    <t>Trading Cost</t>
  </si>
  <si>
    <t>Dropshipping Cost</t>
  </si>
  <si>
    <t>Discount</t>
  </si>
  <si>
    <t>Packaging Cost</t>
  </si>
  <si>
    <t>Stock Scrapping</t>
  </si>
  <si>
    <t>Bank Charges</t>
  </si>
  <si>
    <t>Marketing expenses</t>
  </si>
  <si>
    <t>General Expenses</t>
  </si>
  <si>
    <t>WH Personnel Cost</t>
  </si>
  <si>
    <t>WH Rent</t>
  </si>
  <si>
    <t>WH Service Cost</t>
  </si>
  <si>
    <t>WH Maintenance and Service</t>
  </si>
  <si>
    <t>Other WH Cost</t>
  </si>
  <si>
    <t>WH Security</t>
  </si>
  <si>
    <t>WH Electricity</t>
  </si>
  <si>
    <t>WH Fuel and Diesel Cost</t>
  </si>
  <si>
    <t>Note to Financial Position</t>
  </si>
  <si>
    <t>Average</t>
  </si>
  <si>
    <t xml:space="preserve">INVENTORIES </t>
  </si>
  <si>
    <t>Stock On Hand</t>
  </si>
  <si>
    <t>Stock Interim (Received)</t>
  </si>
  <si>
    <t>Stock Interim (Delivered)</t>
  </si>
  <si>
    <t>Incentive Stock Account</t>
  </si>
  <si>
    <t>Good In Transit</t>
  </si>
  <si>
    <t xml:space="preserve">Rebate Stock </t>
  </si>
  <si>
    <t xml:space="preserve">TRADE AND OTHER RECEIVABLES </t>
  </si>
  <si>
    <t>Drivers Receivables</t>
  </si>
  <si>
    <t>Merchant services receivable</t>
  </si>
  <si>
    <t>Managers Receivables</t>
  </si>
  <si>
    <t>3PL  Receivables</t>
  </si>
  <si>
    <t>Interbranch Receivables</t>
  </si>
  <si>
    <t>Agency Receivables</t>
  </si>
  <si>
    <t>Rebate Receivable</t>
  </si>
  <si>
    <t>Fleet Receivables</t>
  </si>
  <si>
    <t>DTO Receivables</t>
  </si>
  <si>
    <t>Modern Trade Receivables</t>
  </si>
  <si>
    <t>Receivables from Corporate Finance</t>
  </si>
  <si>
    <t>Others Receivables</t>
  </si>
  <si>
    <t>PREPAYMENT</t>
  </si>
  <si>
    <t>Advance Payment</t>
  </si>
  <si>
    <t>Prepaid Expenses</t>
  </si>
  <si>
    <t>CASH AND CASH EQUIVALENT</t>
  </si>
  <si>
    <t xml:space="preserve">Cash </t>
  </si>
  <si>
    <t>Bank Balance with FCMB</t>
  </si>
  <si>
    <t>Bank Balance with Sterling Bank</t>
  </si>
  <si>
    <t>Bank Balance with Wema</t>
  </si>
  <si>
    <t>Bank Balance with Zenith</t>
  </si>
  <si>
    <t>Zenith Bank Guarantee</t>
  </si>
  <si>
    <t>Bank Balance with First Bank</t>
  </si>
  <si>
    <t>Bank Balance with Globus Bank</t>
  </si>
  <si>
    <t>Collection Partners</t>
  </si>
  <si>
    <t>Imprest Balance</t>
  </si>
  <si>
    <t>Interswitch Wallet</t>
  </si>
  <si>
    <t>ShopTopUp Biller</t>
  </si>
  <si>
    <t>Unreconciled Balances</t>
  </si>
  <si>
    <t>TRADE AND OTHER PAYABLE</t>
  </si>
  <si>
    <t>Supplier Payable</t>
  </si>
  <si>
    <t>Non Supplier Payable</t>
  </si>
  <si>
    <t>Interbranch Payables</t>
  </si>
  <si>
    <t>Modern Trade Payables</t>
  </si>
  <si>
    <t xml:space="preserve">Payables Logistic </t>
  </si>
  <si>
    <t>Other Payables</t>
  </si>
  <si>
    <t>Tax Payables</t>
  </si>
  <si>
    <t>Tax Liabilities</t>
  </si>
  <si>
    <t xml:space="preserve">CURRENT BORROWINGS </t>
  </si>
  <si>
    <t>OD with Stanbic</t>
  </si>
  <si>
    <t>OD with Sterling Bank</t>
  </si>
  <si>
    <t>OD with Fidelity Bank</t>
  </si>
  <si>
    <t>OD with Others</t>
  </si>
  <si>
    <t>Interest Payable</t>
  </si>
  <si>
    <t xml:space="preserve">NON-CURRENT BORROWINGS </t>
  </si>
  <si>
    <t>Term Loan</t>
  </si>
  <si>
    <t xml:space="preserve">CAPITAL  </t>
  </si>
  <si>
    <t>GENERAL RESERVES</t>
  </si>
  <si>
    <t>Dividend</t>
  </si>
  <si>
    <t xml:space="preserve">  </t>
  </si>
  <si>
    <t>Summary of 30BG Telecommunications Solutions Plc Trading Performance for the Month of February 2023</t>
  </si>
  <si>
    <t>Summary of 30BG Telecommunications Solutions Plc  Trading Performance for the Month of February 2023</t>
  </si>
  <si>
    <t xml:space="preserve">30BG TELECOMMUNICATIONS SOLUTIONS PLC </t>
  </si>
  <si>
    <t>30BG TELECOMMUNICATIONS SOLUTIONS PLC _CASH FLOW STATEMENT</t>
  </si>
  <si>
    <t xml:space="preserve">30BG Telecommunications Solutions Plc </t>
  </si>
  <si>
    <t>FINANCIAL FORECAST</t>
  </si>
  <si>
    <t>30BG TELECOMMUNICATIONS SOLUTIONS PLC _CONSOLIDATED CASH CONVERSION CYCLE</t>
  </si>
  <si>
    <t>Stanbic</t>
  </si>
  <si>
    <t>FCMB</t>
  </si>
  <si>
    <t>Globus OD</t>
  </si>
  <si>
    <t>BOI Globus</t>
  </si>
  <si>
    <t>Trade Creditors</t>
  </si>
  <si>
    <t>Toxic Asset</t>
  </si>
  <si>
    <t>Term Loan_Global portfolio</t>
  </si>
  <si>
    <t>Total</t>
  </si>
  <si>
    <t>Realizable</t>
  </si>
  <si>
    <t>Variance</t>
  </si>
  <si>
    <t>Current Trading Assets</t>
  </si>
  <si>
    <t>Tech Issue undergoing investigation</t>
  </si>
  <si>
    <t>Intercompany Stock Delivered</t>
  </si>
  <si>
    <t>Intercompany Stock Received</t>
  </si>
  <si>
    <t>Trading Inventory</t>
  </si>
  <si>
    <t>Receivables</t>
  </si>
  <si>
    <t>Undrawn Balance</t>
  </si>
  <si>
    <t>Cash &amp; Bank Balance</t>
  </si>
  <si>
    <t>Intercompany Receivables</t>
  </si>
  <si>
    <t>Total Realizable Current Assets</t>
  </si>
  <si>
    <t>Must settle Liabilities</t>
  </si>
  <si>
    <t>Overdraft Facilities &amp; Short Term Loan</t>
  </si>
  <si>
    <t>Payables to Corporate Finance</t>
  </si>
  <si>
    <t>Intercompany Payable</t>
  </si>
  <si>
    <t>Payables</t>
  </si>
  <si>
    <t>Total Current Liabilities</t>
  </si>
  <si>
    <t>Check</t>
  </si>
  <si>
    <t>Liquidity Gap</t>
  </si>
  <si>
    <t>Trading Losses</t>
  </si>
  <si>
    <t>Collateral</t>
  </si>
  <si>
    <t>Ratio Analysis</t>
  </si>
  <si>
    <t>DAYS</t>
  </si>
  <si>
    <t>RATIOS</t>
  </si>
  <si>
    <t>BASIS</t>
  </si>
  <si>
    <t>PROFITABLITY</t>
  </si>
  <si>
    <t>Gross Profit Ratio</t>
  </si>
  <si>
    <t>Gross Profit/ Revenue</t>
  </si>
  <si>
    <t>Return on Assets</t>
  </si>
  <si>
    <t>Net Income/Total Assets</t>
  </si>
  <si>
    <t>Return on Capital Employed</t>
  </si>
  <si>
    <t>EBIT/ Total Assets- Current Liablities</t>
  </si>
  <si>
    <t xml:space="preserve">LEVERAGE </t>
  </si>
  <si>
    <t>Debt Ratio</t>
  </si>
  <si>
    <t>Total Liablities/Total Assets</t>
  </si>
  <si>
    <t>Interest Coverage Ratio</t>
  </si>
  <si>
    <t>EBIT/Interest Expenses</t>
  </si>
  <si>
    <t>EFFICIENCY</t>
  </si>
  <si>
    <t>Days Sales Outstanding/Account Receivables Days</t>
  </si>
  <si>
    <t>(Accounts Receivables/Sales)* Period</t>
  </si>
  <si>
    <t>Days Prepayment Outstanding</t>
  </si>
  <si>
    <t>(Advance Payment/COGS)* Period</t>
  </si>
  <si>
    <t>Days Outstanding Receipts</t>
  </si>
  <si>
    <t>(Outstanding Receipts/Sales)* Period</t>
  </si>
  <si>
    <t>Days Payable Outstanding/Account Payable Days</t>
  </si>
  <si>
    <t>(Accounts Payable/COGS)* Period</t>
  </si>
  <si>
    <t>Days Outstanding Payments</t>
  </si>
  <si>
    <t>(Outstanding Payments/COGS)* Period</t>
  </si>
  <si>
    <t>Asset Turnover Ratio</t>
  </si>
  <si>
    <t>Net Sales/Average Total Assets</t>
  </si>
  <si>
    <t>Cash Coversion Cycle</t>
  </si>
  <si>
    <t>Days Inventory+ Days Receivables - Days Payable</t>
  </si>
  <si>
    <t>LIQUIDITY</t>
  </si>
  <si>
    <t>Current Ratio</t>
  </si>
  <si>
    <t>Current Assets/Current Liablities</t>
  </si>
  <si>
    <t>Cash Ratio</t>
  </si>
  <si>
    <t>Cash and Cash Equilvalents/ Current Liablities</t>
  </si>
  <si>
    <t>Cash Burnrate</t>
  </si>
  <si>
    <t>Cash spent-Cash Received</t>
  </si>
  <si>
    <t>Defensive Interval Ratio</t>
  </si>
  <si>
    <t>Current Assets/Total Expenses</t>
  </si>
  <si>
    <t>Operating Cashflow Ratio</t>
  </si>
  <si>
    <t>Cashflow from Operations/Current Liablities</t>
  </si>
  <si>
    <t xml:space="preserve">INVENTORY </t>
  </si>
  <si>
    <t>Days on Hand</t>
  </si>
  <si>
    <t>(Average Inventory/Cost of Sales)*Period</t>
  </si>
  <si>
    <t>Stock to Sales Ratio</t>
  </si>
  <si>
    <t>Inventory/Sales</t>
  </si>
  <si>
    <t>Sell-Through Rate</t>
  </si>
  <si>
    <t>Number units sold/Number units received</t>
  </si>
  <si>
    <t>Scrap Rate</t>
  </si>
  <si>
    <t>Scap expense/Average Inventory</t>
  </si>
  <si>
    <t>Inventory Stock Holding/Turnover Ratio</t>
  </si>
  <si>
    <t>(Cost of Goods Sold/Average Inventory)* Period</t>
  </si>
  <si>
    <t>Gap Explained:</t>
  </si>
  <si>
    <t>Liquidity Position as at 28th February 2023</t>
  </si>
  <si>
    <t>LAGOS</t>
  </si>
  <si>
    <t>RIVERS</t>
  </si>
  <si>
    <t xml:space="preserve"> EDO</t>
  </si>
  <si>
    <t>OYO</t>
  </si>
  <si>
    <t>ABUJA</t>
  </si>
  <si>
    <t>EDO</t>
  </si>
  <si>
    <t>KWARA</t>
  </si>
  <si>
    <t>UYO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</si>
</sst>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  <numFmt numFmtId="166" formatCode="_-* #,##0_-;\-* #,##0_-;_-* &quot;-&quot;??_-;_-@_-"/>
    <numFmt numFmtId="167" formatCode="_(* #,##0_);_(* \(#,##0\);_(* &quot;-&quot;??_);_(@_)"/>
    <numFmt numFmtId="168" formatCode="[$-809]d\ mmmm\ yyyy;@"/>
    <numFmt numFmtId="169" formatCode="[$-409]d\-mmm\-yy;@"/>
    <numFmt numFmtId="170" formatCode="0.000%"/>
    <numFmt numFmtId="171" formatCode="[$-409]dd\-mmm\-yy;@"/>
    <numFmt numFmtId="172" formatCode="dd\-mmmm\-yyyy"/>
    <numFmt numFmtId="173" formatCode="&quot;$&quot;#,##0.00_);\(&quot;$&quot;#,##0.00\)"/>
    <numFmt numFmtId="174" formatCode="_-[$₦-46A]* #,##0.00_-;\-[$₦-46A]* #,##0.00_-;_-[$₦-46A]* &quot;-&quot;??_-;_-@_-"/>
    <numFmt numFmtId="175" formatCode="&quot;$&quot;#,##0_);[Red]\(&quot;$&quot;#,##0\)"/>
    <numFmt numFmtId="176" formatCode="_(* #,##0.0_);_(* \(#,##0.0\);_(* &quot;-&quot;??_);_(@_)"/>
    <numFmt numFmtId="178" formatCode="&quot;₦&quot;#,##0;[Red]\-&quot;₦&quot;#,##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Maiandra GD"/>
      <family val="2"/>
    </font>
    <font>
      <b/>
      <sz val="11"/>
      <color theme="1"/>
      <name val="Maiandra GD"/>
      <family val="2"/>
    </font>
    <font>
      <sz val="11"/>
      <color theme="1"/>
      <name val="Maiandra GD"/>
      <family val="2"/>
    </font>
    <font>
      <sz val="10"/>
      <name val="Arial"/>
      <family val="2"/>
    </font>
    <font>
      <sz val="10"/>
      <name val="Maiandra GD"/>
      <family val="2"/>
    </font>
    <font>
      <sz val="11"/>
      <color rgb="FFFF0000"/>
      <name val="Maiandra GD"/>
      <family val="2"/>
    </font>
    <font>
      <b/>
      <sz val="14"/>
      <color theme="1"/>
      <name val="Maiandra GD"/>
      <family val="2"/>
    </font>
    <font>
      <sz val="11"/>
      <name val="Maiandra GD"/>
      <family val="2"/>
    </font>
    <font>
      <b/>
      <sz val="10"/>
      <name val="Book Antiqua"/>
      <family val="1"/>
    </font>
    <font>
      <sz val="10"/>
      <name val="Book Antiqua"/>
      <family val="1"/>
    </font>
    <font>
      <sz val="10"/>
      <color theme="0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FF0000"/>
      <name val="Book Antiqua"/>
      <family val="1"/>
    </font>
    <font>
      <sz val="10"/>
      <color rgb="FFFF0000"/>
      <name val="Arial"/>
      <family val="2"/>
    </font>
    <font>
      <b/>
      <sz val="11"/>
      <name val="Book Antiqua"/>
      <family val="1"/>
    </font>
    <font>
      <sz val="11"/>
      <name val="Book Antiqua"/>
      <family val="1"/>
    </font>
    <font>
      <b/>
      <sz val="11"/>
      <color rgb="FF0073B0"/>
      <name val="Book Antiqua"/>
      <family val="1"/>
    </font>
    <font>
      <b/>
      <sz val="11"/>
      <color indexed="8"/>
      <name val="Book Antiqua"/>
      <family val="1"/>
    </font>
    <font>
      <sz val="11"/>
      <color indexed="8"/>
      <name val="Book Antiqua"/>
      <family val="1"/>
    </font>
    <font>
      <b/>
      <sz val="18"/>
      <color theme="1"/>
      <name val="Book Antiqua"/>
      <family val="1"/>
    </font>
    <font>
      <b/>
      <sz val="14"/>
      <color theme="1"/>
      <name val="Book Antiqua"/>
      <family val="1"/>
    </font>
    <font>
      <b/>
      <sz val="12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Maiandra GD"/>
      <family val="2"/>
    </font>
    <font>
      <sz val="11"/>
      <color rgb="FF000000"/>
      <name val="Maiandra GD"/>
      <family val="2"/>
    </font>
    <font>
      <b/>
      <sz val="11"/>
      <color theme="1"/>
      <name val="Calibri"/>
      <family val="2"/>
    </font>
    <font>
      <b/>
      <sz val="10"/>
      <color rgb="FF000000"/>
      <name val="Calibri"/>
      <family val="2"/>
      <scheme val="minor"/>
    </font>
    <font>
      <b/>
      <sz val="11"/>
      <name val="Maiandra G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5" fillId="0" borderId="0"/>
  </cellStyleXfs>
  <cellXfs count="380">
    <xf numFmtId="0" fontId="0" fillId="0" borderId="0" xfId="0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4" fillId="2" borderId="0" xfId="0" applyFont="1" applyFill="1"/>
    <xf numFmtId="165" fontId="3" fillId="2" borderId="0" xfId="0" applyNumberFormat="1" applyFont="1" applyFill="1"/>
    <xf numFmtId="17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 wrapText="1"/>
    </xf>
    <xf numFmtId="166" fontId="4" fillId="2" borderId="0" xfId="1" applyNumberFormat="1" applyFont="1" applyFill="1"/>
    <xf numFmtId="0" fontId="4" fillId="3" borderId="0" xfId="0" applyFont="1" applyFill="1"/>
    <xf numFmtId="166" fontId="4" fillId="2" borderId="0" xfId="0" applyNumberFormat="1" applyFont="1" applyFill="1"/>
    <xf numFmtId="0" fontId="4" fillId="4" borderId="0" xfId="0" applyFont="1" applyFill="1"/>
    <xf numFmtId="164" fontId="4" fillId="2" borderId="0" xfId="1" applyFont="1" applyFill="1"/>
    <xf numFmtId="164" fontId="4" fillId="3" borderId="0" xfId="1" applyFont="1" applyFill="1"/>
    <xf numFmtId="0" fontId="4" fillId="2" borderId="1" xfId="0" applyFont="1" applyFill="1" applyBorder="1"/>
    <xf numFmtId="166" fontId="4" fillId="2" borderId="1" xfId="1" applyNumberFormat="1" applyFont="1" applyFill="1" applyBorder="1"/>
    <xf numFmtId="0" fontId="4" fillId="3" borderId="1" xfId="0" applyFont="1" applyFill="1" applyBorder="1"/>
    <xf numFmtId="166" fontId="4" fillId="0" borderId="0" xfId="1" applyNumberFormat="1" applyFont="1" applyFill="1"/>
    <xf numFmtId="0" fontId="4" fillId="5" borderId="0" xfId="0" applyFont="1" applyFill="1"/>
    <xf numFmtId="0" fontId="3" fillId="4" borderId="0" xfId="0" applyFont="1" applyFill="1"/>
    <xf numFmtId="166" fontId="3" fillId="4" borderId="2" xfId="0" applyNumberFormat="1" applyFont="1" applyFill="1" applyBorder="1"/>
    <xf numFmtId="9" fontId="4" fillId="4" borderId="0" xfId="0" applyNumberFormat="1" applyFont="1" applyFill="1"/>
    <xf numFmtId="166" fontId="3" fillId="4" borderId="0" xfId="2" applyNumberFormat="1" applyFont="1" applyFill="1"/>
    <xf numFmtId="9" fontId="4" fillId="4" borderId="0" xfId="2" applyFont="1" applyFill="1"/>
    <xf numFmtId="167" fontId="3" fillId="4" borderId="0" xfId="0" applyNumberFormat="1" applyFont="1" applyFill="1"/>
    <xf numFmtId="164" fontId="4" fillId="4" borderId="0" xfId="1" applyFont="1" applyFill="1"/>
    <xf numFmtId="10" fontId="3" fillId="4" borderId="0" xfId="2" applyNumberFormat="1" applyFont="1" applyFill="1"/>
    <xf numFmtId="9" fontId="4" fillId="2" borderId="0" xfId="2" applyFont="1" applyFill="1"/>
    <xf numFmtId="10" fontId="4" fillId="2" borderId="0" xfId="2" applyNumberFormat="1" applyFont="1" applyFill="1"/>
    <xf numFmtId="0" fontId="3" fillId="6" borderId="0" xfId="0" applyFont="1" applyFill="1"/>
    <xf numFmtId="0" fontId="4" fillId="6" borderId="0" xfId="0" applyFont="1" applyFill="1"/>
    <xf numFmtId="166" fontId="4" fillId="6" borderId="0" xfId="0" applyNumberFormat="1" applyFont="1" applyFill="1"/>
    <xf numFmtId="167" fontId="3" fillId="6" borderId="0" xfId="0" applyNumberFormat="1" applyFont="1" applyFill="1"/>
    <xf numFmtId="9" fontId="4" fillId="6" borderId="0" xfId="0" applyNumberFormat="1" applyFont="1" applyFill="1"/>
    <xf numFmtId="10" fontId="3" fillId="6" borderId="0" xfId="2" applyNumberFormat="1" applyFont="1" applyFill="1"/>
    <xf numFmtId="166" fontId="3" fillId="4" borderId="0" xfId="1" applyNumberFormat="1" applyFont="1" applyFill="1"/>
    <xf numFmtId="10" fontId="4" fillId="4" borderId="0" xfId="2" applyNumberFormat="1" applyFont="1" applyFill="1"/>
    <xf numFmtId="0" fontId="6" fillId="2" borderId="0" xfId="3" applyFont="1" applyFill="1"/>
    <xf numFmtId="2" fontId="3" fillId="4" borderId="0" xfId="0" applyNumberFormat="1" applyFont="1" applyFill="1"/>
    <xf numFmtId="167" fontId="7" fillId="2" borderId="0" xfId="0" applyNumberFormat="1" applyFont="1" applyFill="1"/>
    <xf numFmtId="0" fontId="8" fillId="2" borderId="0" xfId="0" applyFont="1" applyFill="1" applyAlignment="1">
      <alignment vertical="top"/>
    </xf>
    <xf numFmtId="0" fontId="3" fillId="7" borderId="0" xfId="0" applyFont="1" applyFill="1" applyAlignment="1">
      <alignment horizontal="center"/>
    </xf>
    <xf numFmtId="166" fontId="4" fillId="7" borderId="0" xfId="1" applyNumberFormat="1" applyFont="1" applyFill="1"/>
    <xf numFmtId="9" fontId="4" fillId="7" borderId="0" xfId="2" applyFont="1" applyFill="1"/>
    <xf numFmtId="0" fontId="4" fillId="7" borderId="0" xfId="0" applyFont="1" applyFill="1"/>
    <xf numFmtId="166" fontId="3" fillId="7" borderId="2" xfId="0" applyNumberFormat="1" applyFont="1" applyFill="1" applyBorder="1"/>
    <xf numFmtId="9" fontId="4" fillId="7" borderId="0" xfId="0" applyNumberFormat="1" applyFont="1" applyFill="1"/>
    <xf numFmtId="166" fontId="3" fillId="7" borderId="0" xfId="2" applyNumberFormat="1" applyFont="1" applyFill="1"/>
    <xf numFmtId="167" fontId="3" fillId="7" borderId="0" xfId="0" applyNumberFormat="1" applyFont="1" applyFill="1"/>
    <xf numFmtId="10" fontId="3" fillId="7" borderId="0" xfId="2" applyNumberFormat="1" applyFont="1" applyFill="1"/>
    <xf numFmtId="10" fontId="4" fillId="7" borderId="0" xfId="2" applyNumberFormat="1" applyFont="1" applyFill="1"/>
    <xf numFmtId="166" fontId="4" fillId="7" borderId="0" xfId="0" applyNumberFormat="1" applyFont="1" applyFill="1"/>
    <xf numFmtId="166" fontId="3" fillId="7" borderId="0" xfId="1" applyNumberFormat="1" applyFont="1" applyFill="1"/>
    <xf numFmtId="164" fontId="3" fillId="4" borderId="0" xfId="1" applyFont="1" applyFill="1"/>
    <xf numFmtId="164" fontId="3" fillId="7" borderId="0" xfId="1" applyFont="1" applyFill="1"/>
    <xf numFmtId="164" fontId="4" fillId="2" borderId="0" xfId="0" applyNumberFormat="1" applyFont="1" applyFill="1"/>
    <xf numFmtId="166" fontId="7" fillId="2" borderId="0" xfId="1" applyNumberFormat="1" applyFont="1" applyFill="1"/>
    <xf numFmtId="164" fontId="4" fillId="7" borderId="0" xfId="0" applyNumberFormat="1" applyFont="1" applyFill="1"/>
    <xf numFmtId="164" fontId="3" fillId="4" borderId="0" xfId="0" applyNumberFormat="1" applyFont="1" applyFill="1"/>
    <xf numFmtId="0" fontId="3" fillId="2" borderId="0" xfId="0" applyFont="1" applyFill="1" applyAlignment="1">
      <alignment horizontal="center" wrapText="1"/>
    </xf>
    <xf numFmtId="166" fontId="9" fillId="8" borderId="0" xfId="0" applyNumberFormat="1" applyFont="1" applyFill="1"/>
    <xf numFmtId="166" fontId="4" fillId="4" borderId="0" xfId="0" applyNumberFormat="1" applyFont="1" applyFill="1"/>
    <xf numFmtId="0" fontId="4" fillId="7" borderId="0" xfId="2" applyNumberFormat="1" applyFont="1" applyFill="1"/>
    <xf numFmtId="0" fontId="10" fillId="2" borderId="0" xfId="3" applyFont="1" applyFill="1"/>
    <xf numFmtId="0" fontId="11" fillId="2" borderId="0" xfId="3" applyFont="1" applyFill="1" applyAlignment="1">
      <alignment horizontal="center"/>
    </xf>
    <xf numFmtId="0" fontId="11" fillId="2" borderId="0" xfId="3" applyFont="1" applyFill="1"/>
    <xf numFmtId="0" fontId="11" fillId="2" borderId="0" xfId="4" applyFont="1" applyFill="1" applyAlignment="1">
      <alignment wrapText="1"/>
    </xf>
    <xf numFmtId="164" fontId="11" fillId="0" borderId="0" xfId="1" applyFont="1"/>
    <xf numFmtId="0" fontId="11" fillId="0" borderId="0" xfId="4" applyFont="1"/>
    <xf numFmtId="168" fontId="10" fillId="2" borderId="1" xfId="3" applyNumberFormat="1" applyFont="1" applyFill="1" applyBorder="1" applyAlignment="1">
      <alignment horizontal="left"/>
    </xf>
    <xf numFmtId="0" fontId="11" fillId="2" borderId="1" xfId="3" applyFont="1" applyFill="1" applyBorder="1" applyAlignment="1">
      <alignment horizontal="center"/>
    </xf>
    <xf numFmtId="167" fontId="11" fillId="2" borderId="1" xfId="3" applyNumberFormat="1" applyFont="1" applyFill="1" applyBorder="1" applyAlignment="1">
      <alignment horizontal="center"/>
    </xf>
    <xf numFmtId="0" fontId="11" fillId="2" borderId="1" xfId="3" applyFont="1" applyFill="1" applyBorder="1"/>
    <xf numFmtId="0" fontId="11" fillId="2" borderId="1" xfId="4" applyFont="1" applyFill="1" applyBorder="1" applyAlignment="1">
      <alignment wrapText="1"/>
    </xf>
    <xf numFmtId="169" fontId="10" fillId="2" borderId="0" xfId="1" applyNumberFormat="1" applyFont="1" applyFill="1" applyAlignment="1">
      <alignment horizontal="center"/>
    </xf>
    <xf numFmtId="17" fontId="10" fillId="2" borderId="0" xfId="3" applyNumberFormat="1" applyFont="1" applyFill="1" applyAlignment="1">
      <alignment horizontal="center"/>
    </xf>
    <xf numFmtId="167" fontId="10" fillId="2" borderId="3" xfId="5" applyNumberFormat="1" applyFont="1" applyFill="1" applyBorder="1" applyAlignment="1">
      <alignment horizontal="center"/>
    </xf>
    <xf numFmtId="17" fontId="10" fillId="2" borderId="3" xfId="3" applyNumberFormat="1" applyFont="1" applyFill="1" applyBorder="1" applyAlignment="1">
      <alignment horizontal="center"/>
    </xf>
    <xf numFmtId="169" fontId="10" fillId="2" borderId="3" xfId="5" applyNumberFormat="1" applyFont="1" applyFill="1" applyBorder="1" applyAlignment="1">
      <alignment horizontal="center" wrapText="1"/>
    </xf>
    <xf numFmtId="0" fontId="10" fillId="2" borderId="0" xfId="3" applyFont="1" applyFill="1" applyAlignment="1">
      <alignment horizontal="center"/>
    </xf>
    <xf numFmtId="170" fontId="11" fillId="2" borderId="0" xfId="2" applyNumberFormat="1" applyFont="1" applyFill="1"/>
    <xf numFmtId="167" fontId="11" fillId="2" borderId="0" xfId="1" applyNumberFormat="1" applyFont="1" applyFill="1"/>
    <xf numFmtId="167" fontId="11" fillId="2" borderId="0" xfId="5" applyNumberFormat="1" applyFont="1" applyFill="1" applyBorder="1" applyAlignment="1">
      <alignment horizontal="center"/>
    </xf>
    <xf numFmtId="9" fontId="11" fillId="2" borderId="0" xfId="2" applyFont="1" applyFill="1" applyBorder="1" applyAlignment="1">
      <alignment horizontal="center"/>
    </xf>
    <xf numFmtId="167" fontId="11" fillId="2" borderId="3" xfId="1" applyNumberFormat="1" applyFont="1" applyFill="1" applyBorder="1"/>
    <xf numFmtId="167" fontId="11" fillId="2" borderId="3" xfId="5" applyNumberFormat="1" applyFont="1" applyFill="1" applyBorder="1" applyAlignment="1">
      <alignment horizontal="center"/>
    </xf>
    <xf numFmtId="9" fontId="11" fillId="2" borderId="3" xfId="2" applyFont="1" applyFill="1" applyBorder="1" applyAlignment="1">
      <alignment horizontal="center"/>
    </xf>
    <xf numFmtId="167" fontId="10" fillId="2" borderId="0" xfId="1" applyNumberFormat="1" applyFont="1" applyFill="1" applyBorder="1"/>
    <xf numFmtId="167" fontId="11" fillId="2" borderId="0" xfId="1" applyNumberFormat="1" applyFont="1" applyFill="1" applyBorder="1"/>
    <xf numFmtId="167" fontId="11" fillId="2" borderId="2" xfId="1" applyNumberFormat="1" applyFont="1" applyFill="1" applyBorder="1"/>
    <xf numFmtId="9" fontId="11" fillId="2" borderId="2" xfId="2" applyFont="1" applyFill="1" applyBorder="1" applyAlignment="1">
      <alignment horizontal="center"/>
    </xf>
    <xf numFmtId="9" fontId="10" fillId="2" borderId="0" xfId="2" applyFont="1" applyFill="1" applyBorder="1" applyAlignment="1">
      <alignment horizontal="center"/>
    </xf>
    <xf numFmtId="0" fontId="10" fillId="2" borderId="0" xfId="4" applyFont="1" applyFill="1" applyAlignment="1">
      <alignment wrapText="1"/>
    </xf>
    <xf numFmtId="164" fontId="10" fillId="0" borderId="0" xfId="1" applyFont="1"/>
    <xf numFmtId="0" fontId="10" fillId="0" borderId="0" xfId="4" applyFont="1"/>
    <xf numFmtId="167" fontId="11" fillId="2" borderId="0" xfId="4" applyNumberFormat="1" applyFont="1" applyFill="1" applyAlignment="1">
      <alignment wrapText="1"/>
    </xf>
    <xf numFmtId="167" fontId="10" fillId="2" borderId="4" xfId="1" applyNumberFormat="1" applyFont="1" applyFill="1" applyBorder="1"/>
    <xf numFmtId="167" fontId="11" fillId="2" borderId="4" xfId="1" applyNumberFormat="1" applyFont="1" applyFill="1" applyBorder="1"/>
    <xf numFmtId="9" fontId="11" fillId="2" borderId="4" xfId="2" applyFont="1" applyFill="1" applyBorder="1" applyAlignment="1">
      <alignment horizontal="center"/>
    </xf>
    <xf numFmtId="0" fontId="11" fillId="0" borderId="0" xfId="3" applyFont="1"/>
    <xf numFmtId="0" fontId="11" fillId="0" borderId="0" xfId="3" applyFont="1" applyAlignment="1">
      <alignment horizontal="center"/>
    </xf>
    <xf numFmtId="164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center"/>
    </xf>
    <xf numFmtId="164" fontId="12" fillId="0" borderId="0" xfId="3" applyNumberFormat="1" applyFont="1"/>
    <xf numFmtId="0" fontId="11" fillId="0" borderId="0" xfId="4" applyFont="1" applyAlignment="1">
      <alignment wrapText="1"/>
    </xf>
    <xf numFmtId="164" fontId="11" fillId="0" borderId="0" xfId="1" applyFont="1" applyAlignment="1">
      <alignment horizontal="center"/>
    </xf>
    <xf numFmtId="10" fontId="11" fillId="0" borderId="0" xfId="2" applyNumberFormat="1" applyFont="1" applyAlignment="1">
      <alignment horizontal="center"/>
    </xf>
    <xf numFmtId="164" fontId="11" fillId="0" borderId="0" xfId="3" applyNumberFormat="1" applyFont="1"/>
    <xf numFmtId="164" fontId="11" fillId="0" borderId="0" xfId="3" applyNumberFormat="1" applyFont="1" applyAlignment="1">
      <alignment horizontal="center"/>
    </xf>
    <xf numFmtId="0" fontId="11" fillId="0" borderId="0" xfId="3" applyFont="1" applyAlignment="1">
      <alignment wrapText="1"/>
    </xf>
    <xf numFmtId="167" fontId="13" fillId="2" borderId="0" xfId="1" applyNumberFormat="1" applyFont="1" applyFill="1"/>
    <xf numFmtId="168" fontId="10" fillId="2" borderId="0" xfId="3" applyNumberFormat="1" applyFont="1" applyFill="1" applyAlignment="1">
      <alignment horizontal="left"/>
    </xf>
    <xf numFmtId="171" fontId="10" fillId="2" borderId="3" xfId="1" applyNumberFormat="1" applyFont="1" applyFill="1" applyBorder="1" applyAlignment="1">
      <alignment horizontal="center"/>
    </xf>
    <xf numFmtId="0" fontId="13" fillId="2" borderId="5" xfId="0" applyFont="1" applyFill="1" applyBorder="1"/>
    <xf numFmtId="167" fontId="10" fillId="2" borderId="5" xfId="1" applyNumberFormat="1" applyFont="1" applyFill="1" applyBorder="1" applyAlignment="1">
      <alignment horizontal="center"/>
    </xf>
    <xf numFmtId="0" fontId="14" fillId="2" borderId="0" xfId="0" applyFont="1" applyFill="1"/>
    <xf numFmtId="0" fontId="13" fillId="2" borderId="0" xfId="0" applyFont="1" applyFill="1"/>
    <xf numFmtId="164" fontId="0" fillId="0" borderId="0" xfId="1" applyFont="1"/>
    <xf numFmtId="167" fontId="14" fillId="2" borderId="0" xfId="1" applyNumberFormat="1" applyFont="1" applyFill="1"/>
    <xf numFmtId="167" fontId="15" fillId="2" borderId="0" xfId="1" applyNumberFormat="1" applyFont="1" applyFill="1"/>
    <xf numFmtId="167" fontId="0" fillId="0" borderId="0" xfId="1" applyNumberFormat="1" applyFont="1"/>
    <xf numFmtId="167" fontId="11" fillId="2" borderId="0" xfId="5" applyNumberFormat="1" applyFont="1" applyFill="1"/>
    <xf numFmtId="43" fontId="5" fillId="2" borderId="0" xfId="6" applyFont="1" applyFill="1" applyAlignment="1">
      <alignment wrapText="1"/>
    </xf>
    <xf numFmtId="0" fontId="5" fillId="2" borderId="0" xfId="0" applyFont="1" applyFill="1"/>
    <xf numFmtId="172" fontId="10" fillId="2" borderId="0" xfId="3" applyNumberFormat="1" applyFont="1" applyFill="1" applyAlignment="1">
      <alignment horizontal="left"/>
    </xf>
    <xf numFmtId="172" fontId="10" fillId="2" borderId="1" xfId="3" applyNumberFormat="1" applyFont="1" applyFill="1" applyBorder="1" applyAlignment="1">
      <alignment horizontal="left"/>
    </xf>
    <xf numFmtId="167" fontId="11" fillId="2" borderId="1" xfId="5" applyNumberFormat="1" applyFont="1" applyFill="1" applyBorder="1"/>
    <xf numFmtId="14" fontId="11" fillId="2" borderId="0" xfId="3" applyNumberFormat="1" applyFont="1" applyFill="1" applyAlignment="1">
      <alignment horizontal="center"/>
    </xf>
    <xf numFmtId="169" fontId="10" fillId="2" borderId="0" xfId="5" applyNumberFormat="1" applyFont="1" applyFill="1" applyAlignment="1">
      <alignment horizontal="center"/>
    </xf>
    <xf numFmtId="167" fontId="10" fillId="2" borderId="0" xfId="5" applyNumberFormat="1" applyFont="1" applyFill="1" applyAlignment="1">
      <alignment horizontal="center"/>
    </xf>
    <xf numFmtId="169" fontId="10" fillId="2" borderId="3" xfId="5" applyNumberFormat="1" applyFont="1" applyFill="1" applyBorder="1" applyAlignment="1">
      <alignment horizontal="center"/>
    </xf>
    <xf numFmtId="167" fontId="11" fillId="2" borderId="0" xfId="5" applyNumberFormat="1" applyFont="1" applyFill="1" applyAlignment="1">
      <alignment horizontal="right"/>
    </xf>
    <xf numFmtId="37" fontId="11" fillId="2" borderId="0" xfId="5" applyNumberFormat="1" applyFont="1" applyFill="1" applyAlignment="1">
      <alignment horizontal="right"/>
    </xf>
    <xf numFmtId="9" fontId="11" fillId="2" borderId="0" xfId="2" applyFont="1" applyFill="1" applyAlignment="1">
      <alignment horizontal="center"/>
    </xf>
    <xf numFmtId="43" fontId="5" fillId="2" borderId="0" xfId="0" applyNumberFormat="1" applyFont="1" applyFill="1"/>
    <xf numFmtId="167" fontId="11" fillId="2" borderId="0" xfId="6" applyNumberFormat="1" applyFont="1" applyFill="1" applyAlignment="1">
      <alignment horizontal="right"/>
    </xf>
    <xf numFmtId="37" fontId="10" fillId="2" borderId="4" xfId="5" applyNumberFormat="1" applyFont="1" applyFill="1" applyBorder="1" applyAlignment="1">
      <alignment horizontal="right"/>
    </xf>
    <xf numFmtId="167" fontId="11" fillId="2" borderId="4" xfId="5" applyNumberFormat="1" applyFont="1" applyFill="1" applyBorder="1" applyAlignment="1">
      <alignment horizontal="right"/>
    </xf>
    <xf numFmtId="3" fontId="11" fillId="2" borderId="0" xfId="3" applyNumberFormat="1" applyFont="1" applyFill="1"/>
    <xf numFmtId="37" fontId="11" fillId="2" borderId="0" xfId="5" applyNumberFormat="1" applyFont="1" applyFill="1"/>
    <xf numFmtId="37" fontId="11" fillId="2" borderId="0" xfId="3" applyNumberFormat="1" applyFont="1" applyFill="1" applyAlignment="1">
      <alignment horizontal="center"/>
    </xf>
    <xf numFmtId="9" fontId="11" fillId="2" borderId="0" xfId="2" applyFont="1" applyFill="1"/>
    <xf numFmtId="167" fontId="11" fillId="2" borderId="0" xfId="2" applyNumberFormat="1" applyFont="1" applyFill="1"/>
    <xf numFmtId="37" fontId="11" fillId="2" borderId="0" xfId="5" applyNumberFormat="1" applyFont="1" applyFill="1" applyBorder="1"/>
    <xf numFmtId="167" fontId="11" fillId="2" borderId="0" xfId="5" applyNumberFormat="1" applyFont="1" applyFill="1" applyBorder="1"/>
    <xf numFmtId="167" fontId="11" fillId="2" borderId="0" xfId="6" applyNumberFormat="1" applyFont="1" applyFill="1" applyBorder="1"/>
    <xf numFmtId="167" fontId="11" fillId="2" borderId="0" xfId="6" applyNumberFormat="1" applyFont="1" applyFill="1" applyBorder="1" applyAlignment="1">
      <alignment horizontal="right"/>
    </xf>
    <xf numFmtId="167" fontId="10" fillId="2" borderId="2" xfId="6" applyNumberFormat="1" applyFont="1" applyFill="1" applyBorder="1"/>
    <xf numFmtId="167" fontId="11" fillId="2" borderId="2" xfId="6" applyNumberFormat="1" applyFont="1" applyFill="1" applyBorder="1" applyAlignment="1">
      <alignment horizontal="right"/>
    </xf>
    <xf numFmtId="0" fontId="0" fillId="2" borderId="0" xfId="0" applyFill="1"/>
    <xf numFmtId="167" fontId="11" fillId="2" borderId="0" xfId="5" applyNumberFormat="1" applyFont="1" applyFill="1" applyBorder="1" applyAlignment="1">
      <alignment horizontal="right"/>
    </xf>
    <xf numFmtId="167" fontId="5" fillId="2" borderId="0" xfId="6" applyNumberFormat="1" applyFont="1" applyFill="1" applyAlignment="1">
      <alignment wrapText="1"/>
    </xf>
    <xf numFmtId="167" fontId="11" fillId="2" borderId="3" xfId="6" applyNumberFormat="1" applyFont="1" applyFill="1" applyBorder="1"/>
    <xf numFmtId="167" fontId="11" fillId="2" borderId="3" xfId="5" applyNumberFormat="1" applyFont="1" applyFill="1" applyBorder="1" applyAlignment="1">
      <alignment horizontal="right"/>
    </xf>
    <xf numFmtId="167" fontId="10" fillId="2" borderId="0" xfId="6" applyNumberFormat="1" applyFont="1" applyFill="1"/>
    <xf numFmtId="167" fontId="11" fillId="2" borderId="0" xfId="6" applyNumberFormat="1" applyFont="1" applyFill="1"/>
    <xf numFmtId="37" fontId="10" fillId="2" borderId="4" xfId="5" applyNumberFormat="1" applyFont="1" applyFill="1" applyBorder="1"/>
    <xf numFmtId="0" fontId="5" fillId="2" borderId="0" xfId="0" applyFont="1" applyFill="1" applyAlignment="1">
      <alignment wrapText="1"/>
    </xf>
    <xf numFmtId="167" fontId="10" fillId="2" borderId="0" xfId="5" applyNumberFormat="1" applyFont="1" applyFill="1"/>
    <xf numFmtId="164" fontId="16" fillId="2" borderId="0" xfId="1" applyFont="1" applyFill="1"/>
    <xf numFmtId="164" fontId="5" fillId="2" borderId="0" xfId="1" applyFont="1" applyFill="1"/>
    <xf numFmtId="43" fontId="5" fillId="2" borderId="0" xfId="6" applyFont="1" applyFill="1"/>
    <xf numFmtId="167" fontId="11" fillId="2" borderId="0" xfId="3" applyNumberFormat="1" applyFont="1" applyFill="1" applyAlignment="1">
      <alignment horizontal="center"/>
    </xf>
    <xf numFmtId="167" fontId="10" fillId="2" borderId="0" xfId="5" applyNumberFormat="1" applyFont="1" applyFill="1" applyBorder="1"/>
    <xf numFmtId="43" fontId="11" fillId="2" borderId="0" xfId="3" applyNumberFormat="1" applyFont="1" applyFill="1" applyAlignment="1">
      <alignment horizontal="center"/>
    </xf>
    <xf numFmtId="43" fontId="11" fillId="2" borderId="0" xfId="6" applyFont="1" applyFill="1"/>
    <xf numFmtId="0" fontId="17" fillId="2" borderId="0" xfId="7" applyFont="1" applyFill="1" applyAlignment="1">
      <alignment horizontal="left" vertical="center"/>
    </xf>
    <xf numFmtId="0" fontId="18" fillId="2" borderId="0" xfId="8" applyFont="1" applyFill="1"/>
    <xf numFmtId="0" fontId="18" fillId="3" borderId="0" xfId="8" applyFont="1" applyFill="1"/>
    <xf numFmtId="165" fontId="17" fillId="2" borderId="0" xfId="8" applyNumberFormat="1" applyFont="1" applyFill="1"/>
    <xf numFmtId="0" fontId="17" fillId="2" borderId="0" xfId="8" applyFont="1" applyFill="1" applyAlignment="1">
      <alignment horizontal="left" vertical="center"/>
    </xf>
    <xf numFmtId="0" fontId="17" fillId="2" borderId="0" xfId="8" applyFont="1" applyFill="1" applyAlignment="1">
      <alignment horizontal="left" vertical="center" wrapText="1"/>
    </xf>
    <xf numFmtId="0" fontId="19" fillId="2" borderId="0" xfId="7" applyFont="1" applyFill="1" applyAlignment="1">
      <alignment horizontal="left" vertical="center"/>
    </xf>
    <xf numFmtId="0" fontId="17" fillId="2" borderId="0" xfId="8" applyFont="1" applyFill="1"/>
    <xf numFmtId="165" fontId="18" fillId="2" borderId="0" xfId="8" applyNumberFormat="1" applyFont="1" applyFill="1"/>
    <xf numFmtId="165" fontId="17" fillId="3" borderId="0" xfId="8" applyNumberFormat="1" applyFont="1" applyFill="1"/>
    <xf numFmtId="165" fontId="17" fillId="2" borderId="0" xfId="8" applyNumberFormat="1" applyFont="1" applyFill="1" applyAlignment="1">
      <alignment horizontal="center"/>
    </xf>
    <xf numFmtId="165" fontId="18" fillId="3" borderId="0" xfId="8" applyNumberFormat="1" applyFont="1" applyFill="1"/>
    <xf numFmtId="49" fontId="20" fillId="2" borderId="3" xfId="8" applyNumberFormat="1" applyFont="1" applyFill="1" applyBorder="1" applyAlignment="1">
      <alignment wrapText="1"/>
    </xf>
    <xf numFmtId="49" fontId="21" fillId="2" borderId="3" xfId="8" applyNumberFormat="1" applyFont="1" applyFill="1" applyBorder="1" applyAlignment="1">
      <alignment horizontal="center" wrapText="1"/>
    </xf>
    <xf numFmtId="49" fontId="21" fillId="3" borderId="0" xfId="8" applyNumberFormat="1" applyFont="1" applyFill="1" applyAlignment="1">
      <alignment horizontal="center" wrapText="1"/>
    </xf>
    <xf numFmtId="49" fontId="21" fillId="2" borderId="0" xfId="8" applyNumberFormat="1" applyFont="1" applyFill="1" applyAlignment="1">
      <alignment horizontal="center" wrapText="1"/>
    </xf>
    <xf numFmtId="173" fontId="18" fillId="2" borderId="0" xfId="8" applyNumberFormat="1" applyFont="1" applyFill="1"/>
    <xf numFmtId="49" fontId="21" fillId="2" borderId="0" xfId="8" applyNumberFormat="1" applyFont="1" applyFill="1" applyAlignment="1">
      <alignment wrapText="1"/>
    </xf>
    <xf numFmtId="0" fontId="21" fillId="2" borderId="0" xfId="8" applyFont="1" applyFill="1" applyAlignment="1">
      <alignment horizontal="center" wrapText="1"/>
    </xf>
    <xf numFmtId="0" fontId="21" fillId="3" borderId="0" xfId="8" applyFont="1" applyFill="1" applyAlignment="1">
      <alignment horizontal="center" wrapText="1"/>
    </xf>
    <xf numFmtId="49" fontId="17" fillId="2" borderId="0" xfId="8" applyNumberFormat="1" applyFont="1" applyFill="1" applyAlignment="1">
      <alignment horizontal="center" wrapText="1"/>
    </xf>
    <xf numFmtId="49" fontId="19" fillId="2" borderId="0" xfId="8" applyNumberFormat="1" applyFont="1" applyFill="1" applyAlignment="1">
      <alignment horizontal="center" wrapText="1"/>
    </xf>
    <xf numFmtId="49" fontId="17" fillId="3" borderId="0" xfId="8" applyNumberFormat="1" applyFont="1" applyFill="1" applyAlignment="1">
      <alignment horizontal="center" wrapText="1"/>
    </xf>
    <xf numFmtId="49" fontId="19" fillId="3" borderId="0" xfId="8" applyNumberFormat="1" applyFont="1" applyFill="1" applyAlignment="1">
      <alignment horizontal="center" wrapText="1"/>
    </xf>
    <xf numFmtId="174" fontId="21" fillId="2" borderId="0" xfId="8" applyNumberFormat="1" applyFont="1" applyFill="1" applyAlignment="1">
      <alignment horizontal="center" wrapText="1"/>
    </xf>
    <xf numFmtId="174" fontId="21" fillId="3" borderId="0" xfId="8" applyNumberFormat="1" applyFont="1" applyFill="1" applyAlignment="1">
      <alignment horizontal="center" wrapText="1"/>
    </xf>
    <xf numFmtId="175" fontId="21" fillId="2" borderId="0" xfId="8" applyNumberFormat="1" applyFont="1" applyFill="1" applyAlignment="1">
      <alignment horizontal="center" wrapText="1"/>
    </xf>
    <xf numFmtId="175" fontId="21" fillId="3" borderId="0" xfId="8" applyNumberFormat="1" applyFont="1" applyFill="1" applyAlignment="1">
      <alignment horizontal="center" wrapText="1"/>
    </xf>
    <xf numFmtId="2" fontId="18" fillId="2" borderId="6" xfId="8" applyNumberFormat="1" applyFont="1" applyFill="1" applyBorder="1"/>
    <xf numFmtId="2" fontId="18" fillId="2" borderId="0" xfId="8" applyNumberFormat="1" applyFont="1" applyFill="1"/>
    <xf numFmtId="2" fontId="18" fillId="3" borderId="0" xfId="8" applyNumberFormat="1" applyFont="1" applyFill="1"/>
    <xf numFmtId="2" fontId="17" fillId="2" borderId="6" xfId="8" applyNumberFormat="1" applyFont="1" applyFill="1" applyBorder="1"/>
    <xf numFmtId="2" fontId="17" fillId="3" borderId="0" xfId="8" applyNumberFormat="1" applyFont="1" applyFill="1"/>
    <xf numFmtId="164" fontId="17" fillId="2" borderId="6" xfId="1" applyFont="1" applyFill="1" applyBorder="1"/>
    <xf numFmtId="0" fontId="14" fillId="0" borderId="0" xfId="0" applyFont="1"/>
    <xf numFmtId="0" fontId="10" fillId="0" borderId="1" xfId="3" applyFont="1" applyBorder="1"/>
    <xf numFmtId="0" fontId="11" fillId="0" borderId="1" xfId="3" applyFont="1" applyBorder="1"/>
    <xf numFmtId="0" fontId="13" fillId="0" borderId="0" xfId="0" applyFont="1"/>
    <xf numFmtId="0" fontId="14" fillId="0" borderId="0" xfId="0" applyFont="1" applyAlignment="1">
      <alignment horizontal="center"/>
    </xf>
    <xf numFmtId="169" fontId="10" fillId="0" borderId="0" xfId="5" applyNumberFormat="1" applyFont="1" applyFill="1" applyAlignment="1">
      <alignment horizontal="center"/>
    </xf>
    <xf numFmtId="0" fontId="10" fillId="0" borderId="0" xfId="3" applyFont="1" applyAlignment="1">
      <alignment horizontal="center"/>
    </xf>
    <xf numFmtId="0" fontId="10" fillId="0" borderId="0" xfId="3" applyFont="1"/>
    <xf numFmtId="17" fontId="10" fillId="0" borderId="0" xfId="3" applyNumberFormat="1" applyFont="1" applyAlignment="1">
      <alignment horizontal="center"/>
    </xf>
    <xf numFmtId="167" fontId="10" fillId="0" borderId="3" xfId="5" applyNumberFormat="1" applyFont="1" applyFill="1" applyBorder="1" applyAlignment="1">
      <alignment horizontal="center"/>
    </xf>
    <xf numFmtId="17" fontId="10" fillId="0" borderId="3" xfId="3" applyNumberFormat="1" applyFont="1" applyBorder="1" applyAlignment="1">
      <alignment horizontal="center"/>
    </xf>
    <xf numFmtId="167" fontId="11" fillId="0" borderId="0" xfId="6" applyNumberFormat="1" applyFont="1" applyFill="1" applyBorder="1"/>
    <xf numFmtId="9" fontId="13" fillId="0" borderId="0" xfId="2" applyFont="1"/>
    <xf numFmtId="167" fontId="10" fillId="0" borderId="0" xfId="6" applyNumberFormat="1" applyFont="1" applyFill="1" applyBorder="1"/>
    <xf numFmtId="167" fontId="10" fillId="0" borderId="4" xfId="6" applyNumberFormat="1" applyFont="1" applyFill="1" applyBorder="1"/>
    <xf numFmtId="9" fontId="10" fillId="0" borderId="4" xfId="2" applyFont="1" applyFill="1" applyBorder="1"/>
    <xf numFmtId="9" fontId="10" fillId="0" borderId="0" xfId="2" applyFont="1" applyFill="1" applyBorder="1"/>
    <xf numFmtId="166" fontId="11" fillId="0" borderId="0" xfId="1" applyNumberFormat="1" applyFont="1" applyFill="1" applyBorder="1"/>
    <xf numFmtId="166" fontId="13" fillId="0" borderId="0" xfId="1" applyNumberFormat="1" applyFont="1"/>
    <xf numFmtId="167" fontId="13" fillId="0" borderId="0" xfId="0" applyNumberFormat="1" applyFont="1"/>
    <xf numFmtId="164" fontId="14" fillId="0" borderId="4" xfId="1" applyFont="1" applyBorder="1"/>
    <xf numFmtId="9" fontId="14" fillId="0" borderId="4" xfId="2" applyFont="1" applyBorder="1"/>
    <xf numFmtId="164" fontId="11" fillId="0" borderId="0" xfId="1" applyFont="1" applyFill="1" applyBorder="1"/>
    <xf numFmtId="167" fontId="15" fillId="0" borderId="0" xfId="0" applyNumberFormat="1" applyFont="1"/>
    <xf numFmtId="167" fontId="13" fillId="0" borderId="0" xfId="1" applyNumberFormat="1" applyFont="1"/>
    <xf numFmtId="166" fontId="17" fillId="0" borderId="4" xfId="0" applyNumberFormat="1" applyFont="1" applyBorder="1"/>
    <xf numFmtId="167" fontId="13" fillId="0" borderId="4" xfId="1" applyNumberFormat="1" applyFont="1" applyBorder="1"/>
    <xf numFmtId="9" fontId="13" fillId="0" borderId="4" xfId="2" applyFont="1" applyBorder="1"/>
    <xf numFmtId="167" fontId="17" fillId="0" borderId="4" xfId="0" applyNumberFormat="1" applyFont="1" applyBorder="1"/>
    <xf numFmtId="167" fontId="14" fillId="0" borderId="4" xfId="1" applyNumberFormat="1" applyFont="1" applyBorder="1"/>
    <xf numFmtId="176" fontId="11" fillId="0" borderId="0" xfId="1" applyNumberFormat="1" applyFont="1"/>
    <xf numFmtId="167" fontId="11" fillId="0" borderId="0" xfId="5" applyNumberFormat="1" applyFont="1" applyFill="1"/>
    <xf numFmtId="0" fontId="11" fillId="0" borderId="0" xfId="0" applyFont="1"/>
    <xf numFmtId="176" fontId="10" fillId="0" borderId="3" xfId="1" applyNumberFormat="1" applyFont="1" applyFill="1" applyBorder="1" applyAlignment="1">
      <alignment horizontal="center"/>
    </xf>
    <xf numFmtId="0" fontId="10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176" fontId="11" fillId="0" borderId="0" xfId="1" applyNumberFormat="1" applyFont="1" applyFill="1"/>
    <xf numFmtId="167" fontId="11" fillId="0" borderId="0" xfId="6" applyNumberFormat="1" applyFont="1" applyFill="1"/>
    <xf numFmtId="9" fontId="11" fillId="0" borderId="0" xfId="2" applyFont="1" applyFill="1" applyBorder="1" applyAlignment="1">
      <alignment horizontal="right"/>
    </xf>
    <xf numFmtId="9" fontId="11" fillId="0" borderId="0" xfId="2" applyFont="1" applyAlignment="1">
      <alignment horizontal="right"/>
    </xf>
    <xf numFmtId="176" fontId="11" fillId="0" borderId="0" xfId="1" applyNumberFormat="1" applyFont="1" applyFill="1" applyBorder="1"/>
    <xf numFmtId="176" fontId="10" fillId="0" borderId="3" xfId="1" applyNumberFormat="1" applyFont="1" applyFill="1" applyBorder="1"/>
    <xf numFmtId="167" fontId="11" fillId="0" borderId="3" xfId="6" applyNumberFormat="1" applyFont="1" applyFill="1" applyBorder="1"/>
    <xf numFmtId="9" fontId="11" fillId="0" borderId="3" xfId="2" applyFont="1" applyFill="1" applyBorder="1" applyAlignment="1">
      <alignment horizontal="right"/>
    </xf>
    <xf numFmtId="176" fontId="10" fillId="0" borderId="0" xfId="1" applyNumberFormat="1" applyFont="1" applyFill="1" applyBorder="1"/>
    <xf numFmtId="9" fontId="10" fillId="0" borderId="0" xfId="2" applyFont="1" applyFill="1" applyBorder="1" applyAlignment="1">
      <alignment horizontal="right"/>
    </xf>
    <xf numFmtId="43" fontId="11" fillId="0" borderId="0" xfId="6" applyFont="1" applyFill="1"/>
    <xf numFmtId="17" fontId="10" fillId="0" borderId="0" xfId="3" applyNumberFormat="1" applyFont="1" applyAlignment="1">
      <alignment horizontal="right"/>
    </xf>
    <xf numFmtId="176" fontId="11" fillId="0" borderId="0" xfId="0" applyNumberFormat="1" applyFont="1"/>
    <xf numFmtId="176" fontId="10" fillId="0" borderId="4" xfId="0" applyNumberFormat="1" applyFont="1" applyBorder="1"/>
    <xf numFmtId="9" fontId="11" fillId="0" borderId="0" xfId="2" applyFont="1" applyBorder="1" applyAlignment="1">
      <alignment horizontal="right"/>
    </xf>
    <xf numFmtId="176" fontId="11" fillId="0" borderId="0" xfId="1" applyNumberFormat="1" applyFont="1" applyBorder="1"/>
    <xf numFmtId="176" fontId="11" fillId="0" borderId="3" xfId="1" applyNumberFormat="1" applyFont="1" applyFill="1" applyBorder="1"/>
    <xf numFmtId="176" fontId="11" fillId="0" borderId="3" xfId="1" applyNumberFormat="1" applyFont="1" applyBorder="1"/>
    <xf numFmtId="176" fontId="10" fillId="0" borderId="0" xfId="1" applyNumberFormat="1" applyFont="1" applyBorder="1"/>
    <xf numFmtId="166" fontId="10" fillId="0" borderId="2" xfId="1" applyNumberFormat="1" applyFont="1" applyBorder="1"/>
    <xf numFmtId="9" fontId="11" fillId="0" borderId="0" xfId="2" applyFont="1" applyFill="1" applyAlignment="1">
      <alignment horizontal="right"/>
    </xf>
    <xf numFmtId="167" fontId="11" fillId="0" borderId="0" xfId="5" applyNumberFormat="1" applyFont="1" applyFill="1" applyAlignment="1">
      <alignment horizontal="right"/>
    </xf>
    <xf numFmtId="166" fontId="10" fillId="0" borderId="0" xfId="1" applyNumberFormat="1" applyFont="1" applyFill="1" applyBorder="1"/>
    <xf numFmtId="166" fontId="11" fillId="0" borderId="3" xfId="1" applyNumberFormat="1" applyFont="1" applyBorder="1"/>
    <xf numFmtId="9" fontId="11" fillId="0" borderId="3" xfId="2" applyFont="1" applyBorder="1" applyAlignment="1">
      <alignment horizontal="right"/>
    </xf>
    <xf numFmtId="176" fontId="10" fillId="0" borderId="2" xfId="1" applyNumberFormat="1" applyFont="1" applyBorder="1"/>
    <xf numFmtId="166" fontId="11" fillId="0" borderId="0" xfId="1" applyNumberFormat="1" applyFont="1" applyBorder="1"/>
    <xf numFmtId="164" fontId="11" fillId="0" borderId="0" xfId="0" applyNumberFormat="1" applyFont="1"/>
    <xf numFmtId="9" fontId="11" fillId="0" borderId="0" xfId="2" applyFont="1" applyFill="1"/>
    <xf numFmtId="9" fontId="11" fillId="0" borderId="3" xfId="2" applyFont="1" applyFill="1" applyBorder="1"/>
    <xf numFmtId="167" fontId="10" fillId="0" borderId="2" xfId="6" applyNumberFormat="1" applyFont="1" applyFill="1" applyBorder="1"/>
    <xf numFmtId="167" fontId="11" fillId="0" borderId="0" xfId="0" applyNumberFormat="1" applyFont="1"/>
    <xf numFmtId="166" fontId="11" fillId="0" borderId="0" xfId="1" applyNumberFormat="1" applyFont="1"/>
    <xf numFmtId="176" fontId="10" fillId="0" borderId="0" xfId="1" applyNumberFormat="1" applyFont="1"/>
    <xf numFmtId="167" fontId="11" fillId="0" borderId="0" xfId="1" applyNumberFormat="1" applyFont="1"/>
    <xf numFmtId="167" fontId="10" fillId="0" borderId="0" xfId="1" applyNumberFormat="1" applyFont="1"/>
    <xf numFmtId="0" fontId="10" fillId="0" borderId="0" xfId="0" applyFont="1"/>
    <xf numFmtId="0" fontId="2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3" fillId="2" borderId="0" xfId="0" applyFont="1" applyFill="1" applyAlignment="1">
      <alignment horizontal="left"/>
    </xf>
    <xf numFmtId="165" fontId="23" fillId="2" borderId="0" xfId="0" applyNumberFormat="1" applyFont="1" applyFill="1" applyAlignment="1">
      <alignment horizontal="left" vertical="top"/>
    </xf>
    <xf numFmtId="165" fontId="24" fillId="2" borderId="0" xfId="0" applyNumberFormat="1" applyFont="1" applyFill="1" applyAlignment="1">
      <alignment horizontal="left" vertical="top"/>
    </xf>
    <xf numFmtId="0" fontId="4" fillId="0" borderId="0" xfId="0" applyFont="1"/>
    <xf numFmtId="0" fontId="25" fillId="0" borderId="0" xfId="0" applyFont="1"/>
    <xf numFmtId="0" fontId="26" fillId="9" borderId="7" xfId="0" applyFont="1" applyFill="1" applyBorder="1"/>
    <xf numFmtId="0" fontId="26" fillId="9" borderId="8" xfId="0" applyFont="1" applyFill="1" applyBorder="1"/>
    <xf numFmtId="0" fontId="26" fillId="9" borderId="9" xfId="0" applyFont="1" applyFill="1" applyBorder="1"/>
    <xf numFmtId="0" fontId="3" fillId="0" borderId="0" xfId="0" applyFont="1"/>
    <xf numFmtId="166" fontId="4" fillId="0" borderId="0" xfId="1" applyNumberFormat="1" applyFont="1"/>
    <xf numFmtId="0" fontId="27" fillId="9" borderId="10" xfId="0" applyFont="1" applyFill="1" applyBorder="1" applyAlignment="1">
      <alignment horizontal="right"/>
    </xf>
    <xf numFmtId="0" fontId="27" fillId="9" borderId="11" xfId="0" applyFont="1" applyFill="1" applyBorder="1" applyAlignment="1">
      <alignment horizontal="left"/>
    </xf>
    <xf numFmtId="0" fontId="27" fillId="9" borderId="11" xfId="0" applyFont="1" applyFill="1" applyBorder="1"/>
    <xf numFmtId="0" fontId="27" fillId="9" borderId="11" xfId="0" applyFont="1" applyFill="1" applyBorder="1" applyAlignment="1">
      <alignment horizontal="right"/>
    </xf>
    <xf numFmtId="164" fontId="27" fillId="9" borderId="11" xfId="1" applyFont="1" applyFill="1" applyBorder="1" applyAlignment="1">
      <alignment horizontal="left"/>
    </xf>
    <xf numFmtId="164" fontId="27" fillId="10" borderId="12" xfId="1" applyFont="1" applyFill="1" applyBorder="1"/>
    <xf numFmtId="37" fontId="3" fillId="2" borderId="0" xfId="0" applyNumberFormat="1" applyFont="1" applyFill="1" applyAlignment="1">
      <alignment horizontal="center"/>
    </xf>
    <xf numFmtId="37" fontId="3" fillId="2" borderId="0" xfId="0" applyNumberFormat="1" applyFont="1" applyFill="1"/>
    <xf numFmtId="164" fontId="27" fillId="9" borderId="3" xfId="1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166" fontId="3" fillId="0" borderId="0" xfId="1" applyNumberFormat="1" applyFont="1"/>
    <xf numFmtId="43" fontId="0" fillId="0" borderId="0" xfId="0" applyNumberFormat="1"/>
    <xf numFmtId="37" fontId="3" fillId="3" borderId="0" xfId="0" applyNumberFormat="1" applyFont="1" applyFill="1"/>
    <xf numFmtId="3" fontId="4" fillId="0" borderId="0" xfId="0" applyNumberFormat="1" applyFont="1"/>
    <xf numFmtId="166" fontId="4" fillId="0" borderId="0" xfId="0" applyNumberFormat="1" applyFont="1"/>
    <xf numFmtId="164" fontId="4" fillId="0" borderId="0" xfId="1" applyFont="1"/>
    <xf numFmtId="43" fontId="4" fillId="0" borderId="0" xfId="0" applyNumberFormat="1" applyFont="1"/>
    <xf numFmtId="164" fontId="27" fillId="9" borderId="12" xfId="1" applyFont="1" applyFill="1" applyBorder="1"/>
    <xf numFmtId="166" fontId="4" fillId="2" borderId="3" xfId="1" applyNumberFormat="1" applyFont="1" applyFill="1" applyBorder="1"/>
    <xf numFmtId="164" fontId="4" fillId="3" borderId="0" xfId="1" applyFont="1" applyFill="1" applyBorder="1"/>
    <xf numFmtId="166" fontId="4" fillId="0" borderId="3" xfId="0" applyNumberFormat="1" applyFont="1" applyBorder="1"/>
    <xf numFmtId="43" fontId="3" fillId="0" borderId="0" xfId="0" applyNumberFormat="1" applyFont="1"/>
    <xf numFmtId="166" fontId="3" fillId="2" borderId="0" xfId="0" applyNumberFormat="1" applyFont="1" applyFill="1"/>
    <xf numFmtId="164" fontId="3" fillId="3" borderId="0" xfId="0" applyNumberFormat="1" applyFont="1" applyFill="1"/>
    <xf numFmtId="166" fontId="3" fillId="0" borderId="0" xfId="0" applyNumberFormat="1" applyFont="1"/>
    <xf numFmtId="0" fontId="25" fillId="0" borderId="0" xfId="0" applyFont="1" applyAlignment="1">
      <alignment horizontal="left"/>
    </xf>
    <xf numFmtId="0" fontId="27" fillId="9" borderId="13" xfId="0" applyFont="1" applyFill="1" applyBorder="1" applyAlignment="1">
      <alignment vertical="top"/>
    </xf>
    <xf numFmtId="0" fontId="27" fillId="9" borderId="14" xfId="0" applyFont="1" applyFill="1" applyBorder="1" applyAlignment="1">
      <alignment vertical="top"/>
    </xf>
    <xf numFmtId="0" fontId="27" fillId="9" borderId="15" xfId="0" applyFont="1" applyFill="1" applyBorder="1" applyAlignment="1">
      <alignment vertical="top"/>
    </xf>
    <xf numFmtId="166" fontId="4" fillId="0" borderId="0" xfId="1" applyNumberFormat="1" applyFont="1" applyBorder="1"/>
    <xf numFmtId="43" fontId="4" fillId="3" borderId="0" xfId="1" applyNumberFormat="1" applyFont="1" applyFill="1"/>
    <xf numFmtId="0" fontId="28" fillId="11" borderId="16" xfId="0" applyFont="1" applyFill="1" applyBorder="1"/>
    <xf numFmtId="0" fontId="28" fillId="11" borderId="17" xfId="0" applyFont="1" applyFill="1" applyBorder="1"/>
    <xf numFmtId="0" fontId="28" fillId="11" borderId="18" xfId="0" applyFont="1" applyFill="1" applyBorder="1"/>
    <xf numFmtId="0" fontId="29" fillId="0" borderId="18" xfId="0" applyFont="1" applyBorder="1"/>
    <xf numFmtId="0" fontId="28" fillId="11" borderId="19" xfId="0" applyFont="1" applyFill="1" applyBorder="1"/>
    <xf numFmtId="164" fontId="4" fillId="0" borderId="0" xfId="1" applyFont="1" applyBorder="1"/>
    <xf numFmtId="178" fontId="28" fillId="11" borderId="20" xfId="0" applyNumberFormat="1" applyFont="1" applyFill="1" applyBorder="1" applyAlignment="1">
      <alignment horizontal="right"/>
    </xf>
    <xf numFmtId="178" fontId="28" fillId="11" borderId="18" xfId="0" applyNumberFormat="1" applyFont="1" applyFill="1" applyBorder="1" applyAlignment="1">
      <alignment horizontal="right"/>
    </xf>
    <xf numFmtId="0" fontId="28" fillId="11" borderId="21" xfId="0" applyFont="1" applyFill="1" applyBorder="1"/>
    <xf numFmtId="178" fontId="28" fillId="11" borderId="0" xfId="0" applyNumberFormat="1" applyFont="1" applyFill="1" applyAlignment="1">
      <alignment horizontal="right"/>
    </xf>
    <xf numFmtId="0" fontId="28" fillId="11" borderId="22" xfId="0" applyFont="1" applyFill="1" applyBorder="1"/>
    <xf numFmtId="0" fontId="27" fillId="9" borderId="23" xfId="0" applyFont="1" applyFill="1" applyBorder="1"/>
    <xf numFmtId="0" fontId="27" fillId="9" borderId="24" xfId="0" applyFont="1" applyFill="1" applyBorder="1" applyAlignment="1">
      <alignment horizontal="left"/>
    </xf>
    <xf numFmtId="0" fontId="27" fillId="9" borderId="24" xfId="0" applyFont="1" applyFill="1" applyBorder="1"/>
    <xf numFmtId="164" fontId="7" fillId="0" borderId="0" xfId="0" applyNumberFormat="1" applyFont="1"/>
    <xf numFmtId="0" fontId="4" fillId="0" borderId="14" xfId="0" applyFont="1" applyBorder="1"/>
    <xf numFmtId="178" fontId="3" fillId="0" borderId="14" xfId="0" applyNumberFormat="1" applyFont="1" applyBorder="1"/>
    <xf numFmtId="43" fontId="4" fillId="3" borderId="0" xfId="1" applyNumberFormat="1" applyFont="1" applyFill="1" applyBorder="1"/>
    <xf numFmtId="166" fontId="4" fillId="0" borderId="3" xfId="1" applyNumberFormat="1" applyFont="1" applyBorder="1"/>
    <xf numFmtId="166" fontId="3" fillId="0" borderId="4" xfId="0" applyNumberFormat="1" applyFont="1" applyBorder="1"/>
    <xf numFmtId="164" fontId="4" fillId="0" borderId="0" xfId="0" applyNumberFormat="1" applyFont="1"/>
    <xf numFmtId="43" fontId="3" fillId="3" borderId="0" xfId="0" applyNumberFormat="1" applyFont="1" applyFill="1"/>
    <xf numFmtId="166" fontId="4" fillId="0" borderId="2" xfId="1" applyNumberFormat="1" applyFont="1" applyBorder="1"/>
    <xf numFmtId="178" fontId="7" fillId="0" borderId="0" xfId="0" applyNumberFormat="1" applyFont="1"/>
    <xf numFmtId="166" fontId="30" fillId="0" borderId="0" xfId="0" applyNumberFormat="1" applyFont="1"/>
    <xf numFmtId="164" fontId="4" fillId="3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9" fontId="4" fillId="3" borderId="0" xfId="2" applyFont="1" applyFill="1"/>
    <xf numFmtId="166" fontId="3" fillId="2" borderId="4" xfId="0" applyNumberFormat="1" applyFont="1" applyFill="1" applyBorder="1"/>
    <xf numFmtId="164" fontId="3" fillId="2" borderId="0" xfId="1" applyFont="1" applyFill="1"/>
    <xf numFmtId="164" fontId="3" fillId="0" borderId="0" xfId="1" applyFont="1"/>
    <xf numFmtId="164" fontId="7" fillId="0" borderId="0" xfId="1" applyFont="1"/>
    <xf numFmtId="10" fontId="3" fillId="2" borderId="0" xfId="2" applyNumberFormat="1" applyFont="1" applyFill="1"/>
    <xf numFmtId="9" fontId="4" fillId="0" borderId="0" xfId="2" applyFont="1"/>
    <xf numFmtId="0" fontId="11" fillId="3" borderId="0" xfId="3" applyFont="1" applyFill="1"/>
    <xf numFmtId="0" fontId="10" fillId="3" borderId="0" xfId="3" applyFont="1" applyFill="1" applyAlignment="1">
      <alignment horizontal="center"/>
    </xf>
    <xf numFmtId="0" fontId="10" fillId="3" borderId="0" xfId="3" applyFont="1" applyFill="1"/>
    <xf numFmtId="17" fontId="10" fillId="3" borderId="3" xfId="3" applyNumberFormat="1" applyFont="1" applyFill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11" fillId="0" borderId="0" xfId="3" applyFont="1" applyAlignment="1">
      <alignment horizontal="center" vertical="center"/>
    </xf>
    <xf numFmtId="10" fontId="11" fillId="0" borderId="0" xfId="2" applyNumberFormat="1" applyFont="1" applyFill="1" applyBorder="1"/>
    <xf numFmtId="43" fontId="11" fillId="0" borderId="0" xfId="6" applyFont="1" applyFill="1" applyBorder="1"/>
    <xf numFmtId="167" fontId="11" fillId="3" borderId="0" xfId="6" applyNumberFormat="1" applyFont="1" applyFill="1" applyBorder="1"/>
    <xf numFmtId="10" fontId="13" fillId="0" borderId="0" xfId="2" applyNumberFormat="1" applyFont="1"/>
    <xf numFmtId="10" fontId="11" fillId="0" borderId="0" xfId="6" applyNumberFormat="1" applyFont="1" applyFill="1" applyBorder="1"/>
    <xf numFmtId="0" fontId="10" fillId="0" borderId="0" xfId="3" applyFont="1" applyAlignment="1">
      <alignment horizontal="center" vertical="center"/>
    </xf>
    <xf numFmtId="43" fontId="10" fillId="0" borderId="0" xfId="6" applyFont="1" applyFill="1" applyBorder="1"/>
    <xf numFmtId="167" fontId="10" fillId="3" borderId="0" xfId="6" applyNumberFormat="1" applyFont="1" applyFill="1" applyBorder="1"/>
    <xf numFmtId="0" fontId="13" fillId="0" borderId="0" xfId="0" applyFont="1" applyAlignment="1">
      <alignment horizontal="center" vertical="center"/>
    </xf>
    <xf numFmtId="43" fontId="13" fillId="0" borderId="0" xfId="1" applyNumberFormat="1" applyFont="1"/>
    <xf numFmtId="166" fontId="13" fillId="3" borderId="0" xfId="1" applyNumberFormat="1" applyFont="1" applyFill="1"/>
    <xf numFmtId="43" fontId="13" fillId="0" borderId="0" xfId="0" applyNumberFormat="1" applyFont="1"/>
    <xf numFmtId="0" fontId="13" fillId="3" borderId="0" xfId="0" applyFont="1" applyFill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/>
    <xf numFmtId="166" fontId="13" fillId="0" borderId="0" xfId="0" applyNumberFormat="1" applyFont="1"/>
    <xf numFmtId="164" fontId="13" fillId="0" borderId="0" xfId="1" applyFont="1"/>
    <xf numFmtId="167" fontId="13" fillId="3" borderId="0" xfId="1" applyNumberFormat="1" applyFont="1" applyFill="1"/>
  </cellXfs>
  <cellStyles count="9">
    <cellStyle name="Comma" xfId="1" builtinId="3"/>
    <cellStyle name="Comma 2 2 2" xfId="6" xr:uid="{00000000-0005-0000-0000-000001000000}"/>
    <cellStyle name="Comma_NEW_FINSTAT 2" xfId="5" xr:uid="{00000000-0005-0000-0000-000002000000}"/>
    <cellStyle name="Normal" xfId="0" builtinId="0"/>
    <cellStyle name="Normal 10 10" xfId="4" xr:uid="{00000000-0005-0000-0000-000004000000}"/>
    <cellStyle name="Normal 2" xfId="8" xr:uid="{00000000-0005-0000-0000-000005000000}"/>
    <cellStyle name="Normal 2 2 2" xfId="7" xr:uid="{00000000-0005-0000-0000-000006000000}"/>
    <cellStyle name="Normal_NEW_FINSTAT 2" xfId="3" xr:uid="{00000000-0005-0000-0000-000007000000}"/>
    <cellStyle name="Percent" xfId="2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231320</xdr:colOff>
      <xdr:row>0</xdr:row>
      <xdr:rowOff>27215</xdr:rowOff>
    </xdr:from>
    <xdr:to>
      <xdr:col>17</xdr:col>
      <xdr:colOff>1143015</xdr:colOff>
      <xdr:row>2</xdr:row>
      <xdr:rowOff>51710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1458" y="27215"/>
          <a:ext cx="2049932" cy="467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21</xdr:row>
      <xdr:rowOff>87631</xdr:rowOff>
    </xdr:from>
    <xdr:to>
      <xdr:col>17</xdr:col>
      <xdr:colOff>672465</xdr:colOff>
      <xdr:row>21</xdr:row>
      <xdr:rowOff>87631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4316C01-8686-4927-BCF5-A0CE6FB44E38}"/>
            </a:ext>
          </a:extLst>
        </xdr:cNvPr>
        <xdr:cNvCxnSpPr/>
      </xdr:nvCxnSpPr>
      <xdr:spPr>
        <a:xfrm flipH="1" flipV="1">
          <a:off x="18583275" y="3888106"/>
          <a:ext cx="5867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22</xdr:row>
      <xdr:rowOff>87631</xdr:rowOff>
    </xdr:from>
    <xdr:to>
      <xdr:col>17</xdr:col>
      <xdr:colOff>672465</xdr:colOff>
      <xdr:row>22</xdr:row>
      <xdr:rowOff>87631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D6CC3EF-A7BF-4D5F-B8BE-39CB4D0CFC06}"/>
            </a:ext>
          </a:extLst>
        </xdr:cNvPr>
        <xdr:cNvCxnSpPr/>
      </xdr:nvCxnSpPr>
      <xdr:spPr>
        <a:xfrm flipH="1" flipV="1">
          <a:off x="18583275" y="4069081"/>
          <a:ext cx="5867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24</xdr:row>
      <xdr:rowOff>87631</xdr:rowOff>
    </xdr:from>
    <xdr:to>
      <xdr:col>17</xdr:col>
      <xdr:colOff>672465</xdr:colOff>
      <xdr:row>24</xdr:row>
      <xdr:rowOff>87631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948896C-FF1B-4ADC-A93F-2F70DF69445B}"/>
            </a:ext>
          </a:extLst>
        </xdr:cNvPr>
        <xdr:cNvCxnSpPr/>
      </xdr:nvCxnSpPr>
      <xdr:spPr>
        <a:xfrm flipH="1" flipV="1">
          <a:off x="18583275" y="4431031"/>
          <a:ext cx="5867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25</xdr:row>
      <xdr:rowOff>103506</xdr:rowOff>
    </xdr:from>
    <xdr:to>
      <xdr:col>17</xdr:col>
      <xdr:colOff>672465</xdr:colOff>
      <xdr:row>25</xdr:row>
      <xdr:rowOff>103506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3D6FF80-82C5-4F82-94CD-41617CF64FDC}"/>
            </a:ext>
          </a:extLst>
        </xdr:cNvPr>
        <xdr:cNvCxnSpPr/>
      </xdr:nvCxnSpPr>
      <xdr:spPr>
        <a:xfrm flipH="1" flipV="1">
          <a:off x="18583275" y="4627881"/>
          <a:ext cx="5867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32</xdr:row>
      <xdr:rowOff>47625</xdr:rowOff>
    </xdr:from>
    <xdr:to>
      <xdr:col>17</xdr:col>
      <xdr:colOff>668655</xdr:colOff>
      <xdr:row>32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09747CF-21D5-4DA1-BAE6-3E85D0FEF231}"/>
            </a:ext>
          </a:extLst>
        </xdr:cNvPr>
        <xdr:cNvCxnSpPr/>
      </xdr:nvCxnSpPr>
      <xdr:spPr>
        <a:xfrm flipH="1" flipV="1">
          <a:off x="18583275" y="5838825"/>
          <a:ext cx="5829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27</xdr:row>
      <xdr:rowOff>87631</xdr:rowOff>
    </xdr:from>
    <xdr:to>
      <xdr:col>17</xdr:col>
      <xdr:colOff>672465</xdr:colOff>
      <xdr:row>27</xdr:row>
      <xdr:rowOff>87631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C52A33B-2546-4EC0-921C-6F952320C3CC}"/>
            </a:ext>
          </a:extLst>
        </xdr:cNvPr>
        <xdr:cNvCxnSpPr/>
      </xdr:nvCxnSpPr>
      <xdr:spPr>
        <a:xfrm flipH="1" flipV="1">
          <a:off x="18583275" y="4973956"/>
          <a:ext cx="5867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28</xdr:row>
      <xdr:rowOff>87631</xdr:rowOff>
    </xdr:from>
    <xdr:to>
      <xdr:col>17</xdr:col>
      <xdr:colOff>672465</xdr:colOff>
      <xdr:row>28</xdr:row>
      <xdr:rowOff>87631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4FFFAAC-25E2-4A30-84E5-D8C501E84689}"/>
            </a:ext>
          </a:extLst>
        </xdr:cNvPr>
        <xdr:cNvCxnSpPr/>
      </xdr:nvCxnSpPr>
      <xdr:spPr>
        <a:xfrm flipH="1" flipV="1">
          <a:off x="18583275" y="5154931"/>
          <a:ext cx="5867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25</xdr:row>
      <xdr:rowOff>0</xdr:rowOff>
    </xdr:from>
    <xdr:to>
      <xdr:col>6</xdr:col>
      <xdr:colOff>123825</xdr:colOff>
      <xdr:row>25</xdr:row>
      <xdr:rowOff>27813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BC836C50-DAFE-4B49-A8FA-63ACD429FB7F}"/>
            </a:ext>
          </a:extLst>
        </xdr:cNvPr>
        <xdr:cNvSpPr txBox="1">
          <a:spLocks noChangeArrowheads="1"/>
        </xdr:cNvSpPr>
      </xdr:nvSpPr>
      <xdr:spPr bwMode="auto">
        <a:xfrm>
          <a:off x="8991600" y="4333875"/>
          <a:ext cx="123825" cy="27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deDepot%20Consolidated%20Management%20Account%2011th%20February%202023%20Total%20Cost%20week%206th_6th%20to%2011th%20February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1\Documents\Management%20Accounts\Schedules\Financials\Consolidated_TD%20Nigeria\2025\February%202025\TradeDepot%20Consolidated%20Management%20Account%2028th%20Feburary%202025.xlsx" TargetMode="External"/><Relationship Id="rId1" Type="http://schemas.openxmlformats.org/officeDocument/2006/relationships/externalLinkPath" Target="/Users/user1/Documents/Management%20Accounts/Schedules/Financials/Consolidated_TD%20Nigeria/2025/February%202025/TradeDepot%20Consolidated%20Management%20Account%2028th%20Feburary%20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Locati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ssumption"/>
      <sheetName val="Income Stat_Warehouse"/>
      <sheetName val="Income Stat_Producers."/>
      <sheetName val="Personnel"/>
      <sheetName val="Over Head"/>
      <sheetName val="Rebate"/>
      <sheetName val="Data"/>
      <sheetName val="Cities View"/>
      <sheetName val="Income Stmt"/>
      <sheetName val="Balance Sheet."/>
      <sheetName val="Cash Flow"/>
      <sheetName val="CCC"/>
      <sheetName val="Note_In  Stmt"/>
      <sheetName val="NOTE_BS"/>
      <sheetName val="Pivot_Con. TB"/>
      <sheetName val="Consolidated TB"/>
      <sheetName val="Pivot_Raw TB"/>
      <sheetName val="Sheet5"/>
      <sheetName val="Sheet4"/>
      <sheetName val="RTB_YTD"/>
      <sheetName val="Sheet6"/>
      <sheetName val="Sheet7"/>
      <sheetName val="RTB_MTD"/>
      <sheetName val="Odoo IS_MT"/>
      <sheetName val="Odoo IS_YT"/>
      <sheetName val="Others"/>
    </sheetNames>
    <sheetDataSet>
      <sheetData sheetId="0">
        <row r="13">
          <cell r="B13">
            <v>44968</v>
          </cell>
        </row>
      </sheetData>
      <sheetData sheetId="1"/>
      <sheetData sheetId="2">
        <row r="11">
          <cell r="D11">
            <v>598342343.01000023</v>
          </cell>
        </row>
      </sheetData>
      <sheetData sheetId="3"/>
      <sheetData sheetId="4"/>
      <sheetData sheetId="5">
        <row r="43">
          <cell r="C43">
            <v>0</v>
          </cell>
        </row>
      </sheetData>
      <sheetData sheetId="6"/>
      <sheetData sheetId="7"/>
      <sheetData sheetId="8"/>
      <sheetData sheetId="9">
        <row r="47">
          <cell r="C47">
            <v>-24489616.053571135</v>
          </cell>
        </row>
      </sheetData>
      <sheetData sheetId="10">
        <row r="18">
          <cell r="C18">
            <v>216946243.3799873</v>
          </cell>
        </row>
      </sheetData>
      <sheetData sheetId="11"/>
      <sheetData sheetId="12"/>
      <sheetData sheetId="13">
        <row r="3">
          <cell r="D3">
            <v>44957</v>
          </cell>
        </row>
        <row r="5">
          <cell r="A5">
            <v>1</v>
          </cell>
        </row>
        <row r="26">
          <cell r="A26">
            <v>2</v>
          </cell>
        </row>
        <row r="48">
          <cell r="A48">
            <v>3</v>
          </cell>
        </row>
        <row r="67">
          <cell r="A67">
            <v>4</v>
          </cell>
        </row>
        <row r="83">
          <cell r="A83">
            <v>5</v>
          </cell>
        </row>
        <row r="103">
          <cell r="A103">
            <v>6</v>
          </cell>
        </row>
        <row r="125">
          <cell r="A125">
            <v>7</v>
          </cell>
        </row>
      </sheetData>
      <sheetData sheetId="14">
        <row r="3">
          <cell r="D3">
            <v>44957</v>
          </cell>
        </row>
        <row r="5">
          <cell r="A5">
            <v>6</v>
          </cell>
        </row>
        <row r="15">
          <cell r="A15">
            <v>7</v>
          </cell>
        </row>
        <row r="30">
          <cell r="A30">
            <v>8</v>
          </cell>
        </row>
        <row r="36">
          <cell r="A36">
            <v>9</v>
          </cell>
        </row>
        <row r="52">
          <cell r="A52">
            <v>10</v>
          </cell>
        </row>
        <row r="61">
          <cell r="A61">
            <v>11</v>
          </cell>
        </row>
        <row r="65">
          <cell r="A65">
            <v>12</v>
          </cell>
        </row>
        <row r="75">
          <cell r="A75">
            <v>13</v>
          </cell>
        </row>
        <row r="79">
          <cell r="A79">
            <v>14</v>
          </cell>
        </row>
        <row r="83">
          <cell r="A83">
            <v>15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">
          <cell r="B16">
            <v>35363638.789999999</v>
          </cell>
        </row>
      </sheetData>
      <sheetData sheetId="25">
        <row r="16">
          <cell r="B16">
            <v>-175263390.89000019</v>
          </cell>
        </row>
      </sheetData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Assumption"/>
      <sheetName val="Income Stat_Warehouse"/>
      <sheetName val="Warehouse Dashboard"/>
      <sheetName val="MTD Producer Dashboard"/>
      <sheetName val="Others Producer Dashboard "/>
      <sheetName val="Cities View"/>
      <sheetName val="Producer's (Others)_MTD"/>
      <sheetName val="Producers (Marketplace)_MTD"/>
      <sheetName val="Unilever_Alpha Division"/>
      <sheetName val="Alpha Franchize_PL "/>
      <sheetName val="Hell Energy_Distros_PL"/>
      <sheetName val="Hell Energy_Primary sales_PL"/>
      <sheetName val="Frutta PL"/>
      <sheetName val="GrandOak PL"/>
      <sheetName val="Nestle &amp; Coke_TD NG &amp; Sourcing"/>
      <sheetName val="Hell Energy"/>
      <sheetName val="Producers_SPV_MTD"/>
      <sheetName val="Pallet Utilisation Vs Excess Ca"/>
      <sheetName val="Producers_MTD"/>
      <sheetName val="Data_MTD"/>
      <sheetName val="Producers_YTD"/>
      <sheetName val="Data_YTD"/>
      <sheetName val="Warehouse Costs Working"/>
      <sheetName val="Over Head"/>
      <sheetName val="Personnel."/>
      <sheetName val="Per Location"/>
      <sheetName val="Income Stmt"/>
      <sheetName val="Balance Sheet."/>
      <sheetName val="Receivables from Corporate"/>
      <sheetName val="Liquidity Position"/>
      <sheetName val="Bank Balances"/>
      <sheetName val="Personnel_YTD"/>
      <sheetName val="Cash Flow"/>
      <sheetName val="CCC"/>
      <sheetName val="Fin_Ratios"/>
      <sheetName val="Note_In  Stmt"/>
      <sheetName val="NOTE_BS"/>
      <sheetName val="Sheet2"/>
      <sheetName val="Pivot_Con. TB"/>
      <sheetName val="Consolidated TB"/>
      <sheetName val="Journals"/>
      <sheetName val="Pivot_Raw TB"/>
      <sheetName val="Journals_CHF 1.8T"/>
      <sheetName val="Journals_CHF 4T "/>
      <sheetName val="Journals_CHF 6T"/>
      <sheetName val="RTB_YTD"/>
      <sheetName val="Sheet4"/>
      <sheetName val="Sheet3"/>
      <sheetName val="RTB_MTD"/>
      <sheetName val="Odoo IS_YT"/>
      <sheetName val="Odoo IS_MT"/>
      <sheetName val="Others"/>
      <sheetName val="Suggest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7">
          <cell r="C7">
            <v>3282270972.3599997</v>
          </cell>
        </row>
        <row r="8">
          <cell r="C8">
            <v>3508807350.7400002</v>
          </cell>
        </row>
        <row r="9">
          <cell r="C9">
            <v>-226536378.38000059</v>
          </cell>
        </row>
        <row r="49">
          <cell r="C49">
            <v>-449879326.99000067</v>
          </cell>
        </row>
        <row r="52">
          <cell r="C52">
            <v>142016369.88</v>
          </cell>
        </row>
        <row r="65">
          <cell r="C65">
            <v>223342948.61000001</v>
          </cell>
        </row>
      </sheetData>
      <sheetData sheetId="28">
        <row r="21">
          <cell r="C21">
            <v>10669673349.979986</v>
          </cell>
        </row>
        <row r="24">
          <cell r="C24">
            <v>12260260873.469986</v>
          </cell>
          <cell r="I24">
            <v>14025090919.689978</v>
          </cell>
        </row>
        <row r="46">
          <cell r="C46">
            <v>12218261406.859993</v>
          </cell>
        </row>
        <row r="48">
          <cell r="C48">
            <v>14308848509.239992</v>
          </cell>
        </row>
      </sheetData>
      <sheetData sheetId="29"/>
      <sheetData sheetId="30"/>
      <sheetData sheetId="31"/>
      <sheetData sheetId="32"/>
      <sheetData sheetId="33">
        <row r="25">
          <cell r="B25">
            <v>2870990444.7199926</v>
          </cell>
        </row>
      </sheetData>
      <sheetData sheetId="34">
        <row r="33">
          <cell r="C33">
            <v>-359.26954357448489</v>
          </cell>
        </row>
      </sheetData>
      <sheetData sheetId="35"/>
      <sheetData sheetId="36"/>
      <sheetData sheetId="37">
        <row r="11">
          <cell r="C11">
            <v>7148184980.2999916</v>
          </cell>
        </row>
        <row r="21">
          <cell r="G21">
            <v>4842106880.335</v>
          </cell>
        </row>
        <row r="25">
          <cell r="C25">
            <v>166843412.00999326</v>
          </cell>
        </row>
        <row r="44">
          <cell r="C44">
            <v>3036914592.4599972</v>
          </cell>
        </row>
        <row r="65">
          <cell r="C65">
            <v>334849311.76998985</v>
          </cell>
        </row>
        <row r="68">
          <cell r="C68">
            <v>-534868081.68999028</v>
          </cell>
        </row>
      </sheetData>
      <sheetData sheetId="38"/>
      <sheetData sheetId="39">
        <row r="3">
          <cell r="G3">
            <v>9785407.96000061</v>
          </cell>
        </row>
        <row r="4">
          <cell r="G4">
            <v>-397250</v>
          </cell>
        </row>
        <row r="5">
          <cell r="G5">
            <v>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 Loc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380B-53E4-4BBB-94F8-A2E4FBE4CF3A}">
  <dimension ref="A1:G34"/>
  <sheetViews>
    <sheetView view="pageBreakPreview" zoomScale="90" zoomScaleNormal="100" zoomScaleSheetLayoutView="80" workbookViewId="0">
      <selection activeCell="C18" sqref="C18"/>
    </sheetView>
  </sheetViews>
  <sheetFormatPr defaultRowHeight="14.25" x14ac:dyDescent="0.45"/>
  <cols>
    <col min="3" max="3" width="21.9296875" customWidth="1"/>
    <col min="6" max="6" width="20.06640625" customWidth="1"/>
    <col min="7" max="7" width="30.59765625" customWidth="1"/>
  </cols>
  <sheetData>
    <row r="1" spans="1:7" x14ac:dyDescent="0.45">
      <c r="A1" s="152"/>
      <c r="B1" s="152"/>
      <c r="C1" s="152"/>
      <c r="D1" s="152"/>
      <c r="E1" s="152"/>
      <c r="F1" s="152"/>
      <c r="G1" s="152"/>
    </row>
    <row r="2" spans="1:7" x14ac:dyDescent="0.45">
      <c r="A2" s="152"/>
      <c r="B2" s="152"/>
      <c r="C2" s="152"/>
      <c r="D2" s="152"/>
      <c r="E2" s="152"/>
      <c r="F2" s="152"/>
      <c r="G2" s="152"/>
    </row>
    <row r="3" spans="1:7" x14ac:dyDescent="0.45">
      <c r="A3" s="152"/>
      <c r="B3" s="152"/>
      <c r="C3" s="152"/>
      <c r="D3" s="152"/>
      <c r="E3" s="152"/>
      <c r="F3" s="152"/>
      <c r="G3" s="152"/>
    </row>
    <row r="4" spans="1:7" x14ac:dyDescent="0.45">
      <c r="A4" s="152"/>
      <c r="B4" s="152"/>
      <c r="C4" s="152"/>
      <c r="D4" s="152"/>
      <c r="E4" s="152"/>
      <c r="F4" s="152"/>
      <c r="G4" s="152"/>
    </row>
    <row r="5" spans="1:7" x14ac:dyDescent="0.45">
      <c r="A5" s="152"/>
      <c r="B5" s="152"/>
      <c r="C5" s="152"/>
      <c r="D5" s="152"/>
      <c r="E5" s="152"/>
      <c r="F5" s="152"/>
      <c r="G5" s="152"/>
    </row>
    <row r="6" spans="1:7" x14ac:dyDescent="0.45">
      <c r="A6" s="152"/>
      <c r="B6" s="152"/>
      <c r="C6" s="152"/>
      <c r="D6" s="152"/>
      <c r="E6" s="152"/>
      <c r="F6" s="152"/>
      <c r="G6" s="152"/>
    </row>
    <row r="7" spans="1:7" x14ac:dyDescent="0.45">
      <c r="A7" s="152"/>
      <c r="B7" s="152"/>
      <c r="C7" s="152"/>
      <c r="D7" s="152"/>
      <c r="E7" s="152"/>
      <c r="F7" s="152"/>
      <c r="G7" s="152"/>
    </row>
    <row r="8" spans="1:7" x14ac:dyDescent="0.45">
      <c r="A8" s="152"/>
      <c r="B8" s="152"/>
      <c r="C8" s="152"/>
      <c r="D8" s="152"/>
      <c r="E8" s="152"/>
      <c r="F8" s="152"/>
      <c r="G8" s="152"/>
    </row>
    <row r="9" spans="1:7" x14ac:dyDescent="0.45">
      <c r="A9" s="152"/>
      <c r="B9" s="152"/>
      <c r="C9" s="152"/>
      <c r="D9" s="152"/>
      <c r="E9" s="152"/>
      <c r="F9" s="152"/>
      <c r="G9" s="152"/>
    </row>
    <row r="10" spans="1:7" x14ac:dyDescent="0.45">
      <c r="A10" s="152"/>
      <c r="B10" s="152"/>
      <c r="C10" s="152"/>
      <c r="D10" s="152"/>
      <c r="E10" s="152"/>
      <c r="F10" s="152"/>
      <c r="G10" s="152"/>
    </row>
    <row r="11" spans="1:7" x14ac:dyDescent="0.45">
      <c r="A11" s="152"/>
      <c r="B11" s="152"/>
      <c r="C11" s="152"/>
      <c r="D11" s="152"/>
      <c r="E11" s="152"/>
      <c r="F11" s="152"/>
      <c r="G11" s="152"/>
    </row>
    <row r="12" spans="1:7" x14ac:dyDescent="0.45">
      <c r="A12" s="152"/>
      <c r="B12" s="152"/>
      <c r="C12" s="152"/>
      <c r="D12" s="152"/>
      <c r="E12" s="152"/>
      <c r="F12" s="152"/>
      <c r="G12" s="152"/>
    </row>
    <row r="13" spans="1:7" ht="22.9" x14ac:dyDescent="0.65">
      <c r="A13" s="152"/>
      <c r="B13" s="152"/>
      <c r="C13" s="276" t="s">
        <v>232</v>
      </c>
      <c r="D13" s="152"/>
      <c r="E13" s="152"/>
      <c r="F13" s="152"/>
      <c r="G13" s="152"/>
    </row>
    <row r="14" spans="1:7" x14ac:dyDescent="0.45">
      <c r="A14" s="152"/>
      <c r="B14" s="152"/>
      <c r="C14" s="277"/>
      <c r="D14" s="152"/>
      <c r="E14" s="152"/>
      <c r="F14" s="152"/>
      <c r="G14" s="152"/>
    </row>
    <row r="15" spans="1:7" ht="17.649999999999999" x14ac:dyDescent="0.5">
      <c r="A15" s="152"/>
      <c r="B15" s="152"/>
      <c r="C15" s="278" t="s">
        <v>233</v>
      </c>
      <c r="D15" s="152"/>
      <c r="E15" s="152"/>
      <c r="F15" s="152"/>
      <c r="G15" s="152"/>
    </row>
    <row r="16" spans="1:7" x14ac:dyDescent="0.45">
      <c r="A16" s="152"/>
      <c r="B16" s="152"/>
      <c r="C16" s="277"/>
      <c r="D16" s="152"/>
      <c r="E16" s="152"/>
      <c r="F16" s="152"/>
      <c r="G16" s="152"/>
    </row>
    <row r="17" spans="1:7" ht="17.649999999999999" x14ac:dyDescent="0.45">
      <c r="A17" s="152"/>
      <c r="B17" s="152"/>
      <c r="C17" s="279">
        <v>44985</v>
      </c>
      <c r="D17" s="280"/>
      <c r="E17" s="280"/>
      <c r="F17" s="280"/>
      <c r="G17" s="152"/>
    </row>
    <row r="18" spans="1:7" x14ac:dyDescent="0.45">
      <c r="A18" s="152"/>
      <c r="B18" s="152"/>
      <c r="C18" s="152"/>
      <c r="D18" s="152"/>
      <c r="E18" s="152"/>
      <c r="F18" s="152"/>
      <c r="G18" s="152"/>
    </row>
    <row r="19" spans="1:7" x14ac:dyDescent="0.45">
      <c r="A19" s="152"/>
      <c r="B19" s="152"/>
      <c r="C19" s="152"/>
      <c r="D19" s="152"/>
      <c r="E19" s="152"/>
      <c r="F19" s="152"/>
      <c r="G19" s="152"/>
    </row>
    <row r="20" spans="1:7" x14ac:dyDescent="0.45">
      <c r="A20" s="152"/>
      <c r="B20" s="152"/>
      <c r="C20" s="152"/>
      <c r="D20" s="152"/>
      <c r="E20" s="152"/>
      <c r="F20" s="152"/>
      <c r="G20" s="152"/>
    </row>
    <row r="21" spans="1:7" x14ac:dyDescent="0.45">
      <c r="A21" s="152"/>
      <c r="B21" s="152"/>
      <c r="C21" s="152"/>
      <c r="D21" s="152"/>
      <c r="E21" s="152"/>
      <c r="F21" s="152"/>
      <c r="G21" s="152"/>
    </row>
    <row r="22" spans="1:7" x14ac:dyDescent="0.45">
      <c r="A22" s="152"/>
      <c r="B22" s="152"/>
      <c r="C22" s="152"/>
      <c r="D22" s="152"/>
      <c r="E22" s="152"/>
      <c r="F22" s="152"/>
      <c r="G22" s="152"/>
    </row>
    <row r="23" spans="1:7" x14ac:dyDescent="0.45">
      <c r="A23" s="152"/>
      <c r="B23" s="152"/>
      <c r="C23" s="152"/>
      <c r="D23" s="152"/>
      <c r="E23" s="152"/>
      <c r="F23" s="152"/>
      <c r="G23" s="152"/>
    </row>
    <row r="24" spans="1:7" x14ac:dyDescent="0.45">
      <c r="A24" s="152"/>
      <c r="B24" s="152"/>
      <c r="C24" s="152"/>
      <c r="D24" s="152"/>
      <c r="E24" s="152"/>
      <c r="F24" s="152"/>
      <c r="G24" s="152"/>
    </row>
    <row r="25" spans="1:7" x14ac:dyDescent="0.45">
      <c r="A25" s="152"/>
      <c r="B25" s="152"/>
      <c r="C25" s="152"/>
      <c r="D25" s="152"/>
      <c r="E25" s="152"/>
      <c r="F25" s="152"/>
      <c r="G25" s="152"/>
    </row>
    <row r="26" spans="1:7" x14ac:dyDescent="0.45">
      <c r="A26" s="152"/>
      <c r="B26" s="152"/>
      <c r="C26" s="152"/>
      <c r="D26" s="152"/>
      <c r="E26" s="152"/>
      <c r="F26" s="152"/>
      <c r="G26" s="152"/>
    </row>
    <row r="27" spans="1:7" x14ac:dyDescent="0.45">
      <c r="A27" s="152"/>
      <c r="B27" s="152"/>
      <c r="C27" s="152"/>
      <c r="D27" s="152"/>
      <c r="E27" s="152"/>
      <c r="F27" s="152"/>
      <c r="G27" s="152"/>
    </row>
    <row r="28" spans="1:7" x14ac:dyDescent="0.45">
      <c r="A28" s="152"/>
      <c r="B28" s="152"/>
      <c r="C28" s="152"/>
      <c r="D28" s="152"/>
      <c r="E28" s="152"/>
      <c r="F28" s="152"/>
      <c r="G28" s="152"/>
    </row>
    <row r="29" spans="1:7" x14ac:dyDescent="0.45">
      <c r="A29" s="152"/>
      <c r="B29" s="152"/>
      <c r="C29" s="152"/>
      <c r="D29" s="152"/>
      <c r="E29" s="152"/>
      <c r="F29" s="152"/>
      <c r="G29" s="152"/>
    </row>
    <row r="30" spans="1:7" x14ac:dyDescent="0.45">
      <c r="A30" s="152"/>
      <c r="B30" s="152"/>
      <c r="C30" s="152"/>
      <c r="D30" s="152"/>
      <c r="E30" s="152"/>
      <c r="F30" s="152"/>
      <c r="G30" s="152"/>
    </row>
    <row r="31" spans="1:7" x14ac:dyDescent="0.45">
      <c r="A31" s="152"/>
      <c r="B31" s="152"/>
      <c r="C31" s="152"/>
      <c r="D31" s="152"/>
      <c r="E31" s="152"/>
      <c r="F31" s="152"/>
      <c r="G31" s="152"/>
    </row>
    <row r="32" spans="1:7" x14ac:dyDescent="0.45">
      <c r="A32" s="152"/>
      <c r="B32" s="152"/>
      <c r="C32" s="152"/>
      <c r="D32" s="152"/>
      <c r="E32" s="152"/>
      <c r="F32" s="152"/>
      <c r="G32" s="152"/>
    </row>
    <row r="33" spans="1:7" x14ac:dyDescent="0.45">
      <c r="A33" s="152"/>
      <c r="B33" s="152"/>
      <c r="C33" s="152"/>
      <c r="D33" s="152"/>
      <c r="E33" s="152"/>
      <c r="F33" s="152"/>
      <c r="G33" s="152"/>
    </row>
    <row r="34" spans="1:7" x14ac:dyDescent="0.45">
      <c r="A34" s="152"/>
      <c r="B34" s="152"/>
      <c r="C34" s="152"/>
      <c r="D34" s="152"/>
      <c r="E34" s="152"/>
      <c r="F34" s="152"/>
      <c r="G34" s="152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19D1-2780-46A1-846D-26FDB7AB1356}">
  <dimension ref="A1:AJ41"/>
  <sheetViews>
    <sheetView tabSelected="1" view="pageBreakPreview" zoomScale="80" zoomScaleNormal="100" zoomScaleSheetLayoutView="80" workbookViewId="0">
      <pane xSplit="8" ySplit="2" topLeftCell="N3" activePane="bottomRight" state="frozen"/>
      <selection pane="topRight" activeCell="I1" sqref="I1"/>
      <selection pane="bottomLeft" activeCell="A3" sqref="A3"/>
      <selection pane="bottomRight" activeCell="R8" sqref="R8"/>
    </sheetView>
  </sheetViews>
  <sheetFormatPr defaultColWidth="9" defaultRowHeight="13.9" x14ac:dyDescent="0.4"/>
  <cols>
    <col min="1" max="1" width="41.73046875" style="4" bestFit="1" customWidth="1"/>
    <col min="2" max="3" width="0" style="4" hidden="1" customWidth="1"/>
    <col min="4" max="4" width="20.265625" style="4" bestFit="1" customWidth="1"/>
    <col min="5" max="5" width="21" style="4" bestFit="1" customWidth="1"/>
    <col min="6" max="6" width="19.86328125" style="4" customWidth="1"/>
    <col min="7" max="7" width="1.73046875" style="12" customWidth="1"/>
    <col min="8" max="8" width="1" style="281" hidden="1" customWidth="1"/>
    <col min="9" max="9" width="20.86328125" style="281" bestFit="1" customWidth="1"/>
    <col min="10" max="10" width="19.265625" style="281" bestFit="1" customWidth="1"/>
    <col min="11" max="12" width="20.86328125" style="281" bestFit="1" customWidth="1"/>
    <col min="13" max="13" width="18.265625" style="281" bestFit="1" customWidth="1"/>
    <col min="14" max="14" width="17.73046875" style="281" bestFit="1" customWidth="1"/>
    <col min="15" max="15" width="1" style="281" customWidth="1"/>
    <col min="16" max="16" width="31.265625" style="281" bestFit="1" customWidth="1"/>
    <col min="17" max="17" width="5" style="281" customWidth="1"/>
    <col min="18" max="18" width="17" style="281" bestFit="1" customWidth="1"/>
    <col min="19" max="19" width="17" style="281" customWidth="1"/>
    <col min="20" max="20" width="17" style="281" bestFit="1" customWidth="1"/>
    <col min="21" max="21" width="21" style="281" customWidth="1"/>
    <col min="22" max="22" width="19" style="281" customWidth="1"/>
    <col min="23" max="23" width="28" style="281" bestFit="1" customWidth="1"/>
    <col min="24" max="24" width="23.86328125" style="281" customWidth="1"/>
    <col min="25" max="25" width="27.265625" style="281" bestFit="1" customWidth="1"/>
    <col min="26" max="26" width="12.265625" style="281" bestFit="1" customWidth="1"/>
    <col min="27" max="28" width="19" style="281" customWidth="1"/>
    <col min="29" max="29" width="9" style="281"/>
    <col min="30" max="30" width="10" style="281" bestFit="1" customWidth="1"/>
    <col min="31" max="32" width="9" style="281"/>
    <col min="33" max="33" width="25.86328125" style="281" bestFit="1" customWidth="1"/>
    <col min="34" max="34" width="9" style="281"/>
    <col min="35" max="35" width="16" style="281" bestFit="1" customWidth="1"/>
    <col min="36" max="36" width="15.265625" style="281" bestFit="1" customWidth="1"/>
    <col min="37" max="16384" width="9" style="281"/>
  </cols>
  <sheetData>
    <row r="1" spans="1:36" ht="14.25" x14ac:dyDescent="0.45">
      <c r="O1" s="12"/>
      <c r="S1" s="8"/>
      <c r="W1" s="282"/>
      <c r="X1" s="282"/>
      <c r="Y1"/>
      <c r="AC1" s="283"/>
      <c r="AD1" s="284"/>
      <c r="AE1" s="284"/>
      <c r="AF1" s="284"/>
      <c r="AG1" s="284"/>
      <c r="AH1" s="284"/>
      <c r="AI1" s="284"/>
      <c r="AJ1" s="285"/>
    </row>
    <row r="2" spans="1:36" ht="14.25" x14ac:dyDescent="0.45">
      <c r="A2" s="7" t="s">
        <v>319</v>
      </c>
      <c r="I2" s="286" t="s">
        <v>235</v>
      </c>
      <c r="J2" s="286" t="s">
        <v>236</v>
      </c>
      <c r="K2" s="286" t="s">
        <v>237</v>
      </c>
      <c r="L2" s="286" t="s">
        <v>238</v>
      </c>
      <c r="M2" s="286" t="s">
        <v>239</v>
      </c>
      <c r="O2" s="12"/>
      <c r="P2" s="7" t="s">
        <v>240</v>
      </c>
      <c r="R2" s="8" t="s">
        <v>60</v>
      </c>
      <c r="S2" s="287"/>
      <c r="W2"/>
      <c r="X2"/>
      <c r="Y2"/>
      <c r="AC2" s="288"/>
      <c r="AD2" s="289"/>
      <c r="AE2" s="290"/>
      <c r="AF2" s="291"/>
      <c r="AG2" s="290"/>
      <c r="AH2" s="290"/>
      <c r="AI2" s="292"/>
      <c r="AJ2" s="293"/>
    </row>
    <row r="3" spans="1:36" ht="14.25" x14ac:dyDescent="0.45">
      <c r="D3" s="294" t="s">
        <v>242</v>
      </c>
      <c r="E3" s="7" t="s">
        <v>243</v>
      </c>
      <c r="F3" s="295" t="s">
        <v>244</v>
      </c>
      <c r="O3" s="12"/>
      <c r="P3" s="281" t="s">
        <v>172</v>
      </c>
      <c r="R3" s="287">
        <f>NOTE_BS!C13</f>
        <v>0</v>
      </c>
      <c r="S3" s="287"/>
      <c r="W3" s="282"/>
      <c r="X3" s="282"/>
      <c r="Y3" s="282"/>
      <c r="AC3" s="288"/>
      <c r="AD3" s="289"/>
      <c r="AE3" s="290"/>
      <c r="AF3" s="291"/>
      <c r="AG3" s="290"/>
      <c r="AH3" s="290"/>
      <c r="AI3" s="296"/>
      <c r="AJ3" s="293"/>
    </row>
    <row r="4" spans="1:36" ht="14.25" x14ac:dyDescent="0.45">
      <c r="A4" s="7" t="s">
        <v>245</v>
      </c>
      <c r="D4" s="8" t="s">
        <v>60</v>
      </c>
      <c r="E4" s="8" t="s">
        <v>60</v>
      </c>
      <c r="F4" s="8" t="s">
        <v>60</v>
      </c>
      <c r="G4" s="297"/>
      <c r="I4" s="287"/>
      <c r="J4" s="287"/>
      <c r="K4" s="287"/>
      <c r="L4" s="287"/>
      <c r="M4" s="287"/>
      <c r="N4" s="287">
        <f>SUM(I4:M4)</f>
        <v>0</v>
      </c>
      <c r="O4" s="12"/>
      <c r="P4" s="281" t="s">
        <v>173</v>
      </c>
      <c r="R4" s="287">
        <f>NOTE_BS!C14</f>
        <v>0</v>
      </c>
      <c r="S4" s="298" t="s">
        <v>246</v>
      </c>
      <c r="W4"/>
      <c r="X4" s="299"/>
      <c r="Y4" s="299"/>
      <c r="AC4" s="288"/>
      <c r="AD4" s="289"/>
      <c r="AE4" s="290"/>
      <c r="AF4" s="291"/>
      <c r="AG4" s="290"/>
      <c r="AH4" s="290"/>
      <c r="AI4" s="296"/>
      <c r="AJ4" s="293"/>
    </row>
    <row r="5" spans="1:36" ht="14.25" x14ac:dyDescent="0.45">
      <c r="D5" s="295"/>
      <c r="E5" s="294"/>
      <c r="G5" s="300"/>
      <c r="O5" s="12"/>
      <c r="P5" s="281" t="s">
        <v>247</v>
      </c>
      <c r="R5" s="287">
        <f>NOTE_BS!C16</f>
        <v>0</v>
      </c>
      <c r="S5" s="298"/>
      <c r="W5"/>
      <c r="X5" s="299"/>
      <c r="Y5" s="299"/>
      <c r="AC5" s="288"/>
      <c r="AD5" s="289"/>
      <c r="AE5" s="290"/>
      <c r="AF5" s="291"/>
      <c r="AG5" s="290"/>
      <c r="AH5" s="290"/>
      <c r="AI5" s="296"/>
      <c r="AJ5" s="293"/>
    </row>
    <row r="6" spans="1:36" ht="14.25" x14ac:dyDescent="0.45">
      <c r="D6" s="295"/>
      <c r="E6" s="295"/>
      <c r="F6" s="295"/>
      <c r="G6" s="300"/>
      <c r="O6" s="12"/>
      <c r="P6" s="281" t="s">
        <v>248</v>
      </c>
      <c r="R6" s="287">
        <f>NOTE_BS!C17</f>
        <v>0</v>
      </c>
      <c r="S6" s="287"/>
      <c r="W6"/>
      <c r="X6" s="299"/>
      <c r="Y6" s="299"/>
      <c r="AC6" s="288"/>
      <c r="AD6" s="289"/>
      <c r="AE6" s="290"/>
      <c r="AF6" s="291"/>
      <c r="AG6" s="290"/>
      <c r="AH6" s="290"/>
      <c r="AI6" s="296"/>
      <c r="AJ6" s="293"/>
    </row>
    <row r="7" spans="1:36" ht="14.25" x14ac:dyDescent="0.45">
      <c r="A7" s="7" t="s">
        <v>243</v>
      </c>
      <c r="O7" s="12"/>
      <c r="P7" s="281" t="s">
        <v>174</v>
      </c>
      <c r="R7" s="287">
        <f>NOTE_BS!C15</f>
        <v>0</v>
      </c>
      <c r="S7" s="287"/>
      <c r="W7"/>
      <c r="X7" s="299"/>
      <c r="Y7" s="299"/>
      <c r="AC7" s="288"/>
      <c r="AD7" s="289"/>
      <c r="AE7" s="291"/>
      <c r="AF7" s="291"/>
      <c r="AG7" s="290"/>
      <c r="AH7" s="290"/>
      <c r="AI7" s="296"/>
      <c r="AJ7" s="293"/>
    </row>
    <row r="8" spans="1:36" ht="14.25" x14ac:dyDescent="0.45">
      <c r="A8" s="4" t="s">
        <v>249</v>
      </c>
      <c r="D8" s="11"/>
      <c r="E8" s="11"/>
      <c r="F8" s="11">
        <f t="shared" ref="F8:F13" si="0">E8-D8</f>
        <v>0</v>
      </c>
      <c r="G8" s="16"/>
      <c r="I8" s="287"/>
      <c r="J8" s="301"/>
      <c r="K8" s="301"/>
      <c r="L8" s="301"/>
      <c r="M8" s="302"/>
      <c r="N8" s="302">
        <f>SUM(I8:M8)-E8</f>
        <v>0</v>
      </c>
      <c r="O8" s="12"/>
      <c r="P8" s="281" t="s">
        <v>176</v>
      </c>
      <c r="R8" s="287">
        <f>NOTE_BS!C20</f>
        <v>0</v>
      </c>
      <c r="S8" s="287"/>
      <c r="W8"/>
      <c r="X8" s="299"/>
      <c r="Y8" s="299"/>
      <c r="AC8" s="288"/>
      <c r="AD8" s="289"/>
      <c r="AE8" s="291"/>
      <c r="AF8" s="291"/>
      <c r="AG8" s="290"/>
      <c r="AH8" s="290"/>
      <c r="AI8" s="296"/>
      <c r="AJ8" s="293"/>
    </row>
    <row r="9" spans="1:36" ht="14.25" x14ac:dyDescent="0.45">
      <c r="A9" s="4" t="s">
        <v>250</v>
      </c>
      <c r="D9" s="11"/>
      <c r="E9" s="11"/>
      <c r="F9" s="11">
        <f t="shared" si="0"/>
        <v>0</v>
      </c>
      <c r="G9" s="16"/>
      <c r="I9" s="302"/>
      <c r="J9" s="302"/>
      <c r="K9" s="302"/>
      <c r="L9" s="302"/>
      <c r="M9" s="302"/>
      <c r="N9" s="302">
        <f>SUM(I9:M9)-E9</f>
        <v>0</v>
      </c>
      <c r="O9" s="12"/>
      <c r="P9" s="281" t="s">
        <v>179</v>
      </c>
      <c r="R9" s="287">
        <v>0</v>
      </c>
      <c r="S9" s="287"/>
      <c r="W9"/>
      <c r="X9" s="299"/>
      <c r="Y9" s="299"/>
      <c r="AC9" s="288"/>
      <c r="AD9" s="289"/>
      <c r="AE9" s="291"/>
      <c r="AF9" s="291"/>
      <c r="AG9" s="290"/>
      <c r="AH9" s="290"/>
      <c r="AI9" s="296"/>
      <c r="AJ9" s="293"/>
    </row>
    <row r="10" spans="1:36" ht="14.25" x14ac:dyDescent="0.45">
      <c r="A10" s="4" t="s">
        <v>188</v>
      </c>
      <c r="D10" s="11"/>
      <c r="E10" s="11"/>
      <c r="F10" s="11">
        <f t="shared" si="0"/>
        <v>0</v>
      </c>
      <c r="G10" s="16"/>
      <c r="I10" s="302"/>
      <c r="J10" s="302"/>
      <c r="K10" s="302"/>
      <c r="L10" s="302"/>
      <c r="M10" s="302"/>
      <c r="N10" s="302">
        <f>SUM(I10:M10)-E10</f>
        <v>0</v>
      </c>
      <c r="O10" s="12"/>
      <c r="P10" s="281" t="s">
        <v>180</v>
      </c>
      <c r="R10" s="287">
        <f>NOTE_BS!C27</f>
        <v>0</v>
      </c>
      <c r="S10" s="303"/>
      <c r="T10" s="304"/>
      <c r="W10"/>
      <c r="X10" s="299"/>
      <c r="Y10" s="299"/>
      <c r="AC10" s="288"/>
      <c r="AD10" s="289"/>
      <c r="AE10" s="291"/>
      <c r="AF10" s="291"/>
      <c r="AG10" s="290"/>
      <c r="AH10" s="290"/>
      <c r="AI10" s="296"/>
      <c r="AJ10" s="293"/>
    </row>
    <row r="11" spans="1:36" ht="14.25" x14ac:dyDescent="0.45">
      <c r="A11" s="4" t="s">
        <v>191</v>
      </c>
      <c r="D11" s="11"/>
      <c r="E11" s="11"/>
      <c r="F11" s="11">
        <f t="shared" si="0"/>
        <v>0</v>
      </c>
      <c r="G11" s="16"/>
      <c r="I11" s="301"/>
      <c r="J11" s="301"/>
      <c r="K11" s="301"/>
      <c r="L11" s="301"/>
      <c r="M11" s="302"/>
      <c r="N11" s="302">
        <f>SUM(I11:M11)-E11</f>
        <v>0</v>
      </c>
      <c r="O11" s="12"/>
      <c r="P11" s="281" t="s">
        <v>181</v>
      </c>
      <c r="R11" s="287">
        <v>0</v>
      </c>
      <c r="S11" s="287"/>
      <c r="W11"/>
      <c r="X11" s="299"/>
      <c r="Y11" s="299"/>
      <c r="AC11" s="288"/>
      <c r="AD11" s="289"/>
      <c r="AE11" s="291"/>
      <c r="AF11" s="291"/>
      <c r="AG11" s="290"/>
      <c r="AH11" s="290"/>
      <c r="AI11" s="296"/>
      <c r="AJ11" s="293"/>
    </row>
    <row r="12" spans="1:36" ht="14.25" x14ac:dyDescent="0.45">
      <c r="A12" s="4" t="s">
        <v>251</v>
      </c>
      <c r="D12" s="11"/>
      <c r="E12" s="11"/>
      <c r="F12" s="11">
        <f t="shared" si="0"/>
        <v>0</v>
      </c>
      <c r="G12" s="16"/>
      <c r="I12" s="301"/>
      <c r="J12" s="303"/>
      <c r="K12" s="301"/>
      <c r="L12" s="303"/>
      <c r="M12" s="302"/>
      <c r="N12" s="302"/>
      <c r="O12" s="12"/>
      <c r="P12" s="281" t="s">
        <v>182</v>
      </c>
      <c r="R12" s="287">
        <f>NOTE_BS!C29</f>
        <v>0</v>
      </c>
      <c r="S12" s="287"/>
      <c r="W12"/>
      <c r="X12" s="299"/>
      <c r="Y12" s="299"/>
      <c r="AC12" s="288"/>
      <c r="AD12" s="289"/>
      <c r="AE12" s="291"/>
      <c r="AF12" s="291"/>
      <c r="AG12" s="290"/>
      <c r="AH12" s="290"/>
      <c r="AI12" s="296"/>
      <c r="AJ12" s="305"/>
    </row>
    <row r="13" spans="1:36" x14ac:dyDescent="0.4">
      <c r="A13" s="4" t="s">
        <v>252</v>
      </c>
      <c r="D13" s="306"/>
      <c r="E13" s="306"/>
      <c r="F13" s="11">
        <f t="shared" si="0"/>
        <v>0</v>
      </c>
      <c r="G13" s="307"/>
      <c r="I13" s="308" t="e">
        <f>I4/$N$4*$E$13</f>
        <v>#DIV/0!</v>
      </c>
      <c r="J13" s="308" t="e">
        <f>J4/$N$4*$E$13</f>
        <v>#DIV/0!</v>
      </c>
      <c r="K13" s="308" t="e">
        <f>K4/$N$4*$E$13</f>
        <v>#DIV/0!</v>
      </c>
      <c r="L13" s="308" t="e">
        <f>L4/$N$4*$E$13</f>
        <v>#DIV/0!</v>
      </c>
      <c r="M13" s="308" t="e">
        <f>M4/$N$4*$E$13</f>
        <v>#DIV/0!</v>
      </c>
      <c r="N13" s="302" t="e">
        <f>SUM(I13:M13)-E13</f>
        <v>#DIV/0!</v>
      </c>
      <c r="O13" s="12"/>
      <c r="P13" s="281" t="s">
        <v>253</v>
      </c>
      <c r="R13" s="303">
        <f>NOTE_BS!C30</f>
        <v>0</v>
      </c>
      <c r="S13" s="287"/>
      <c r="X13" s="309"/>
      <c r="Y13" s="309"/>
      <c r="AC13" s="288"/>
      <c r="AD13" s="289"/>
      <c r="AE13" s="291"/>
      <c r="AF13" s="291"/>
      <c r="AG13" s="290"/>
      <c r="AH13" s="290"/>
      <c r="AI13" s="296"/>
      <c r="AJ13" s="305"/>
    </row>
    <row r="14" spans="1:36" ht="14.25" x14ac:dyDescent="0.45">
      <c r="A14" s="7" t="s">
        <v>254</v>
      </c>
      <c r="D14" s="310">
        <f>SUM(D8:D13)</f>
        <v>0</v>
      </c>
      <c r="E14" s="310">
        <f>SUM(E8:E13)</f>
        <v>0</v>
      </c>
      <c r="F14" s="310">
        <f>SUM(F8:F13)</f>
        <v>0</v>
      </c>
      <c r="G14" s="311"/>
      <c r="I14" s="312" t="e">
        <f t="shared" ref="I14:N14" si="1">SUM(I8:I13)</f>
        <v>#DIV/0!</v>
      </c>
      <c r="J14" s="312" t="e">
        <f t="shared" si="1"/>
        <v>#DIV/0!</v>
      </c>
      <c r="K14" s="312" t="e">
        <f t="shared" si="1"/>
        <v>#DIV/0!</v>
      </c>
      <c r="L14" s="312" t="e">
        <f t="shared" si="1"/>
        <v>#DIV/0!</v>
      </c>
      <c r="M14" s="312" t="e">
        <f t="shared" si="1"/>
        <v>#DIV/0!</v>
      </c>
      <c r="N14" s="312" t="e">
        <f t="shared" si="1"/>
        <v>#DIV/0!</v>
      </c>
      <c r="O14" s="12"/>
      <c r="P14" s="281" t="s">
        <v>183</v>
      </c>
      <c r="R14" s="287">
        <f>NOTE_BS!C31</f>
        <v>0</v>
      </c>
      <c r="S14" s="287"/>
      <c r="W14" s="313"/>
      <c r="X14" s="309"/>
      <c r="Y14" s="309"/>
      <c r="AC14" s="288"/>
      <c r="AD14" s="289"/>
      <c r="AE14" s="291"/>
      <c r="AF14" s="291"/>
      <c r="AG14" s="290"/>
      <c r="AH14" s="290"/>
      <c r="AI14" s="296"/>
      <c r="AJ14" s="305"/>
    </row>
    <row r="15" spans="1:36" x14ac:dyDescent="0.4">
      <c r="D15" s="13"/>
      <c r="E15" s="13"/>
      <c r="F15" s="13"/>
      <c r="O15" s="12"/>
      <c r="P15" s="281" t="s">
        <v>184</v>
      </c>
      <c r="R15" s="287">
        <f>NOTE_BS!C22</f>
        <v>0</v>
      </c>
      <c r="S15" s="287"/>
      <c r="AC15" s="288"/>
      <c r="AD15" s="289"/>
      <c r="AE15" s="291"/>
      <c r="AF15" s="291"/>
      <c r="AG15" s="290"/>
      <c r="AH15" s="290"/>
      <c r="AI15" s="296"/>
      <c r="AJ15" s="305"/>
    </row>
    <row r="16" spans="1:36" ht="14.25" thickBot="1" x14ac:dyDescent="0.45">
      <c r="D16" s="13"/>
      <c r="E16" s="13"/>
      <c r="F16" s="13"/>
      <c r="O16" s="12"/>
      <c r="P16" s="281" t="s">
        <v>185</v>
      </c>
      <c r="R16" s="287">
        <f>NOTE_BS!C23</f>
        <v>0</v>
      </c>
      <c r="S16" s="287"/>
      <c r="AC16" s="288"/>
      <c r="AD16" s="289"/>
      <c r="AE16" s="291"/>
      <c r="AF16" s="291"/>
      <c r="AG16" s="314"/>
      <c r="AH16" s="315"/>
      <c r="AI16" s="315"/>
      <c r="AJ16" s="316"/>
    </row>
    <row r="17" spans="1:36" x14ac:dyDescent="0.4">
      <c r="D17" s="13"/>
      <c r="E17" s="13"/>
      <c r="F17" s="13"/>
      <c r="O17" s="12"/>
      <c r="P17" s="281" t="s">
        <v>186</v>
      </c>
      <c r="R17" s="287">
        <f>NOTE_BS!C24</f>
        <v>0</v>
      </c>
      <c r="S17" s="287"/>
      <c r="T17" s="303"/>
      <c r="AC17" s="288"/>
      <c r="AD17" s="289"/>
      <c r="AE17" s="291"/>
      <c r="AF17" s="291"/>
      <c r="AG17" s="290"/>
      <c r="AH17" s="290"/>
      <c r="AI17" s="296"/>
      <c r="AJ17" s="305"/>
    </row>
    <row r="18" spans="1:36" ht="14.25" thickBot="1" x14ac:dyDescent="0.45">
      <c r="A18" s="7" t="s">
        <v>255</v>
      </c>
      <c r="D18" s="13"/>
      <c r="E18" s="13"/>
      <c r="F18" s="13"/>
      <c r="I18" s="302"/>
      <c r="J18" s="302"/>
      <c r="O18" s="12"/>
      <c r="P18" s="281" t="s">
        <v>187</v>
      </c>
      <c r="R18" s="287">
        <f>NOTE_BS!C36</f>
        <v>0</v>
      </c>
      <c r="S18" s="317"/>
      <c r="AC18" s="288"/>
      <c r="AD18" s="289"/>
      <c r="AE18" s="291"/>
      <c r="AF18" s="291"/>
      <c r="AG18" s="290"/>
      <c r="AH18" s="290"/>
      <c r="AI18" s="296"/>
      <c r="AJ18" s="305"/>
    </row>
    <row r="19" spans="1:36" ht="15" thickTop="1" thickBot="1" x14ac:dyDescent="0.5">
      <c r="A19" s="4" t="s">
        <v>256</v>
      </c>
      <c r="D19" s="11"/>
      <c r="E19" s="11"/>
      <c r="F19" s="11">
        <f t="shared" ref="F19:F24" si="2">SUM(D19:E19)</f>
        <v>0</v>
      </c>
      <c r="G19" s="318"/>
      <c r="I19" s="287">
        <f>-I4</f>
        <v>0</v>
      </c>
      <c r="J19" s="287">
        <f>-J4</f>
        <v>0</v>
      </c>
      <c r="K19" s="287">
        <f>-K4</f>
        <v>0</v>
      </c>
      <c r="L19" s="303"/>
      <c r="M19" s="302">
        <f t="shared" ref="M19:M24" si="3">E19-SUM(I19:L19)</f>
        <v>0</v>
      </c>
      <c r="N19" s="302">
        <f>SUM(I19:M19)-E19</f>
        <v>0</v>
      </c>
      <c r="O19" s="12"/>
      <c r="P19" s="281" t="s">
        <v>188</v>
      </c>
      <c r="R19" s="287">
        <f>NOTE_BS!C26</f>
        <v>0</v>
      </c>
      <c r="S19" s="317"/>
      <c r="T19" s="319"/>
      <c r="U19" s="320"/>
      <c r="V19" s="321"/>
      <c r="W19" s="322"/>
      <c r="X19" s="321"/>
      <c r="Y19" s="321"/>
      <c r="Z19" s="323"/>
      <c r="AA19" s="321"/>
      <c r="AC19" s="288"/>
      <c r="AD19" s="289"/>
      <c r="AE19" s="291"/>
      <c r="AF19" s="291"/>
      <c r="AG19" s="290"/>
      <c r="AH19" s="290"/>
      <c r="AI19" s="296"/>
      <c r="AJ19" s="305"/>
    </row>
    <row r="20" spans="1:36" ht="14.65" thickTop="1" x14ac:dyDescent="0.45">
      <c r="A20" s="4" t="s">
        <v>223</v>
      </c>
      <c r="D20" s="11"/>
      <c r="E20" s="11"/>
      <c r="F20" s="11">
        <f t="shared" si="2"/>
        <v>0</v>
      </c>
      <c r="G20" s="318"/>
      <c r="K20" s="301"/>
      <c r="L20" s="301">
        <f>-L4</f>
        <v>0</v>
      </c>
      <c r="M20" s="302">
        <f t="shared" si="3"/>
        <v>0</v>
      </c>
      <c r="N20" s="302">
        <f>SUM(I20:M20)-E20</f>
        <v>0</v>
      </c>
      <c r="O20" s="12"/>
      <c r="P20" s="281" t="s">
        <v>189</v>
      </c>
      <c r="R20" s="287">
        <f>NOTE_BS!C27</f>
        <v>0</v>
      </c>
      <c r="S20" s="324"/>
      <c r="T20" s="325"/>
      <c r="U20" s="326"/>
      <c r="V20" s="325"/>
      <c r="W20" s="325"/>
      <c r="X20" s="325"/>
      <c r="Y20" s="325"/>
      <c r="Z20" s="326"/>
      <c r="AA20" s="326"/>
      <c r="AC20" s="288"/>
      <c r="AD20" s="289"/>
      <c r="AE20" s="291"/>
      <c r="AF20" s="291"/>
      <c r="AG20" s="290"/>
      <c r="AH20" s="290"/>
      <c r="AI20" s="296"/>
      <c r="AJ20" s="305"/>
    </row>
    <row r="21" spans="1:36" ht="14.25" x14ac:dyDescent="0.45">
      <c r="A21" s="4" t="s">
        <v>241</v>
      </c>
      <c r="D21" s="11"/>
      <c r="E21" s="11"/>
      <c r="F21" s="11">
        <f t="shared" si="2"/>
        <v>0</v>
      </c>
      <c r="G21" s="318"/>
      <c r="K21" s="301"/>
      <c r="L21" s="301"/>
      <c r="M21" s="302">
        <f t="shared" si="3"/>
        <v>0</v>
      </c>
      <c r="N21" s="302">
        <f>SUM(I21:M21)-E21</f>
        <v>0</v>
      </c>
      <c r="O21" s="12"/>
      <c r="P21" s="281" t="s">
        <v>210</v>
      </c>
      <c r="R21" s="317">
        <f>NOTE_BS!C70</f>
        <v>0</v>
      </c>
      <c r="S21" s="303"/>
      <c r="T21" s="327"/>
      <c r="U21" s="325"/>
      <c r="V21" s="326"/>
      <c r="W21" s="325"/>
      <c r="X21" s="325"/>
      <c r="Y21" s="325"/>
      <c r="Z21" s="325"/>
      <c r="AA21" s="325"/>
      <c r="AB21" s="328"/>
      <c r="AC21" s="288"/>
      <c r="AD21" s="289"/>
      <c r="AE21" s="291"/>
      <c r="AF21" s="291"/>
      <c r="AG21" s="290"/>
      <c r="AH21" s="290"/>
      <c r="AI21" s="296"/>
      <c r="AJ21" s="305"/>
    </row>
    <row r="22" spans="1:36" ht="14.65" thickBot="1" x14ac:dyDescent="0.5">
      <c r="A22" s="4" t="s">
        <v>257</v>
      </c>
      <c r="D22" s="11"/>
      <c r="E22" s="11"/>
      <c r="F22" s="11">
        <f t="shared" si="2"/>
        <v>0</v>
      </c>
      <c r="G22" s="318"/>
      <c r="K22" s="301"/>
      <c r="L22" s="301"/>
      <c r="M22" s="302">
        <f t="shared" si="3"/>
        <v>0</v>
      </c>
      <c r="N22" s="302"/>
      <c r="O22" s="12"/>
      <c r="P22" s="281" t="s">
        <v>258</v>
      </c>
      <c r="R22" s="324">
        <f>NOTE_BS!C71</f>
        <v>0</v>
      </c>
      <c r="S22" s="312"/>
      <c r="T22" s="329"/>
      <c r="U22" s="325"/>
      <c r="V22" s="326"/>
      <c r="W22" s="325"/>
      <c r="X22" s="325"/>
      <c r="Y22" s="325"/>
      <c r="Z22" s="325"/>
      <c r="AA22" s="328"/>
      <c r="AC22" s="330"/>
      <c r="AD22" s="331"/>
      <c r="AE22" s="332"/>
      <c r="AF22" s="332"/>
      <c r="AG22" s="314"/>
      <c r="AH22" s="315"/>
      <c r="AI22" s="315"/>
      <c r="AJ22" s="316"/>
    </row>
    <row r="23" spans="1:36" ht="14.25" thickBot="1" x14ac:dyDescent="0.45">
      <c r="A23" s="4" t="s">
        <v>251</v>
      </c>
      <c r="D23" s="11"/>
      <c r="E23" s="11"/>
      <c r="F23" s="11">
        <f t="shared" si="2"/>
        <v>0</v>
      </c>
      <c r="G23" s="318"/>
      <c r="I23" s="301">
        <f>-I12</f>
        <v>0</v>
      </c>
      <c r="J23" s="301">
        <f>-J12</f>
        <v>0</v>
      </c>
      <c r="K23" s="301">
        <f t="shared" ref="K23:L23" si="4">-K12</f>
        <v>0</v>
      </c>
      <c r="L23" s="301">
        <f t="shared" si="4"/>
        <v>0</v>
      </c>
      <c r="M23" s="302">
        <f t="shared" si="3"/>
        <v>0</v>
      </c>
      <c r="N23" s="302"/>
      <c r="O23" s="12"/>
      <c r="R23" s="303"/>
      <c r="S23" s="333"/>
      <c r="T23" s="334"/>
      <c r="U23" s="335"/>
      <c r="V23" s="334"/>
      <c r="W23" s="335"/>
      <c r="X23" s="335"/>
      <c r="Y23" s="335"/>
      <c r="Z23" s="335"/>
      <c r="AA23" s="335"/>
    </row>
    <row r="24" spans="1:36" ht="14.25" thickBot="1" x14ac:dyDescent="0.45">
      <c r="A24" s="4" t="s">
        <v>259</v>
      </c>
      <c r="D24" s="306"/>
      <c r="E24" s="306"/>
      <c r="F24" s="306">
        <f t="shared" si="2"/>
        <v>0</v>
      </c>
      <c r="G24" s="336"/>
      <c r="I24" s="337"/>
      <c r="J24" s="337"/>
      <c r="K24" s="337"/>
      <c r="L24" s="337"/>
      <c r="M24" s="302">
        <f t="shared" si="3"/>
        <v>0</v>
      </c>
      <c r="N24" s="302">
        <f>SUM(I24:M24)-E24</f>
        <v>0</v>
      </c>
      <c r="O24" s="12"/>
      <c r="R24" s="338">
        <f>SUM(R3:R23)</f>
        <v>0</v>
      </c>
      <c r="S24" s="339"/>
    </row>
    <row r="25" spans="1:36" ht="14.25" thickTop="1" x14ac:dyDescent="0.4">
      <c r="A25" s="7" t="s">
        <v>260</v>
      </c>
      <c r="D25" s="310">
        <f>SUM(D19:D24)</f>
        <v>0</v>
      </c>
      <c r="E25" s="310">
        <f>SUM(E19:E24)</f>
        <v>0</v>
      </c>
      <c r="F25" s="310">
        <f>SUM(F19:F24)</f>
        <v>0</v>
      </c>
      <c r="G25" s="340"/>
      <c r="I25" s="287">
        <f t="shared" ref="I25:N25" si="5">SUM(I19:I24)</f>
        <v>0</v>
      </c>
      <c r="J25" s="287">
        <f t="shared" si="5"/>
        <v>0</v>
      </c>
      <c r="K25" s="287">
        <f t="shared" si="5"/>
        <v>0</v>
      </c>
      <c r="L25" s="287">
        <f t="shared" si="5"/>
        <v>0</v>
      </c>
      <c r="M25" s="341">
        <f t="shared" si="5"/>
        <v>0</v>
      </c>
      <c r="N25" s="298">
        <f t="shared" si="5"/>
        <v>0</v>
      </c>
      <c r="O25" s="12"/>
      <c r="R25" s="333">
        <f>R24+F27</f>
        <v>0</v>
      </c>
    </row>
    <row r="26" spans="1:36" x14ac:dyDescent="0.4">
      <c r="E26" s="13"/>
      <c r="F26" s="13"/>
      <c r="O26" s="12"/>
      <c r="T26" s="281" t="s">
        <v>261</v>
      </c>
      <c r="U26" s="342">
        <f>U23+NOTE_BS!C96</f>
        <v>0</v>
      </c>
    </row>
    <row r="27" spans="1:36" x14ac:dyDescent="0.4">
      <c r="A27" s="7" t="s">
        <v>262</v>
      </c>
      <c r="D27" s="310">
        <f>+D14-D25</f>
        <v>0</v>
      </c>
      <c r="E27" s="310">
        <f>+E14+E25</f>
        <v>0</v>
      </c>
      <c r="F27" s="310">
        <f>+F14+F25</f>
        <v>0</v>
      </c>
      <c r="G27" s="311"/>
      <c r="I27" s="343" t="e">
        <f>I14+I25</f>
        <v>#DIV/0!</v>
      </c>
      <c r="J27" s="343" t="e">
        <f t="shared" ref="J27:M27" si="6">J14+J25</f>
        <v>#DIV/0!</v>
      </c>
      <c r="K27" s="343" t="e">
        <f t="shared" si="6"/>
        <v>#DIV/0!</v>
      </c>
      <c r="L27" s="343" t="e">
        <f t="shared" si="6"/>
        <v>#DIV/0!</v>
      </c>
      <c r="M27" s="343" t="e">
        <f t="shared" si="6"/>
        <v>#DIV/0!</v>
      </c>
      <c r="N27" s="343" t="e">
        <f>SUM(I27:M27)</f>
        <v>#DIV/0!</v>
      </c>
      <c r="O27" s="344"/>
      <c r="R27" s="339"/>
    </row>
    <row r="28" spans="1:36" x14ac:dyDescent="0.4">
      <c r="A28" s="7"/>
      <c r="E28" s="310"/>
      <c r="F28" s="345"/>
      <c r="G28" s="311"/>
      <c r="O28" s="344"/>
    </row>
    <row r="29" spans="1:36" x14ac:dyDescent="0.4">
      <c r="A29" s="7"/>
      <c r="D29" s="13"/>
      <c r="E29" s="310"/>
      <c r="F29" s="345"/>
      <c r="G29" s="311"/>
      <c r="O29" s="12"/>
    </row>
    <row r="30" spans="1:36" x14ac:dyDescent="0.4">
      <c r="A30" s="7" t="s">
        <v>318</v>
      </c>
      <c r="E30" s="310" t="s">
        <v>60</v>
      </c>
      <c r="F30" s="346" t="s">
        <v>61</v>
      </c>
      <c r="G30" s="347"/>
      <c r="O30" s="12"/>
    </row>
    <row r="31" spans="1:36" x14ac:dyDescent="0.4">
      <c r="A31" s="7" t="s">
        <v>263</v>
      </c>
      <c r="E31" s="13">
        <f>'Balance Sheet.'!C35</f>
        <v>0</v>
      </c>
      <c r="F31" s="30" t="e">
        <f>E31/E27</f>
        <v>#DIV/0!</v>
      </c>
      <c r="G31" s="348"/>
      <c r="H31" s="339"/>
      <c r="I31" s="339"/>
      <c r="J31" s="339"/>
      <c r="K31" s="339"/>
      <c r="L31" s="339"/>
      <c r="M31" s="339"/>
      <c r="N31" s="339"/>
      <c r="O31" s="12"/>
    </row>
    <row r="32" spans="1:36" x14ac:dyDescent="0.4">
      <c r="A32" s="7" t="s">
        <v>240</v>
      </c>
      <c r="E32" s="13">
        <f>F27</f>
        <v>0</v>
      </c>
      <c r="F32" s="30" t="e">
        <f>E32/E27</f>
        <v>#DIV/0!</v>
      </c>
      <c r="G32" s="348"/>
      <c r="H32" s="339"/>
      <c r="I32" s="339"/>
      <c r="J32" s="339"/>
      <c r="K32" s="339"/>
      <c r="L32" s="339"/>
      <c r="M32" s="339"/>
      <c r="N32" s="339"/>
      <c r="O32" s="12"/>
    </row>
    <row r="33" spans="1:15" ht="14.25" thickBot="1" x14ac:dyDescent="0.45">
      <c r="A33" s="7"/>
      <c r="D33" s="345"/>
      <c r="E33" s="349">
        <f>SUM(E31:E32)</f>
        <v>0</v>
      </c>
      <c r="F33" s="345"/>
      <c r="G33" s="311"/>
      <c r="O33" s="12"/>
    </row>
    <row r="34" spans="1:15" ht="14.25" thickTop="1" x14ac:dyDescent="0.4">
      <c r="E34" s="13">
        <f>E33-E27</f>
        <v>0</v>
      </c>
      <c r="F34" s="13"/>
      <c r="O34" s="12"/>
    </row>
    <row r="35" spans="1:15" x14ac:dyDescent="0.4">
      <c r="A35" s="7" t="s">
        <v>264</v>
      </c>
      <c r="D35" s="345">
        <v>0</v>
      </c>
      <c r="E35" s="350"/>
      <c r="F35" s="345"/>
      <c r="G35" s="311"/>
      <c r="I35" s="351" t="e">
        <f>'[3]Per Location'!B3</f>
        <v>#REF!</v>
      </c>
      <c r="J35" s="351" t="e">
        <f>'[3]Per Location'!B2</f>
        <v>#REF!</v>
      </c>
      <c r="K35" s="351" t="e">
        <f>'[3]Per Location'!B5</f>
        <v>#REF!</v>
      </c>
      <c r="L35" s="351" t="e">
        <f>'[3]Per Location'!B4</f>
        <v>#REF!</v>
      </c>
      <c r="M35" s="304" t="e">
        <f>E35-SUM(I35:L35)</f>
        <v>#REF!</v>
      </c>
      <c r="N35" s="352" t="e">
        <f>E27-N27</f>
        <v>#DIV/0!</v>
      </c>
    </row>
    <row r="37" spans="1:15" x14ac:dyDescent="0.4">
      <c r="E37" s="353" t="e">
        <f>E33/(E19+E20+E21+E24)</f>
        <v>#DIV/0!</v>
      </c>
      <c r="I37" s="354" t="e">
        <f t="shared" ref="I37:M37" si="7">I27/I4</f>
        <v>#DIV/0!</v>
      </c>
      <c r="J37" s="354" t="e">
        <f t="shared" si="7"/>
        <v>#DIV/0!</v>
      </c>
      <c r="K37" s="354" t="e">
        <f t="shared" si="7"/>
        <v>#DIV/0!</v>
      </c>
      <c r="L37" s="354" t="e">
        <f t="shared" si="7"/>
        <v>#DIV/0!</v>
      </c>
      <c r="M37" s="354" t="e">
        <f t="shared" si="7"/>
        <v>#DIV/0!</v>
      </c>
      <c r="N37" s="302" t="e">
        <f>N27-E27</f>
        <v>#DIV/0!</v>
      </c>
    </row>
    <row r="40" spans="1:15" x14ac:dyDescent="0.4">
      <c r="N40" s="304">
        <f>E8-Y14</f>
        <v>0</v>
      </c>
    </row>
    <row r="41" spans="1:15" x14ac:dyDescent="0.4">
      <c r="E41" s="13"/>
    </row>
  </sheetData>
  <mergeCells count="2">
    <mergeCell ref="AG16:AJ16"/>
    <mergeCell ref="AG22:AJ22"/>
  </mergeCells>
  <conditionalFormatting sqref="I27:N27">
    <cfRule type="cellIs" dxfId="0" priority="1" operator="lessThan">
      <formula>0</formula>
    </cfRule>
  </conditionalFormatting>
  <pageMargins left="0.7" right="0.7" top="0.75" bottom="0.75" header="0.3" footer="0.3"/>
  <pageSetup paperSize="9" scale="41" orientation="portrait" r:id="rId1"/>
  <colBreaks count="2" manualBreakCount="2">
    <brk id="6" max="1048575" man="1"/>
    <brk id="14" max="33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5375-F75F-4EF7-BCFF-E53FC5471C06}">
  <dimension ref="A1:U89"/>
  <sheetViews>
    <sheetView view="pageBreakPreview" topLeftCell="B1" zoomScale="80" zoomScaleNormal="100" zoomScaleSheetLayoutView="80" workbookViewId="0">
      <selection activeCell="D30" sqref="D30"/>
    </sheetView>
  </sheetViews>
  <sheetFormatPr defaultColWidth="9" defaultRowHeight="14.25" x14ac:dyDescent="0.45"/>
  <cols>
    <col min="1" max="1" width="3.265625" style="203" customWidth="1"/>
    <col min="2" max="3" width="32" style="206" customWidth="1"/>
    <col min="4" max="5" width="14.73046875" style="206" bestFit="1" customWidth="1"/>
    <col min="6" max="6" width="13.73046875" style="206" bestFit="1" customWidth="1"/>
    <col min="7" max="7" width="0.73046875" style="373" customWidth="1"/>
    <col min="8" max="8" width="14.73046875" style="206" customWidth="1"/>
    <col min="9" max="9" width="14" style="206" customWidth="1"/>
    <col min="10" max="11" width="12.265625" style="206" customWidth="1"/>
    <col min="12" max="12" width="16.265625" style="206" customWidth="1"/>
    <col min="13" max="13" width="7" style="206" bestFit="1" customWidth="1"/>
    <col min="14" max="14" width="9.265625" style="206" customWidth="1"/>
    <col min="15" max="15" width="9" style="206"/>
    <col min="16" max="16" width="14.73046875" style="206" bestFit="1" customWidth="1"/>
    <col min="17" max="17" width="13.73046875" style="206" bestFit="1" customWidth="1"/>
    <col min="18" max="18" width="9" style="206"/>
    <col min="19" max="19" width="11" style="206" bestFit="1" customWidth="1"/>
    <col min="20" max="20" width="9" style="206"/>
    <col min="21" max="21" width="12" style="206" bestFit="1" customWidth="1"/>
    <col min="22" max="16384" width="9" style="206"/>
  </cols>
  <sheetData>
    <row r="1" spans="1:16" ht="14.65" thickBot="1" x14ac:dyDescent="0.5">
      <c r="B1" s="204" t="s">
        <v>265</v>
      </c>
      <c r="C1" s="204"/>
      <c r="D1" s="205"/>
      <c r="E1" s="205"/>
      <c r="F1" s="205"/>
      <c r="G1" s="355"/>
      <c r="P1" s="207">
        <v>2021</v>
      </c>
    </row>
    <row r="2" spans="1:16" x14ac:dyDescent="0.45">
      <c r="B2" s="103"/>
      <c r="C2" s="103"/>
      <c r="D2" s="208"/>
      <c r="E2" s="208"/>
      <c r="F2" s="209"/>
      <c r="G2" s="356"/>
    </row>
    <row r="3" spans="1:16" x14ac:dyDescent="0.45">
      <c r="B3" s="209"/>
      <c r="C3" s="209"/>
      <c r="D3" s="208">
        <f>Cover!C17</f>
        <v>44985</v>
      </c>
      <c r="E3" s="208">
        <f>'Balance Sheet.'!D7</f>
        <v>44957</v>
      </c>
      <c r="F3" s="210" t="s">
        <v>58</v>
      </c>
      <c r="G3" s="357"/>
      <c r="H3" s="209" t="s">
        <v>320</v>
      </c>
      <c r="I3" s="209" t="s">
        <v>321</v>
      </c>
      <c r="J3" s="209" t="s">
        <v>322</v>
      </c>
      <c r="K3" s="209" t="s">
        <v>323</v>
      </c>
      <c r="L3" s="209" t="s">
        <v>324</v>
      </c>
      <c r="M3" s="211" t="s">
        <v>266</v>
      </c>
      <c r="N3" s="211"/>
      <c r="P3" s="211" t="s">
        <v>59</v>
      </c>
    </row>
    <row r="4" spans="1:16" x14ac:dyDescent="0.45">
      <c r="B4" s="209" t="s">
        <v>267</v>
      </c>
      <c r="C4" s="209" t="s">
        <v>268</v>
      </c>
      <c r="D4" s="212" t="s">
        <v>100</v>
      </c>
      <c r="E4" s="212" t="s">
        <v>100</v>
      </c>
      <c r="F4" s="213"/>
      <c r="G4" s="358"/>
      <c r="H4" s="213"/>
      <c r="I4" s="213"/>
      <c r="J4" s="213"/>
      <c r="K4" s="213"/>
      <c r="L4" s="213"/>
      <c r="M4" s="359">
        <f>DAY(D3)</f>
        <v>28</v>
      </c>
      <c r="N4" s="209"/>
      <c r="P4" s="212" t="s">
        <v>100</v>
      </c>
    </row>
    <row r="5" spans="1:16" x14ac:dyDescent="0.45">
      <c r="A5" s="203">
        <v>1</v>
      </c>
      <c r="B5" s="210" t="s">
        <v>269</v>
      </c>
      <c r="C5" s="210"/>
      <c r="D5" s="210"/>
      <c r="E5" s="210"/>
      <c r="F5" s="210"/>
      <c r="G5" s="357"/>
    </row>
    <row r="6" spans="1:16" x14ac:dyDescent="0.45">
      <c r="B6" s="102" t="s">
        <v>270</v>
      </c>
      <c r="C6" s="360" t="s">
        <v>271</v>
      </c>
      <c r="D6" s="361">
        <f>Gross_Profit/Sales</f>
        <v>-6.9018182925073279E-2</v>
      </c>
      <c r="E6" s="361">
        <v>0.16714928378808361</v>
      </c>
      <c r="F6" s="362">
        <f>D6-E6</f>
        <v>-0.23616746671315689</v>
      </c>
      <c r="G6" s="363"/>
      <c r="H6" s="364">
        <v>6.8332637352754036E-2</v>
      </c>
      <c r="I6" s="365">
        <v>5.78844274107779E-2</v>
      </c>
      <c r="J6" s="364">
        <v>3.7435719064732607E-2</v>
      </c>
      <c r="K6" s="364">
        <v>5.1113510481922163E-2</v>
      </c>
      <c r="L6" s="364">
        <v>0.18449292958304367</v>
      </c>
      <c r="M6" s="365">
        <f>SUM(H6:L6)-D6</f>
        <v>0.46827740681830371</v>
      </c>
      <c r="N6" s="362"/>
      <c r="P6" s="214">
        <v>0</v>
      </c>
    </row>
    <row r="7" spans="1:16" x14ac:dyDescent="0.45">
      <c r="B7" s="102" t="s">
        <v>272</v>
      </c>
      <c r="C7" s="360" t="s">
        <v>273</v>
      </c>
      <c r="D7" s="362">
        <f>Sales/Total_Assets</f>
        <v>0.26771624243840647</v>
      </c>
      <c r="E7" s="362">
        <v>0.19679467445433962</v>
      </c>
      <c r="F7" s="362">
        <f>D7-E7</f>
        <v>7.0921567984066847E-2</v>
      </c>
      <c r="G7" s="363"/>
      <c r="H7" s="362">
        <v>0.22599662242564172</v>
      </c>
      <c r="I7" s="362">
        <v>0.15053900526500086</v>
      </c>
      <c r="J7" s="362">
        <v>0.17363456203201896</v>
      </c>
      <c r="K7" s="362">
        <v>-0.60638225532550882</v>
      </c>
      <c r="L7" s="362">
        <v>0.39867715467092923</v>
      </c>
      <c r="M7" s="362">
        <f>SUM(H7:L7)-D7</f>
        <v>7.4748846629675458E-2</v>
      </c>
      <c r="N7" s="362"/>
      <c r="P7" s="214">
        <v>118692479</v>
      </c>
    </row>
    <row r="8" spans="1:16" x14ac:dyDescent="0.45">
      <c r="B8" s="102" t="s">
        <v>274</v>
      </c>
      <c r="C8" s="360" t="s">
        <v>275</v>
      </c>
      <c r="D8" s="362">
        <f>EBIT/(Total_Assets-Current_Liablities)</f>
        <v>-10.711548581499375</v>
      </c>
      <c r="E8" s="362">
        <v>6.4024265514758816E-2</v>
      </c>
      <c r="F8" s="362">
        <f>D8-E8</f>
        <v>-10.775572847014134</v>
      </c>
      <c r="G8" s="363"/>
      <c r="H8" s="362">
        <v>-3.9806450064421621E-2</v>
      </c>
      <c r="I8" s="362">
        <v>8.1066289406253791E-3</v>
      </c>
      <c r="J8" s="362">
        <v>1.3469502385793941E-2</v>
      </c>
      <c r="K8" s="362">
        <v>2.6960471080106443E-3</v>
      </c>
      <c r="L8" s="362">
        <v>7.6061156017392315E-2</v>
      </c>
      <c r="M8" s="362">
        <f>SUM(H8:L8)-D8</f>
        <v>10.772075465886775</v>
      </c>
      <c r="N8" s="362"/>
      <c r="P8" s="214">
        <v>16256957538.910002</v>
      </c>
    </row>
    <row r="9" spans="1:16" x14ac:dyDescent="0.45">
      <c r="B9" s="210"/>
      <c r="C9" s="366"/>
      <c r="D9" s="216"/>
      <c r="E9" s="216"/>
      <c r="F9" s="367"/>
      <c r="G9" s="368"/>
      <c r="M9" s="214"/>
      <c r="N9" s="214"/>
      <c r="P9" s="214">
        <v>305312655.55000001</v>
      </c>
    </row>
    <row r="10" spans="1:16" x14ac:dyDescent="0.45">
      <c r="B10" s="210"/>
      <c r="C10" s="366"/>
      <c r="D10" s="216"/>
      <c r="E10" s="216"/>
      <c r="F10" s="367"/>
      <c r="G10" s="368"/>
      <c r="H10" s="219"/>
      <c r="I10" s="219"/>
      <c r="J10" s="219"/>
      <c r="K10" s="219"/>
      <c r="L10" s="219"/>
      <c r="M10" s="216"/>
      <c r="N10" s="216"/>
      <c r="P10" s="216"/>
    </row>
    <row r="11" spans="1:16" x14ac:dyDescent="0.45">
      <c r="B11" s="210"/>
      <c r="C11" s="366"/>
      <c r="D11" s="216"/>
      <c r="E11" s="216"/>
      <c r="F11" s="367"/>
      <c r="G11" s="368"/>
      <c r="M11" s="216"/>
      <c r="N11" s="216"/>
      <c r="P11" s="216"/>
    </row>
    <row r="12" spans="1:16" x14ac:dyDescent="0.45">
      <c r="A12" s="203">
        <v>2</v>
      </c>
      <c r="B12" s="210" t="s">
        <v>276</v>
      </c>
      <c r="C12" s="366"/>
      <c r="D12" s="216"/>
      <c r="E12" s="216"/>
      <c r="F12" s="367"/>
      <c r="G12" s="368"/>
      <c r="M12" s="214"/>
      <c r="N12" s="214"/>
      <c r="P12" s="214">
        <v>32859891666.560001</v>
      </c>
    </row>
    <row r="13" spans="1:16" x14ac:dyDescent="0.45">
      <c r="B13" s="206" t="s">
        <v>277</v>
      </c>
      <c r="C13" s="369" t="s">
        <v>278</v>
      </c>
      <c r="D13" s="362">
        <f>Total_Liablities/Total_Assets</f>
        <v>1.1670916840116308</v>
      </c>
      <c r="E13" s="362">
        <v>0.87473779678076591</v>
      </c>
      <c r="F13" s="370">
        <f>D13-E13</f>
        <v>0.29235388723086486</v>
      </c>
      <c r="G13" s="371"/>
      <c r="H13" s="362">
        <v>0.81748275543731952</v>
      </c>
      <c r="I13" s="362">
        <v>0.73117974061623037</v>
      </c>
      <c r="J13" s="362">
        <v>0.83174844414535154</v>
      </c>
      <c r="K13" s="362">
        <v>1.4814383068718804</v>
      </c>
      <c r="L13" s="362">
        <v>0.59281873033758814</v>
      </c>
      <c r="M13" s="362">
        <f>SUM(H13:L13)-D13</f>
        <v>3.2875762933967394</v>
      </c>
      <c r="N13" s="362"/>
      <c r="P13" s="214">
        <v>1436851193.95</v>
      </c>
    </row>
    <row r="14" spans="1:16" x14ac:dyDescent="0.45">
      <c r="B14" s="206" t="s">
        <v>279</v>
      </c>
      <c r="C14" s="360" t="s">
        <v>280</v>
      </c>
      <c r="D14" s="362">
        <f>EBIT/Interest_Expense</f>
        <v>-3.1677990880215892</v>
      </c>
      <c r="E14" s="362">
        <v>2.0212318475518343</v>
      </c>
      <c r="F14" s="370">
        <f>D14-E14</f>
        <v>-5.1890309355734239</v>
      </c>
      <c r="G14" s="371"/>
      <c r="H14" s="362">
        <v>-0.81115171827919019</v>
      </c>
      <c r="I14" s="362">
        <v>43.370097907760766</v>
      </c>
      <c r="J14" s="362">
        <v>32.10435053913065</v>
      </c>
      <c r="K14" s="362">
        <v>6.8690606112527933E-2</v>
      </c>
      <c r="L14" s="362">
        <v>17.130205571744053</v>
      </c>
      <c r="M14" s="362">
        <f>SUM(H14:L14)-D14</f>
        <v>95.029991994490402</v>
      </c>
      <c r="N14" s="362"/>
      <c r="P14" s="214">
        <v>495620639.38</v>
      </c>
    </row>
    <row r="15" spans="1:16" x14ac:dyDescent="0.45">
      <c r="C15" s="369"/>
      <c r="D15" s="214"/>
      <c r="E15" s="214"/>
      <c r="F15" s="362"/>
      <c r="G15" s="363"/>
      <c r="H15" s="215"/>
      <c r="I15" s="215"/>
      <c r="J15" s="215"/>
      <c r="K15" s="215"/>
      <c r="L15" s="215"/>
      <c r="M15" s="214"/>
      <c r="N15" s="214"/>
      <c r="P15" s="214">
        <v>707423912.21000004</v>
      </c>
    </row>
    <row r="16" spans="1:16" x14ac:dyDescent="0.45">
      <c r="C16" s="369"/>
      <c r="D16" s="214"/>
      <c r="E16" s="214"/>
      <c r="F16" s="362"/>
      <c r="G16" s="363"/>
      <c r="H16" s="215"/>
      <c r="I16" s="215"/>
      <c r="J16" s="215"/>
      <c r="K16" s="215"/>
      <c r="L16" s="215"/>
      <c r="M16" s="214"/>
      <c r="N16" s="214"/>
      <c r="P16" s="214"/>
    </row>
    <row r="17" spans="1:21" x14ac:dyDescent="0.45">
      <c r="C17" s="369"/>
      <c r="F17" s="372"/>
      <c r="M17" s="214"/>
      <c r="N17" s="214"/>
      <c r="P17" s="214">
        <v>195004650</v>
      </c>
    </row>
    <row r="18" spans="1:21" x14ac:dyDescent="0.45">
      <c r="A18" s="203">
        <v>3</v>
      </c>
      <c r="B18" s="210" t="s">
        <v>281</v>
      </c>
      <c r="C18" s="366"/>
      <c r="D18" s="214"/>
      <c r="E18" s="214"/>
      <c r="F18" s="372"/>
      <c r="M18" s="216"/>
      <c r="N18" s="216"/>
      <c r="P18" s="216"/>
    </row>
    <row r="19" spans="1:21" ht="28.5" x14ac:dyDescent="0.45">
      <c r="B19" s="374" t="s">
        <v>282</v>
      </c>
      <c r="C19" s="375" t="s">
        <v>283</v>
      </c>
      <c r="D19" s="362">
        <f>(Drivers_Receivables/Sales)*$M$4</f>
        <v>1.4232875882641869</v>
      </c>
      <c r="E19" s="362">
        <v>2.9667755104598359</v>
      </c>
      <c r="F19" s="370">
        <f>D19-E19</f>
        <v>-1.543487922195649</v>
      </c>
      <c r="G19" s="371"/>
      <c r="H19" s="362">
        <v>3.5907845071262225</v>
      </c>
      <c r="I19" s="362">
        <v>5.6026000726525247</v>
      </c>
      <c r="J19" s="362">
        <v>-4.7561334270682556</v>
      </c>
      <c r="K19" s="362">
        <v>-3.8271809782979922</v>
      </c>
      <c r="L19" s="362">
        <v>2.4776675719299326</v>
      </c>
      <c r="M19" s="362">
        <f>SUM(H19:L19)-D19</f>
        <v>1.6644501580782456</v>
      </c>
      <c r="N19" s="362"/>
      <c r="P19" s="216"/>
    </row>
    <row r="20" spans="1:21" x14ac:dyDescent="0.45">
      <c r="A20" s="206"/>
      <c r="B20" s="374" t="s">
        <v>284</v>
      </c>
      <c r="C20" s="375" t="s">
        <v>285</v>
      </c>
      <c r="D20" s="362">
        <f>(Advance_Payment/Cost_of_Goods_Sold)*$M$4</f>
        <v>24.234333803178593</v>
      </c>
      <c r="E20" s="362">
        <v>49.00194747117343</v>
      </c>
      <c r="F20" s="370">
        <f t="shared" ref="F20:F24" si="0">D20-E20</f>
        <v>-24.767613667994837</v>
      </c>
      <c r="G20" s="371"/>
      <c r="H20" s="362">
        <v>17.389644520418969</v>
      </c>
      <c r="I20" s="362">
        <v>0</v>
      </c>
      <c r="J20" s="362">
        <v>0</v>
      </c>
      <c r="K20" s="362">
        <v>1.0646945734200663</v>
      </c>
      <c r="L20" s="362">
        <v>32.611937490065358</v>
      </c>
      <c r="M20" s="362">
        <f>SUM(H20:L20)-D20</f>
        <v>26.831942780725804</v>
      </c>
      <c r="N20" s="362"/>
      <c r="P20" s="214">
        <v>32486006902.529999</v>
      </c>
    </row>
    <row r="21" spans="1:21" ht="28.5" x14ac:dyDescent="0.45">
      <c r="B21" s="206" t="s">
        <v>286</v>
      </c>
      <c r="C21" s="375" t="s">
        <v>287</v>
      </c>
      <c r="D21" s="362">
        <f>(Outstanding_Receipts/Sales)*$M$4</f>
        <v>8.3476174023198735E-2</v>
      </c>
      <c r="E21" s="362">
        <v>8.9670619396176848E-2</v>
      </c>
      <c r="F21" s="370">
        <f>D21-E21</f>
        <v>-6.1944453729781135E-3</v>
      </c>
      <c r="G21" s="371"/>
      <c r="H21" s="362">
        <v>1.3043773542778192E-6</v>
      </c>
      <c r="I21" s="362">
        <v>0</v>
      </c>
      <c r="J21" s="362">
        <v>-4.8185460490923508E-3</v>
      </c>
      <c r="K21" s="362">
        <v>4.4969428582826623E-3</v>
      </c>
      <c r="L21" s="362">
        <v>0</v>
      </c>
      <c r="M21" s="214"/>
      <c r="N21" s="214"/>
      <c r="P21" s="214">
        <v>1381358008.8200002</v>
      </c>
    </row>
    <row r="22" spans="1:21" ht="42.75" x14ac:dyDescent="0.45">
      <c r="B22" s="374" t="s">
        <v>288</v>
      </c>
      <c r="C22" s="369" t="s">
        <v>289</v>
      </c>
      <c r="D22" s="362">
        <f>(Supplier_Payable/Cost_of_Goods_Sold)*$M$4</f>
        <v>-4.268204204531564</v>
      </c>
      <c r="E22" s="362">
        <v>-0.51127208265839541</v>
      </c>
      <c r="F22" s="370">
        <f t="shared" si="0"/>
        <v>-3.7569321218731684</v>
      </c>
      <c r="G22" s="371"/>
      <c r="H22" s="362">
        <v>-32.663770400006072</v>
      </c>
      <c r="I22" s="362">
        <v>-21.254644347439324</v>
      </c>
      <c r="J22" s="362">
        <v>-29.523976505068237</v>
      </c>
      <c r="K22" s="362">
        <v>4.8498307279369568</v>
      </c>
      <c r="L22" s="362">
        <v>-6.2355196456572708</v>
      </c>
      <c r="M22" s="362">
        <f>SUM(H22:L22)-D22</f>
        <v>-80.559875965702389</v>
      </c>
      <c r="N22" s="362"/>
      <c r="P22" s="214">
        <v>477741649.72000003</v>
      </c>
    </row>
    <row r="23" spans="1:21" ht="28.5" x14ac:dyDescent="0.45">
      <c r="B23" s="206" t="s">
        <v>290</v>
      </c>
      <c r="C23" s="375" t="s">
        <v>291</v>
      </c>
      <c r="D23" s="376">
        <f>(Outstanding_Payments/Cost_of_Goods_Sold)*$M$4</f>
        <v>-3.1700229987417753E-3</v>
      </c>
      <c r="E23" s="376">
        <v>-4.940986210760793E-3</v>
      </c>
      <c r="F23" s="370">
        <f t="shared" si="0"/>
        <v>1.7709632120190178E-3</v>
      </c>
      <c r="H23" s="362">
        <v>3.3888118362957811E-3</v>
      </c>
      <c r="I23" s="362">
        <v>0</v>
      </c>
      <c r="J23" s="362">
        <v>0</v>
      </c>
      <c r="K23" s="362">
        <v>0</v>
      </c>
      <c r="L23" s="362">
        <v>0</v>
      </c>
      <c r="M23" s="362">
        <f>SUM(H23:L23)-D23</f>
        <v>6.558834835037556E-3</v>
      </c>
      <c r="N23" s="362"/>
      <c r="P23" s="214">
        <v>681736747.02999997</v>
      </c>
    </row>
    <row r="24" spans="1:21" x14ac:dyDescent="0.45">
      <c r="B24" s="206" t="s">
        <v>292</v>
      </c>
      <c r="C24" s="369" t="s">
        <v>293</v>
      </c>
      <c r="D24" s="362">
        <f>Sales/Average_Total_Assets</f>
        <v>0.23402849872095902</v>
      </c>
      <c r="E24" s="362">
        <v>0.19679467445433962</v>
      </c>
      <c r="F24" s="370">
        <f t="shared" si="0"/>
        <v>3.7233824266619392E-2</v>
      </c>
      <c r="G24" s="371"/>
      <c r="H24" s="362">
        <v>0.21627737436960748</v>
      </c>
      <c r="I24" s="362">
        <v>0.15725813350114101</v>
      </c>
      <c r="J24" s="362">
        <v>0.17864026668983693</v>
      </c>
      <c r="K24" s="362">
        <v>-0.60638225532550882</v>
      </c>
      <c r="L24" s="362">
        <v>0.39867715467092923</v>
      </c>
      <c r="M24" s="362">
        <f>SUM(H24:L24)-D24</f>
        <v>0.11044217518504681</v>
      </c>
      <c r="N24" s="362"/>
      <c r="P24" s="214">
        <v>314286859.44999999</v>
      </c>
    </row>
    <row r="25" spans="1:21" ht="28.5" x14ac:dyDescent="0.45">
      <c r="B25" s="206" t="s">
        <v>294</v>
      </c>
      <c r="C25" s="375" t="s">
        <v>295</v>
      </c>
      <c r="D25" s="362">
        <f>[2]CCC!C33</f>
        <v>-359.26954357448489</v>
      </c>
      <c r="E25" s="362">
        <v>119.08240064372222</v>
      </c>
      <c r="F25" s="370">
        <f>D25-E25</f>
        <v>-478.35194421820711</v>
      </c>
      <c r="G25" s="371"/>
      <c r="H25" s="362">
        <v>70.994397075386715</v>
      </c>
      <c r="I25" s="362">
        <v>10.749941272817289</v>
      </c>
      <c r="J25" s="362">
        <v>-30.30578992843413</v>
      </c>
      <c r="K25" s="362">
        <v>32.135153407312927</v>
      </c>
      <c r="L25" s="362">
        <v>41.726572897405376</v>
      </c>
      <c r="M25" s="362">
        <f>SUM(H25:L25)-D25</f>
        <v>484.56981829897308</v>
      </c>
      <c r="N25" s="362"/>
      <c r="P25" s="214">
        <v>192188394</v>
      </c>
    </row>
    <row r="26" spans="1:21" x14ac:dyDescent="0.45">
      <c r="D26" s="214"/>
      <c r="E26" s="214"/>
      <c r="F26" s="370">
        <f>D26-E26</f>
        <v>0</v>
      </c>
      <c r="G26" s="371"/>
      <c r="H26" s="215"/>
      <c r="I26" s="215"/>
      <c r="J26" s="215"/>
      <c r="K26" s="215"/>
      <c r="L26" s="215"/>
      <c r="M26" s="214"/>
      <c r="N26" s="214"/>
      <c r="P26" s="214">
        <v>308971857</v>
      </c>
    </row>
    <row r="27" spans="1:21" x14ac:dyDescent="0.45">
      <c r="C27" s="369"/>
      <c r="F27" s="372"/>
      <c r="M27" s="214"/>
      <c r="N27" s="214"/>
      <c r="P27" s="214"/>
    </row>
    <row r="28" spans="1:21" x14ac:dyDescent="0.45">
      <c r="A28" s="203">
        <v>4</v>
      </c>
      <c r="B28" s="210" t="s">
        <v>296</v>
      </c>
      <c r="C28" s="366"/>
      <c r="F28" s="372"/>
      <c r="M28" s="214"/>
      <c r="N28" s="214"/>
      <c r="P28" s="214" t="e">
        <f>P18+P23+#REF!</f>
        <v>#REF!</v>
      </c>
    </row>
    <row r="29" spans="1:21" x14ac:dyDescent="0.45">
      <c r="B29" s="102" t="s">
        <v>297</v>
      </c>
      <c r="C29" s="375" t="s">
        <v>298</v>
      </c>
      <c r="D29" s="362">
        <f>Current_Asset/Current_Liablities</f>
        <v>0.87325626737609774</v>
      </c>
      <c r="E29" s="362">
        <v>1.2328156878315597</v>
      </c>
      <c r="F29" s="362">
        <f>D29-E29</f>
        <v>-0.35955942045546196</v>
      </c>
      <c r="G29" s="363"/>
      <c r="H29" s="362">
        <v>1.0171278724436315</v>
      </c>
      <c r="I29" s="362">
        <v>1.367652773252731</v>
      </c>
      <c r="J29" s="362">
        <v>1.2022865892193311</v>
      </c>
      <c r="K29" s="362">
        <v>0.67501967200479795</v>
      </c>
      <c r="L29" s="362">
        <v>4.8159744310524131</v>
      </c>
      <c r="M29" s="362">
        <f>SUM(H29:L29)-D29</f>
        <v>8.204805070596807</v>
      </c>
      <c r="N29" s="362"/>
      <c r="P29" s="214"/>
    </row>
    <row r="30" spans="1:21" ht="28.5" x14ac:dyDescent="0.45">
      <c r="A30" s="206"/>
      <c r="B30" s="206" t="s">
        <v>299</v>
      </c>
      <c r="C30" s="375" t="s">
        <v>300</v>
      </c>
      <c r="D30" s="225">
        <f>Cash_And_Cash_Equivalent/Current_Liablities</f>
        <v>2.7405643128734121E-2</v>
      </c>
      <c r="E30" s="225">
        <v>9.8344448457501725E-3</v>
      </c>
      <c r="F30" s="362">
        <f>D30-E30</f>
        <v>1.7571198282983948E-2</v>
      </c>
      <c r="G30" s="363"/>
      <c r="H30" s="362">
        <v>1.6089098733186612E-2</v>
      </c>
      <c r="I30" s="362">
        <v>1.9025079939546521E-2</v>
      </c>
      <c r="J30" s="362">
        <v>1.464206412975835E-2</v>
      </c>
      <c r="K30" s="362">
        <v>0.16874381743204539</v>
      </c>
      <c r="L30" s="362">
        <v>0.10479098012147535</v>
      </c>
      <c r="M30" s="362">
        <f>SUM(H30:L30)-D30</f>
        <v>0.29588539722727814</v>
      </c>
      <c r="N30" s="362"/>
      <c r="P30" s="214">
        <v>681736747.02999997</v>
      </c>
      <c r="S30" s="377" t="e">
        <f>#REF!+#REF!</f>
        <v>#REF!</v>
      </c>
      <c r="U30" s="222" t="e">
        <f>#REF!+#REF!</f>
        <v>#REF!</v>
      </c>
    </row>
    <row r="31" spans="1:21" x14ac:dyDescent="0.45">
      <c r="B31" s="206" t="s">
        <v>301</v>
      </c>
      <c r="C31" s="375" t="s">
        <v>302</v>
      </c>
      <c r="D31" s="225"/>
      <c r="E31" s="225"/>
      <c r="F31" s="362">
        <f>D31-E31</f>
        <v>0</v>
      </c>
      <c r="G31" s="363"/>
      <c r="H31" s="362">
        <v>0</v>
      </c>
      <c r="I31" s="362">
        <v>0</v>
      </c>
      <c r="J31" s="362">
        <v>0</v>
      </c>
      <c r="K31" s="362">
        <v>0</v>
      </c>
      <c r="L31" s="362">
        <v>0</v>
      </c>
      <c r="M31" s="214"/>
      <c r="N31" s="214"/>
      <c r="P31" s="214">
        <v>1017815008.95</v>
      </c>
      <c r="Q31" s="378">
        <v>40729853.670000002</v>
      </c>
    </row>
    <row r="32" spans="1:21" x14ac:dyDescent="0.45">
      <c r="B32" s="206" t="s">
        <v>303</v>
      </c>
      <c r="C32" s="375" t="s">
        <v>304</v>
      </c>
      <c r="D32" s="225">
        <f>Current_Asset/Total_Expenses</f>
        <v>47.772600014389973</v>
      </c>
      <c r="E32" s="225">
        <v>59.027104976894968</v>
      </c>
      <c r="F32" s="362">
        <f>D32-E32</f>
        <v>-11.254504962504996</v>
      </c>
      <c r="G32" s="363"/>
      <c r="H32" s="362">
        <v>36.615870526275607</v>
      </c>
      <c r="I32" s="362">
        <v>153.03066454234389</v>
      </c>
      <c r="J32" s="362">
        <v>236.19053290142406</v>
      </c>
      <c r="K32" s="362">
        <v>-33.674177284686429</v>
      </c>
      <c r="L32" s="362">
        <v>75.950225119765548</v>
      </c>
      <c r="M32" s="362">
        <f>SUM(H32:L32)-D32</f>
        <v>420.3405157907327</v>
      </c>
      <c r="N32" s="362"/>
      <c r="P32" s="214">
        <v>15404887</v>
      </c>
      <c r="Q32" s="206">
        <v>3254676.33</v>
      </c>
      <c r="R32" s="215" t="e">
        <f>#REF!/#REF!</f>
        <v>#REF!</v>
      </c>
    </row>
    <row r="33" spans="1:17" ht="28.5" x14ac:dyDescent="0.45">
      <c r="B33" s="206" t="s">
        <v>305</v>
      </c>
      <c r="C33" s="375" t="s">
        <v>306</v>
      </c>
      <c r="D33" s="225">
        <f>Cash_Flow_from_Operating_Activities/Current_Liablities</f>
        <v>0.23497536589846271</v>
      </c>
      <c r="E33" s="225">
        <v>1.2478434335793237E-2</v>
      </c>
      <c r="F33" s="362">
        <f>D33-E33</f>
        <v>0.22249693156266948</v>
      </c>
      <c r="G33" s="363"/>
      <c r="H33" s="362">
        <v>-9.4960874998074093E-3</v>
      </c>
      <c r="I33" s="362">
        <v>-5.7921619825835463E-2</v>
      </c>
      <c r="J33" s="362">
        <v>3.6385503210021902E-2</v>
      </c>
      <c r="K33" s="362">
        <v>0.1757511012777776</v>
      </c>
      <c r="L33" s="362">
        <v>-0.2048542784223096</v>
      </c>
      <c r="M33" s="362">
        <f>SUM(H33:L33)-D33</f>
        <v>-0.29511074715861568</v>
      </c>
      <c r="N33" s="362"/>
      <c r="P33" s="214">
        <v>8559151</v>
      </c>
      <c r="Q33" s="206">
        <v>2798641</v>
      </c>
    </row>
    <row r="34" spans="1:17" x14ac:dyDescent="0.45">
      <c r="C34" s="369"/>
      <c r="F34" s="372"/>
      <c r="L34" s="362">
        <v>0</v>
      </c>
      <c r="M34" s="214"/>
      <c r="N34" s="214"/>
      <c r="P34" s="214">
        <v>4983528.9399999995</v>
      </c>
      <c r="Q34" s="206">
        <v>797093</v>
      </c>
    </row>
    <row r="35" spans="1:17" x14ac:dyDescent="0.45">
      <c r="C35" s="369"/>
      <c r="D35" s="226"/>
      <c r="E35" s="226"/>
      <c r="F35" s="372"/>
      <c r="L35" s="362">
        <v>0</v>
      </c>
      <c r="M35" s="214"/>
      <c r="N35" s="214"/>
      <c r="P35" s="214"/>
    </row>
    <row r="36" spans="1:17" ht="14.65" thickBot="1" x14ac:dyDescent="0.5">
      <c r="A36" s="203">
        <v>5</v>
      </c>
      <c r="B36" s="203" t="s">
        <v>307</v>
      </c>
      <c r="C36" s="369"/>
      <c r="D36" s="226"/>
      <c r="E36" s="226"/>
      <c r="F36" s="372"/>
      <c r="L36" s="362">
        <v>0</v>
      </c>
      <c r="M36" s="216"/>
      <c r="N36" s="216"/>
      <c r="P36" s="217">
        <v>57266633.030000001</v>
      </c>
    </row>
    <row r="37" spans="1:17" ht="28.9" thickTop="1" x14ac:dyDescent="0.45">
      <c r="B37" s="206" t="s">
        <v>308</v>
      </c>
      <c r="C37" s="375" t="s">
        <v>309</v>
      </c>
      <c r="D37" s="225">
        <f>(Average_Inventory/Cost_of_Goods_Sold)*$M$4</f>
        <v>38.639622839591539</v>
      </c>
      <c r="E37" s="225">
        <v>67.62494974474734</v>
      </c>
      <c r="F37" s="370">
        <f>D37-E37</f>
        <v>-28.985326905155802</v>
      </c>
      <c r="G37" s="379"/>
      <c r="H37" s="362">
        <v>91.967968719511319</v>
      </c>
      <c r="I37" s="362">
        <v>27.95489117256119</v>
      </c>
      <c r="J37" s="362">
        <v>13.505683146019445</v>
      </c>
      <c r="K37" s="362">
        <v>50.008991947974494</v>
      </c>
      <c r="L37" s="362">
        <v>20.70706712476105</v>
      </c>
      <c r="M37" s="362">
        <f>SUM(H37:L37)-D37</f>
        <v>165.50497927123595</v>
      </c>
      <c r="N37" s="362"/>
    </row>
    <row r="38" spans="1:17" x14ac:dyDescent="0.45">
      <c r="B38" s="206" t="s">
        <v>310</v>
      </c>
      <c r="C38" s="369" t="s">
        <v>311</v>
      </c>
      <c r="D38" s="225">
        <f>Stock_On_Hand/Sales</f>
        <v>2.1778168348971945</v>
      </c>
      <c r="E38" s="225">
        <v>1.8155943383119399</v>
      </c>
      <c r="F38" s="370">
        <f>D38-E38</f>
        <v>0.36222249658525452</v>
      </c>
      <c r="G38" s="379"/>
      <c r="H38" s="362">
        <v>2.6570963558128322</v>
      </c>
      <c r="I38" s="362">
        <v>0.81897944057457817</v>
      </c>
      <c r="J38" s="362">
        <v>0.20663566955341825</v>
      </c>
      <c r="K38" s="362">
        <v>1.5102827109505177</v>
      </c>
      <c r="L38" s="362">
        <v>0.59969183322802344</v>
      </c>
      <c r="M38" s="362">
        <f>SUM(H38:L38)-D38</f>
        <v>3.6148691752221755</v>
      </c>
      <c r="N38" s="362"/>
    </row>
    <row r="39" spans="1:17" ht="28.5" x14ac:dyDescent="0.45">
      <c r="A39" s="206"/>
      <c r="B39" s="206" t="s">
        <v>312</v>
      </c>
      <c r="C39" s="375" t="s">
        <v>313</v>
      </c>
      <c r="D39" s="220"/>
      <c r="E39" s="220"/>
      <c r="F39" s="370">
        <f>D39-E39</f>
        <v>0</v>
      </c>
      <c r="G39" s="379"/>
      <c r="H39" s="362">
        <v>0</v>
      </c>
      <c r="I39" s="362">
        <v>0</v>
      </c>
      <c r="J39" s="362">
        <v>0</v>
      </c>
      <c r="K39" s="362">
        <v>0</v>
      </c>
      <c r="L39" s="362">
        <v>0</v>
      </c>
      <c r="M39" s="362">
        <f>SUM(H39:L39)-D39</f>
        <v>0</v>
      </c>
      <c r="N39" s="362"/>
      <c r="P39" s="221">
        <v>71710304.409999982</v>
      </c>
      <c r="Q39" s="206">
        <v>1388674.64</v>
      </c>
    </row>
    <row r="40" spans="1:17" x14ac:dyDescent="0.45">
      <c r="B40" s="206" t="s">
        <v>314</v>
      </c>
      <c r="C40" s="375" t="s">
        <v>315</v>
      </c>
      <c r="D40" s="225">
        <f>Scrap_expense/Average_Inventory</f>
        <v>0</v>
      </c>
      <c r="E40" s="225">
        <v>1.4770279571729526E-3</v>
      </c>
      <c r="F40" s="370">
        <f>D40-E40</f>
        <v>-1.4770279571729526E-3</v>
      </c>
      <c r="G40" s="379"/>
      <c r="H40" s="362">
        <v>9.6561727060055349E-5</v>
      </c>
      <c r="I40" s="362">
        <v>0</v>
      </c>
      <c r="J40" s="362">
        <v>0</v>
      </c>
      <c r="K40" s="362">
        <v>0</v>
      </c>
      <c r="L40" s="362">
        <v>0</v>
      </c>
      <c r="M40" s="362">
        <f>SUM(H40:L40)-D40</f>
        <v>9.6561727060055349E-5</v>
      </c>
      <c r="N40" s="362"/>
      <c r="P40" s="221">
        <v>3121140.6999999997</v>
      </c>
      <c r="Q40" s="206">
        <v>172335.56</v>
      </c>
    </row>
    <row r="41" spans="1:17" ht="28.5" x14ac:dyDescent="0.45">
      <c r="B41" s="374" t="s">
        <v>316</v>
      </c>
      <c r="C41" s="375" t="s">
        <v>317</v>
      </c>
      <c r="D41" s="225">
        <f>(Cost_of_Goods_Sold/Average_Inventory)*$M$4</f>
        <v>20.290053121240238</v>
      </c>
      <c r="E41" s="225">
        <v>14.210731447895</v>
      </c>
      <c r="F41" s="370">
        <f>D41-E41</f>
        <v>6.0793216733452375</v>
      </c>
      <c r="G41" s="379"/>
      <c r="H41" s="362">
        <v>10.449290262470704</v>
      </c>
      <c r="I41" s="362">
        <v>34.376810629234669</v>
      </c>
      <c r="J41" s="362">
        <v>71.155230698806761</v>
      </c>
      <c r="K41" s="362">
        <v>19.216544116701062</v>
      </c>
      <c r="L41" s="362">
        <v>46.409276321457313</v>
      </c>
      <c r="M41" s="362">
        <f>SUM(H41:L41)-D41</f>
        <v>161.31709890743025</v>
      </c>
      <c r="N41" s="362"/>
      <c r="P41" s="221">
        <v>1087768.51</v>
      </c>
      <c r="Q41" s="206">
        <v>85908.22</v>
      </c>
    </row>
    <row r="42" spans="1:17" x14ac:dyDescent="0.45">
      <c r="C42" s="369"/>
      <c r="D42" s="220"/>
      <c r="E42" s="220"/>
      <c r="F42" s="370"/>
      <c r="G42" s="379"/>
      <c r="H42" s="215"/>
      <c r="I42" s="215"/>
      <c r="J42" s="215"/>
      <c r="K42" s="215"/>
      <c r="L42" s="362"/>
      <c r="M42" s="221"/>
      <c r="N42" s="221"/>
      <c r="P42" s="221">
        <v>1487410.5499999998</v>
      </c>
      <c r="Q42" s="206">
        <v>312936.94</v>
      </c>
    </row>
    <row r="43" spans="1:17" x14ac:dyDescent="0.45">
      <c r="C43" s="369"/>
      <c r="D43" s="220"/>
      <c r="E43" s="220"/>
      <c r="F43" s="370"/>
      <c r="G43" s="379"/>
      <c r="H43" s="215"/>
      <c r="I43" s="215"/>
      <c r="J43" s="215"/>
      <c r="K43" s="215"/>
      <c r="L43" s="215"/>
      <c r="M43" s="221"/>
      <c r="N43" s="221"/>
      <c r="P43" s="221">
        <v>1032747.98</v>
      </c>
      <c r="Q43" s="206">
        <v>60163.22</v>
      </c>
    </row>
    <row r="44" spans="1:17" x14ac:dyDescent="0.45">
      <c r="C44" s="369"/>
      <c r="D44" s="220"/>
      <c r="E44" s="220"/>
      <c r="F44" s="370"/>
      <c r="G44" s="379"/>
      <c r="H44" s="215"/>
      <c r="I44" s="215"/>
      <c r="J44" s="215"/>
      <c r="K44" s="215"/>
      <c r="L44" s="215"/>
      <c r="M44" s="221"/>
      <c r="N44" s="221"/>
      <c r="P44" s="221">
        <v>7167641.0499999998</v>
      </c>
    </row>
    <row r="45" spans="1:17" x14ac:dyDescent="0.45">
      <c r="C45" s="369"/>
      <c r="D45" s="226"/>
      <c r="E45" s="226"/>
      <c r="M45" s="221"/>
      <c r="N45" s="221"/>
      <c r="P45" s="221"/>
    </row>
    <row r="46" spans="1:17" x14ac:dyDescent="0.45">
      <c r="C46" s="369"/>
      <c r="D46" s="226"/>
      <c r="E46" s="226"/>
      <c r="M46" s="221"/>
      <c r="N46" s="221"/>
      <c r="P46" s="221"/>
    </row>
    <row r="47" spans="1:17" x14ac:dyDescent="0.45">
      <c r="M47" s="216"/>
      <c r="N47" s="216"/>
      <c r="P47" s="216"/>
    </row>
    <row r="48" spans="1:17" x14ac:dyDescent="0.45">
      <c r="M48" s="216"/>
      <c r="N48" s="216"/>
      <c r="P48" s="216"/>
    </row>
    <row r="49" spans="13:16" x14ac:dyDescent="0.45">
      <c r="M49" s="216"/>
      <c r="N49" s="216"/>
      <c r="P49" s="216"/>
    </row>
    <row r="50" spans="13:16" x14ac:dyDescent="0.45">
      <c r="M50" s="226"/>
      <c r="N50" s="226"/>
    </row>
    <row r="51" spans="13:16" x14ac:dyDescent="0.45">
      <c r="M51" s="226"/>
      <c r="N51" s="226"/>
    </row>
    <row r="53" spans="13:16" x14ac:dyDescent="0.45">
      <c r="M53" s="226"/>
      <c r="N53" s="226"/>
    </row>
    <row r="54" spans="13:16" x14ac:dyDescent="0.45">
      <c r="M54" s="226"/>
      <c r="N54" s="226"/>
    </row>
    <row r="55" spans="13:16" x14ac:dyDescent="0.45">
      <c r="M55" s="226"/>
      <c r="N55" s="226"/>
    </row>
    <row r="56" spans="13:16" x14ac:dyDescent="0.45">
      <c r="M56" s="226"/>
      <c r="N56" s="226"/>
    </row>
    <row r="57" spans="13:16" x14ac:dyDescent="0.45">
      <c r="M57" s="226"/>
      <c r="N57" s="226"/>
    </row>
    <row r="58" spans="13:16" x14ac:dyDescent="0.45">
      <c r="M58" s="226"/>
      <c r="N58" s="226"/>
    </row>
    <row r="59" spans="13:16" x14ac:dyDescent="0.45">
      <c r="M59" s="226"/>
      <c r="N59" s="226"/>
    </row>
    <row r="60" spans="13:16" x14ac:dyDescent="0.45">
      <c r="M60" s="226"/>
      <c r="N60" s="226"/>
    </row>
    <row r="61" spans="13:16" x14ac:dyDescent="0.45">
      <c r="M61" s="226"/>
      <c r="N61" s="226"/>
    </row>
    <row r="62" spans="13:16" x14ac:dyDescent="0.45">
      <c r="M62" s="226"/>
      <c r="N62" s="226"/>
    </row>
    <row r="63" spans="13:16" x14ac:dyDescent="0.45">
      <c r="M63" s="226"/>
      <c r="N63" s="226"/>
    </row>
    <row r="64" spans="13:16" x14ac:dyDescent="0.45">
      <c r="M64" s="226"/>
      <c r="N64" s="226"/>
    </row>
    <row r="65" spans="13:14" x14ac:dyDescent="0.45">
      <c r="M65" s="226"/>
      <c r="N65" s="226"/>
    </row>
    <row r="66" spans="13:14" x14ac:dyDescent="0.45">
      <c r="M66" s="226"/>
      <c r="N66" s="226"/>
    </row>
    <row r="67" spans="13:14" x14ac:dyDescent="0.45">
      <c r="M67" s="226"/>
      <c r="N67" s="226"/>
    </row>
    <row r="68" spans="13:14" x14ac:dyDescent="0.45">
      <c r="M68" s="226"/>
      <c r="N68" s="226"/>
    </row>
    <row r="69" spans="13:14" x14ac:dyDescent="0.45">
      <c r="M69" s="226"/>
      <c r="N69" s="226"/>
    </row>
    <row r="70" spans="13:14" x14ac:dyDescent="0.45">
      <c r="M70" s="226"/>
      <c r="N70" s="226"/>
    </row>
    <row r="71" spans="13:14" x14ac:dyDescent="0.45">
      <c r="M71" s="226"/>
      <c r="N71" s="226"/>
    </row>
    <row r="72" spans="13:14" x14ac:dyDescent="0.45">
      <c r="M72" s="226"/>
      <c r="N72" s="226"/>
    </row>
    <row r="73" spans="13:14" x14ac:dyDescent="0.45">
      <c r="M73" s="226"/>
      <c r="N73" s="226"/>
    </row>
    <row r="74" spans="13:14" x14ac:dyDescent="0.45">
      <c r="M74" s="226"/>
      <c r="N74" s="226"/>
    </row>
    <row r="75" spans="13:14" x14ac:dyDescent="0.45">
      <c r="M75" s="226"/>
      <c r="N75" s="226"/>
    </row>
    <row r="76" spans="13:14" x14ac:dyDescent="0.45">
      <c r="M76" s="226"/>
      <c r="N76" s="226"/>
    </row>
    <row r="77" spans="13:14" x14ac:dyDescent="0.45">
      <c r="M77" s="226"/>
      <c r="N77" s="226"/>
    </row>
    <row r="78" spans="13:14" x14ac:dyDescent="0.45">
      <c r="M78" s="226"/>
      <c r="N78" s="226"/>
    </row>
    <row r="79" spans="13:14" x14ac:dyDescent="0.45">
      <c r="M79" s="226"/>
      <c r="N79" s="226"/>
    </row>
    <row r="80" spans="13:14" x14ac:dyDescent="0.45">
      <c r="M80" s="226"/>
      <c r="N80" s="226"/>
    </row>
    <row r="81" spans="13:14" x14ac:dyDescent="0.45">
      <c r="M81" s="226"/>
      <c r="N81" s="226"/>
    </row>
    <row r="82" spans="13:14" x14ac:dyDescent="0.45">
      <c r="M82" s="226"/>
      <c r="N82" s="226"/>
    </row>
    <row r="83" spans="13:14" x14ac:dyDescent="0.45">
      <c r="M83" s="226"/>
      <c r="N83" s="226"/>
    </row>
    <row r="84" spans="13:14" x14ac:dyDescent="0.45">
      <c r="M84" s="226"/>
      <c r="N84" s="226"/>
    </row>
    <row r="85" spans="13:14" x14ac:dyDescent="0.45">
      <c r="M85" s="226"/>
      <c r="N85" s="226"/>
    </row>
    <row r="86" spans="13:14" x14ac:dyDescent="0.45">
      <c r="M86" s="226"/>
      <c r="N86" s="226"/>
    </row>
    <row r="87" spans="13:14" x14ac:dyDescent="0.45">
      <c r="M87" s="226"/>
      <c r="N87" s="226"/>
    </row>
    <row r="88" spans="13:14" x14ac:dyDescent="0.45">
      <c r="M88" s="226"/>
      <c r="N88" s="226"/>
    </row>
    <row r="89" spans="13:14" x14ac:dyDescent="0.45">
      <c r="M89" s="226"/>
      <c r="N89" s="226"/>
    </row>
  </sheetData>
  <pageMargins left="0.7" right="0.7" top="0.75" bottom="0.75" header="0.3" footer="0.3"/>
  <pageSetup paperSize="9" scale="78" orientation="portrait" r:id="rId1"/>
  <headerFooter>
    <oddHeader>&amp;R&amp;G</oddHeader>
  </headerFooter>
  <colBreaks count="1" manualBreakCount="1">
    <brk id="6" max="40" man="1"/>
  </colBreak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3"/>
  <sheetViews>
    <sheetView view="pageBreakPreview" zoomScale="80" zoomScaleNormal="100" zoomScaleSheetLayoutView="8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4.25" x14ac:dyDescent="0.45"/>
  <cols>
    <col min="1" max="1" width="3.59765625" style="203" customWidth="1"/>
    <col min="2" max="2" width="32.1328125" style="206" customWidth="1"/>
    <col min="3" max="5" width="14.6640625" style="206" bestFit="1" customWidth="1"/>
    <col min="6" max="6" width="12" style="206" customWidth="1"/>
    <col min="7" max="8" width="14.6640625" style="206" bestFit="1" customWidth="1"/>
    <col min="9" max="9" width="9.06640625" style="206"/>
    <col min="10" max="10" width="14.6640625" style="206" bestFit="1" customWidth="1"/>
    <col min="11" max="11" width="10.06640625" style="206" bestFit="1" customWidth="1"/>
    <col min="12" max="16384" width="9.06640625" style="206"/>
  </cols>
  <sheetData>
    <row r="1" spans="1:10" ht="14.65" thickBot="1" x14ac:dyDescent="0.5">
      <c r="B1" s="204" t="s">
        <v>147</v>
      </c>
      <c r="C1" s="205"/>
      <c r="D1" s="205"/>
      <c r="E1" s="205"/>
      <c r="J1" s="207">
        <v>2021</v>
      </c>
    </row>
    <row r="2" spans="1:10" x14ac:dyDescent="0.45">
      <c r="B2" s="103"/>
      <c r="C2" s="208"/>
      <c r="D2" s="208"/>
      <c r="E2" s="209"/>
    </row>
    <row r="3" spans="1:10" x14ac:dyDescent="0.45">
      <c r="B3" s="209"/>
      <c r="C3" s="208">
        <f>DATE(2023,2,28)</f>
        <v>44985</v>
      </c>
      <c r="D3" s="208">
        <f>DATE(2023,1,31)</f>
        <v>44957</v>
      </c>
      <c r="E3" s="210" t="s">
        <v>58</v>
      </c>
      <c r="F3" s="210" t="s">
        <v>58</v>
      </c>
      <c r="G3" s="211" t="s">
        <v>59</v>
      </c>
      <c r="H3" s="211">
        <v>45291</v>
      </c>
      <c r="J3" s="211" t="s">
        <v>59</v>
      </c>
    </row>
    <row r="4" spans="1:10" x14ac:dyDescent="0.45">
      <c r="B4" s="209"/>
      <c r="C4" s="212" t="s">
        <v>100</v>
      </c>
      <c r="D4" s="212" t="s">
        <v>100</v>
      </c>
      <c r="E4" s="213" t="s">
        <v>100</v>
      </c>
      <c r="F4" s="213" t="s">
        <v>61</v>
      </c>
      <c r="G4" s="212" t="s">
        <v>100</v>
      </c>
      <c r="H4" s="212" t="s">
        <v>100</v>
      </c>
      <c r="J4" s="212" t="s">
        <v>100</v>
      </c>
    </row>
    <row r="5" spans="1:10" x14ac:dyDescent="0.45">
      <c r="A5" s="203">
        <v>1</v>
      </c>
      <c r="B5" s="210" t="s">
        <v>148</v>
      </c>
      <c r="C5" s="210"/>
      <c r="D5" s="210"/>
      <c r="E5" s="210"/>
    </row>
    <row r="6" spans="1:10" x14ac:dyDescent="0.45">
      <c r="B6" s="102" t="s">
        <v>19</v>
      </c>
      <c r="C6" s="214"/>
      <c r="D6" s="214"/>
      <c r="E6" s="214">
        <f>C6-D6</f>
        <v>0</v>
      </c>
      <c r="F6" s="215" t="e">
        <f>(C6-D6)/D6</f>
        <v>#DIV/0!</v>
      </c>
      <c r="G6" s="214"/>
      <c r="H6" s="214">
        <v>3882749253.3100019</v>
      </c>
      <c r="J6" s="214">
        <v>16256957538.910002</v>
      </c>
    </row>
    <row r="7" spans="1:10" x14ac:dyDescent="0.45">
      <c r="B7" s="102" t="s">
        <v>21</v>
      </c>
      <c r="C7" s="214"/>
      <c r="D7" s="214"/>
      <c r="E7" s="214">
        <f>C7-D7</f>
        <v>0</v>
      </c>
      <c r="F7" s="215" t="e">
        <f>(C7-D7)/D7</f>
        <v>#DIV/0!</v>
      </c>
      <c r="G7" s="214"/>
      <c r="H7" s="214">
        <v>65177266.259999998</v>
      </c>
      <c r="J7" s="214">
        <v>305312655.55000001</v>
      </c>
    </row>
    <row r="8" spans="1:10" x14ac:dyDescent="0.45">
      <c r="B8" s="102" t="s">
        <v>149</v>
      </c>
      <c r="C8" s="214"/>
      <c r="D8" s="214"/>
      <c r="E8" s="214">
        <f>C8-D8</f>
        <v>0</v>
      </c>
      <c r="F8" s="215" t="e">
        <f>(C8-D8)/D8</f>
        <v>#DIV/0!</v>
      </c>
      <c r="G8" s="214"/>
      <c r="H8" s="214">
        <v>85512438.450000018</v>
      </c>
      <c r="J8" s="214">
        <v>0</v>
      </c>
    </row>
    <row r="9" spans="1:10" x14ac:dyDescent="0.45">
      <c r="B9" s="102" t="s">
        <v>150</v>
      </c>
      <c r="C9" s="214"/>
      <c r="D9" s="214"/>
      <c r="E9" s="214">
        <f>C9-D9</f>
        <v>0</v>
      </c>
      <c r="F9" s="215">
        <v>0</v>
      </c>
      <c r="G9" s="214"/>
      <c r="H9" s="214">
        <v>1312500</v>
      </c>
      <c r="J9" s="214">
        <v>118692479</v>
      </c>
    </row>
    <row r="10" spans="1:10" x14ac:dyDescent="0.45">
      <c r="B10" s="210"/>
      <c r="C10" s="216"/>
      <c r="D10" s="216"/>
      <c r="E10" s="216"/>
      <c r="G10" s="216"/>
      <c r="H10" s="216"/>
      <c r="J10" s="216"/>
    </row>
    <row r="11" spans="1:10" ht="14.65" thickBot="1" x14ac:dyDescent="0.5">
      <c r="B11" s="210"/>
      <c r="C11" s="217">
        <f>SUM(C6:C10)</f>
        <v>0</v>
      </c>
      <c r="D11" s="217"/>
      <c r="E11" s="217">
        <f>SUM(E6:E10)</f>
        <v>0</v>
      </c>
      <c r="F11" s="218" t="e">
        <f>(C11-D11)/D11</f>
        <v>#DIV/0!</v>
      </c>
      <c r="G11" s="217">
        <f>SUM(G6:G9)</f>
        <v>0</v>
      </c>
      <c r="H11" s="217">
        <v>4034751458.0200019</v>
      </c>
      <c r="J11" s="217">
        <v>16680962673.460001</v>
      </c>
    </row>
    <row r="12" spans="1:10" ht="14.65" thickTop="1" x14ac:dyDescent="0.45">
      <c r="B12" s="210"/>
      <c r="C12" s="216"/>
      <c r="D12" s="216"/>
      <c r="E12" s="216"/>
      <c r="F12" s="219"/>
      <c r="G12" s="216"/>
      <c r="H12" s="216"/>
      <c r="J12" s="216"/>
    </row>
    <row r="13" spans="1:10" x14ac:dyDescent="0.45">
      <c r="B13" s="210"/>
      <c r="C13" s="216"/>
      <c r="D13" s="216"/>
      <c r="E13" s="216"/>
      <c r="G13" s="216"/>
      <c r="H13" s="216"/>
      <c r="J13" s="216"/>
    </row>
    <row r="14" spans="1:10" x14ac:dyDescent="0.45">
      <c r="A14" s="203">
        <v>2</v>
      </c>
      <c r="B14" s="210" t="s">
        <v>151</v>
      </c>
      <c r="C14" s="216"/>
      <c r="D14" s="216"/>
      <c r="E14" s="216"/>
      <c r="G14" s="216"/>
      <c r="H14" s="216"/>
      <c r="J14" s="216"/>
    </row>
    <row r="15" spans="1:10" x14ac:dyDescent="0.45">
      <c r="B15" s="102" t="s">
        <v>152</v>
      </c>
      <c r="C15" s="214"/>
      <c r="D15" s="214"/>
      <c r="E15" s="220">
        <f>C15-D15</f>
        <v>0</v>
      </c>
      <c r="F15" s="215" t="e">
        <f t="shared" ref="F15:F21" si="0">(C15-D15)/D15</f>
        <v>#DIV/0!</v>
      </c>
      <c r="G15" s="214"/>
      <c r="H15" s="214">
        <v>3829986689.539999</v>
      </c>
      <c r="J15" s="214">
        <v>16317927339.610001</v>
      </c>
    </row>
    <row r="16" spans="1:10" x14ac:dyDescent="0.45">
      <c r="B16" s="206" t="s">
        <v>153</v>
      </c>
      <c r="C16" s="214"/>
      <c r="D16" s="214"/>
      <c r="E16" s="221">
        <f>C16-D16</f>
        <v>0</v>
      </c>
      <c r="F16" s="215">
        <v>0</v>
      </c>
      <c r="G16" s="214"/>
      <c r="H16" s="214">
        <v>0</v>
      </c>
      <c r="J16" s="214">
        <v>2520240</v>
      </c>
    </row>
    <row r="17" spans="1:11" x14ac:dyDescent="0.45">
      <c r="B17" s="210" t="s">
        <v>154</v>
      </c>
      <c r="C17" s="214"/>
      <c r="D17" s="214"/>
      <c r="E17" s="221">
        <f>C17-D17</f>
        <v>0</v>
      </c>
      <c r="F17" s="215" t="e">
        <f t="shared" si="0"/>
        <v>#DIV/0!</v>
      </c>
      <c r="G17" s="214"/>
      <c r="H17" s="214">
        <v>641012</v>
      </c>
      <c r="J17" s="214">
        <v>1924192.24</v>
      </c>
    </row>
    <row r="18" spans="1:11" x14ac:dyDescent="0.45">
      <c r="B18" s="206" t="s">
        <v>155</v>
      </c>
      <c r="C18" s="214"/>
      <c r="D18" s="214"/>
      <c r="E18" s="214">
        <f>C18-D18</f>
        <v>0</v>
      </c>
      <c r="F18" s="215" t="e">
        <f t="shared" si="0"/>
        <v>#DIV/0!</v>
      </c>
      <c r="G18" s="214"/>
      <c r="H18" s="214">
        <v>0</v>
      </c>
      <c r="J18" s="214">
        <v>10062325</v>
      </c>
    </row>
    <row r="19" spans="1:11" x14ac:dyDescent="0.45">
      <c r="B19" s="206" t="s">
        <v>156</v>
      </c>
      <c r="C19" s="214"/>
      <c r="D19" s="214"/>
      <c r="E19" s="221">
        <f>C19-D19</f>
        <v>0</v>
      </c>
      <c r="F19" s="215" t="e">
        <f t="shared" si="0"/>
        <v>#DIV/0!</v>
      </c>
      <c r="G19" s="214"/>
      <c r="H19" s="214">
        <v>1032228.709999993</v>
      </c>
      <c r="J19" s="214">
        <v>110264346.86000001</v>
      </c>
      <c r="K19" s="222">
        <f>SUM(C16:C19)</f>
        <v>0</v>
      </c>
    </row>
    <row r="21" spans="1:11" ht="14.65" thickBot="1" x14ac:dyDescent="0.5">
      <c r="B21" s="210"/>
      <c r="C21" s="217">
        <f>SUM(C15:C20)</f>
        <v>0</v>
      </c>
      <c r="D21" s="217"/>
      <c r="E21" s="217">
        <f>SUM(E15:E20)</f>
        <v>0</v>
      </c>
      <c r="F21" s="218" t="e">
        <f t="shared" si="0"/>
        <v>#DIV/0!</v>
      </c>
      <c r="G21" s="217">
        <f>SUM(G15:G19)</f>
        <v>0</v>
      </c>
      <c r="H21" s="217">
        <v>3831659930.249999</v>
      </c>
      <c r="J21" s="217">
        <v>16442698443.710001</v>
      </c>
    </row>
    <row r="22" spans="1:11" ht="14.65" thickTop="1" x14ac:dyDescent="0.45">
      <c r="B22" s="210"/>
      <c r="C22" s="216"/>
      <c r="D22" s="216"/>
      <c r="E22" s="216"/>
      <c r="F22" s="219"/>
      <c r="G22" s="216"/>
      <c r="H22" s="216"/>
      <c r="J22" s="216"/>
    </row>
    <row r="24" spans="1:11" x14ac:dyDescent="0.45">
      <c r="A24" s="203">
        <v>3</v>
      </c>
      <c r="B24" s="210" t="s">
        <v>26</v>
      </c>
      <c r="C24" s="214"/>
      <c r="D24" s="214"/>
      <c r="G24" s="214"/>
      <c r="H24" s="214"/>
      <c r="J24" s="214"/>
    </row>
    <row r="25" spans="1:11" x14ac:dyDescent="0.45">
      <c r="B25" s="206" t="s">
        <v>65</v>
      </c>
      <c r="C25" s="214"/>
      <c r="D25" s="214"/>
      <c r="E25" s="221">
        <f t="shared" ref="E25:E29" si="1">C25-D25</f>
        <v>0</v>
      </c>
      <c r="F25" s="215" t="e">
        <f t="shared" ref="F25:F29" si="2">(C25-D25)/D25</f>
        <v>#DIV/0!</v>
      </c>
      <c r="G25" s="214"/>
      <c r="H25" s="214">
        <v>61881137.060000002</v>
      </c>
      <c r="J25" s="214"/>
    </row>
    <row r="26" spans="1:11" x14ac:dyDescent="0.45">
      <c r="B26" s="206" t="s">
        <v>66</v>
      </c>
      <c r="C26" s="214"/>
      <c r="D26" s="214"/>
      <c r="E26" s="221">
        <f t="shared" si="1"/>
        <v>0</v>
      </c>
      <c r="F26" s="215" t="e">
        <f t="shared" si="2"/>
        <v>#DIV/0!</v>
      </c>
      <c r="G26" s="214"/>
      <c r="H26" s="214">
        <v>67122437</v>
      </c>
      <c r="J26" s="214"/>
    </row>
    <row r="27" spans="1:11" x14ac:dyDescent="0.45">
      <c r="B27" s="206" t="s">
        <v>67</v>
      </c>
      <c r="C27" s="214"/>
      <c r="D27" s="214"/>
      <c r="E27" s="221">
        <f t="shared" si="1"/>
        <v>0</v>
      </c>
      <c r="F27" s="215" t="e">
        <f t="shared" si="2"/>
        <v>#DIV/0!</v>
      </c>
      <c r="G27" s="214"/>
      <c r="H27" s="214">
        <v>16337704</v>
      </c>
      <c r="J27" s="214"/>
    </row>
    <row r="28" spans="1:11" x14ac:dyDescent="0.45">
      <c r="B28" s="206" t="s">
        <v>68</v>
      </c>
      <c r="C28" s="214"/>
      <c r="D28" s="214"/>
      <c r="E28" s="221">
        <f>C28-D28</f>
        <v>0</v>
      </c>
      <c r="F28" s="215" t="e">
        <f t="shared" si="2"/>
        <v>#DIV/0!</v>
      </c>
      <c r="G28" s="214"/>
      <c r="H28" s="214">
        <v>138500</v>
      </c>
      <c r="J28" s="214"/>
    </row>
    <row r="29" spans="1:11" ht="14.65" thickBot="1" x14ac:dyDescent="0.5">
      <c r="C29" s="217">
        <f>SUM(C25:C28)</f>
        <v>0</v>
      </c>
      <c r="D29" s="217"/>
      <c r="E29" s="223">
        <f t="shared" si="1"/>
        <v>0</v>
      </c>
      <c r="F29" s="224" t="e">
        <f t="shared" si="2"/>
        <v>#DIV/0!</v>
      </c>
      <c r="G29" s="217">
        <f>SUM(G25:G28)</f>
        <v>0</v>
      </c>
      <c r="H29" s="214">
        <v>145479778.06</v>
      </c>
      <c r="J29" s="214"/>
    </row>
    <row r="30" spans="1:11" ht="14.65" thickTop="1" x14ac:dyDescent="0.45">
      <c r="C30" s="214"/>
      <c r="D30" s="214"/>
      <c r="G30" s="214"/>
      <c r="H30" s="214"/>
      <c r="J30" s="214"/>
    </row>
    <row r="32" spans="1:11" x14ac:dyDescent="0.45">
      <c r="A32" s="203">
        <v>4</v>
      </c>
      <c r="B32" s="210" t="s">
        <v>78</v>
      </c>
    </row>
    <row r="33" spans="1:10" x14ac:dyDescent="0.45">
      <c r="B33" s="102" t="s">
        <v>38</v>
      </c>
      <c r="C33" s="214"/>
      <c r="D33" s="214"/>
      <c r="E33" s="214">
        <f>C33-D33</f>
        <v>0</v>
      </c>
      <c r="F33" s="215" t="e">
        <f>(C33-D33)/D33</f>
        <v>#DIV/0!</v>
      </c>
      <c r="G33" s="214"/>
      <c r="H33" s="214">
        <v>53487948.529999994</v>
      </c>
      <c r="J33" s="214">
        <v>135168744.97999999</v>
      </c>
    </row>
    <row r="35" spans="1:10" ht="14.65" thickBot="1" x14ac:dyDescent="0.5">
      <c r="B35" s="210"/>
      <c r="C35" s="217">
        <f>SUM(C33:C34)</f>
        <v>0</v>
      </c>
      <c r="D35" s="217"/>
      <c r="E35" s="217">
        <f>SUM(E33:E34)</f>
        <v>0</v>
      </c>
      <c r="F35" s="218" t="e">
        <f>-(C35-D35)/D35</f>
        <v>#DIV/0!</v>
      </c>
      <c r="G35" s="217">
        <f>SUM(G33:G34)</f>
        <v>0</v>
      </c>
      <c r="H35" s="217">
        <v>53487948.529999994</v>
      </c>
      <c r="J35" s="217">
        <v>135168744.97999999</v>
      </c>
    </row>
    <row r="36" spans="1:10" ht="14.65" thickTop="1" x14ac:dyDescent="0.45"/>
    <row r="38" spans="1:10" x14ac:dyDescent="0.45">
      <c r="A38" s="203">
        <v>5</v>
      </c>
      <c r="B38" s="210" t="s">
        <v>76</v>
      </c>
    </row>
    <row r="39" spans="1:10" x14ac:dyDescent="0.45">
      <c r="B39" s="102" t="s">
        <v>71</v>
      </c>
      <c r="C39" s="214"/>
      <c r="D39" s="214"/>
      <c r="E39" s="214">
        <f>C39-D39</f>
        <v>0</v>
      </c>
      <c r="F39" s="215" t="e">
        <f>(C39-D39)/D39</f>
        <v>#DIV/0!</v>
      </c>
      <c r="G39" s="214"/>
      <c r="H39" s="206">
        <v>10875051</v>
      </c>
    </row>
    <row r="40" spans="1:10" x14ac:dyDescent="0.45">
      <c r="B40" s="102" t="s">
        <v>157</v>
      </c>
      <c r="C40" s="214"/>
      <c r="D40" s="214"/>
      <c r="E40" s="214">
        <f>C40-D40</f>
        <v>0</v>
      </c>
      <c r="F40" s="215" t="e">
        <f>(C40-D40)/D40</f>
        <v>#DIV/0!</v>
      </c>
      <c r="G40" s="214"/>
      <c r="H40" s="214">
        <v>5930235.3400000064</v>
      </c>
      <c r="J40" s="214">
        <v>55314318.399999999</v>
      </c>
    </row>
    <row r="41" spans="1:10" x14ac:dyDescent="0.45">
      <c r="B41" s="206" t="s">
        <v>158</v>
      </c>
      <c r="C41" s="225"/>
      <c r="D41" s="225"/>
      <c r="E41" s="214">
        <f>C41-D41</f>
        <v>0</v>
      </c>
      <c r="F41" s="215" t="e">
        <f>(C41-D41)/D41</f>
        <v>#DIV/0!</v>
      </c>
      <c r="G41" s="214"/>
      <c r="H41" s="214">
        <v>984750</v>
      </c>
      <c r="J41" s="214">
        <v>2200</v>
      </c>
    </row>
    <row r="42" spans="1:10" x14ac:dyDescent="0.45">
      <c r="B42" s="206" t="s">
        <v>159</v>
      </c>
      <c r="C42" s="225"/>
      <c r="D42" s="225"/>
      <c r="E42" s="214">
        <f>C42-D42</f>
        <v>0</v>
      </c>
      <c r="F42" s="215" t="e">
        <f>(C42-D42)/D42</f>
        <v>#DIV/0!</v>
      </c>
      <c r="G42" s="214"/>
      <c r="H42" s="214">
        <v>1625571</v>
      </c>
      <c r="J42" s="214">
        <v>1950114.6300000001</v>
      </c>
    </row>
    <row r="43" spans="1:10" x14ac:dyDescent="0.45">
      <c r="C43" s="225"/>
      <c r="D43" s="225"/>
      <c r="E43" s="214"/>
      <c r="F43" s="215"/>
      <c r="G43" s="214"/>
      <c r="H43" s="214"/>
      <c r="J43" s="214"/>
    </row>
    <row r="44" spans="1:10" ht="14.65" thickBot="1" x14ac:dyDescent="0.5">
      <c r="B44" s="210"/>
      <c r="C44" s="217">
        <f>SUM(C39:C43)</f>
        <v>0</v>
      </c>
      <c r="D44" s="217"/>
      <c r="E44" s="217">
        <f>SUM(E41:E42)</f>
        <v>0</v>
      </c>
      <c r="F44" s="218" t="e">
        <f>(C44-D44)/D44</f>
        <v>#DIV/0!</v>
      </c>
      <c r="G44" s="217">
        <f>SUM(G39:G43)</f>
        <v>0</v>
      </c>
      <c r="H44" s="217">
        <v>19415607.340000007</v>
      </c>
      <c r="J44" s="217">
        <v>57266633.030000001</v>
      </c>
    </row>
    <row r="45" spans="1:10" ht="14.65" thickTop="1" x14ac:dyDescent="0.45"/>
    <row r="46" spans="1:10" x14ac:dyDescent="0.45">
      <c r="A46" s="203">
        <v>6</v>
      </c>
      <c r="B46" s="203" t="s">
        <v>28</v>
      </c>
      <c r="C46" s="226"/>
      <c r="D46" s="226"/>
      <c r="G46" s="226"/>
      <c r="H46" s="226"/>
    </row>
    <row r="47" spans="1:10" x14ac:dyDescent="0.45">
      <c r="B47" s="206" t="s">
        <v>160</v>
      </c>
      <c r="C47" s="220"/>
      <c r="D47" s="220"/>
      <c r="E47" s="227">
        <f t="shared" ref="E47:E55" si="3">C47-D47</f>
        <v>0</v>
      </c>
      <c r="F47" s="215" t="e">
        <f t="shared" ref="F47:F55" si="4">(C47-D47)/D47</f>
        <v>#DIV/0!</v>
      </c>
      <c r="G47" s="214"/>
      <c r="H47" s="206">
        <v>33601357</v>
      </c>
    </row>
    <row r="48" spans="1:10" x14ac:dyDescent="0.45">
      <c r="B48" s="206" t="s">
        <v>161</v>
      </c>
      <c r="C48" s="220"/>
      <c r="D48" s="220"/>
      <c r="E48" s="227">
        <f t="shared" si="3"/>
        <v>0</v>
      </c>
      <c r="F48" s="215" t="e">
        <f t="shared" si="4"/>
        <v>#DIV/0!</v>
      </c>
      <c r="G48" s="214"/>
      <c r="H48" s="226">
        <v>26216511.140000001</v>
      </c>
    </row>
    <row r="49" spans="1:8" x14ac:dyDescent="0.45">
      <c r="B49" s="206" t="s">
        <v>162</v>
      </c>
      <c r="C49" s="220"/>
      <c r="D49" s="220"/>
      <c r="E49" s="227">
        <f t="shared" si="3"/>
        <v>0</v>
      </c>
      <c r="F49" s="215" t="e">
        <f t="shared" si="4"/>
        <v>#DIV/0!</v>
      </c>
      <c r="G49" s="214"/>
      <c r="H49" s="226">
        <v>23882706.340000004</v>
      </c>
    </row>
    <row r="50" spans="1:8" x14ac:dyDescent="0.45">
      <c r="B50" s="206" t="s">
        <v>163</v>
      </c>
      <c r="C50" s="220"/>
      <c r="D50" s="220"/>
      <c r="E50" s="227">
        <f t="shared" si="3"/>
        <v>0</v>
      </c>
      <c r="F50" s="215" t="e">
        <f t="shared" si="4"/>
        <v>#DIV/0!</v>
      </c>
      <c r="G50" s="214"/>
      <c r="H50" s="226">
        <v>3830900</v>
      </c>
    </row>
    <row r="51" spans="1:8" x14ac:dyDescent="0.45">
      <c r="B51" s="206" t="s">
        <v>164</v>
      </c>
      <c r="C51" s="220"/>
      <c r="D51" s="220"/>
      <c r="E51" s="227">
        <f t="shared" si="3"/>
        <v>0</v>
      </c>
      <c r="F51" s="215" t="e">
        <f t="shared" si="4"/>
        <v>#DIV/0!</v>
      </c>
      <c r="G51" s="214"/>
      <c r="H51" s="226">
        <v>3435170.04</v>
      </c>
    </row>
    <row r="52" spans="1:8" x14ac:dyDescent="0.45">
      <c r="B52" s="206" t="s">
        <v>165</v>
      </c>
      <c r="C52" s="220"/>
      <c r="D52" s="220"/>
      <c r="E52" s="227">
        <f t="shared" si="3"/>
        <v>0</v>
      </c>
      <c r="F52" s="215" t="e">
        <f t="shared" si="4"/>
        <v>#DIV/0!</v>
      </c>
      <c r="G52" s="214"/>
      <c r="H52" s="226">
        <v>500000</v>
      </c>
    </row>
    <row r="53" spans="1:8" x14ac:dyDescent="0.45">
      <c r="B53" s="206" t="s">
        <v>166</v>
      </c>
      <c r="C53" s="220"/>
      <c r="D53" s="220"/>
      <c r="E53" s="227">
        <f t="shared" si="3"/>
        <v>0</v>
      </c>
      <c r="F53" s="215" t="e">
        <f t="shared" si="4"/>
        <v>#DIV/0!</v>
      </c>
      <c r="G53" s="214"/>
      <c r="H53" s="226">
        <v>999975.78999999992</v>
      </c>
    </row>
    <row r="54" spans="1:8" x14ac:dyDescent="0.45">
      <c r="B54" s="206" t="s">
        <v>167</v>
      </c>
      <c r="C54" s="220"/>
      <c r="D54" s="220"/>
      <c r="E54" s="227">
        <f t="shared" si="3"/>
        <v>0</v>
      </c>
      <c r="F54" s="215" t="e">
        <f t="shared" si="4"/>
        <v>#DIV/0!</v>
      </c>
      <c r="G54" s="214"/>
      <c r="H54" s="226">
        <v>1825298.4</v>
      </c>
    </row>
    <row r="55" spans="1:8" ht="14.65" thickBot="1" x14ac:dyDescent="0.5">
      <c r="C55" s="228">
        <f>SUM(C47:C54)</f>
        <v>0</v>
      </c>
      <c r="D55" s="228"/>
      <c r="E55" s="229">
        <f t="shared" si="3"/>
        <v>0</v>
      </c>
      <c r="F55" s="230" t="e">
        <f t="shared" si="4"/>
        <v>#DIV/0!</v>
      </c>
      <c r="G55" s="231">
        <f>SUM(G47:G54)</f>
        <v>0</v>
      </c>
      <c r="H55" s="226">
        <v>94291918.710000023</v>
      </c>
    </row>
    <row r="56" spans="1:8" ht="14.65" thickTop="1" x14ac:dyDescent="0.45">
      <c r="C56" s="226"/>
      <c r="D56" s="226"/>
      <c r="G56" s="226"/>
      <c r="H56" s="226"/>
    </row>
    <row r="57" spans="1:8" x14ac:dyDescent="0.45">
      <c r="C57" s="226"/>
      <c r="D57" s="226"/>
      <c r="G57" s="226"/>
      <c r="H57" s="226"/>
    </row>
    <row r="58" spans="1:8" x14ac:dyDescent="0.45">
      <c r="A58" s="203">
        <v>7</v>
      </c>
      <c r="B58" s="203" t="s">
        <v>31</v>
      </c>
      <c r="C58" s="226"/>
      <c r="D58" s="226"/>
      <c r="G58" s="226"/>
      <c r="H58" s="226"/>
    </row>
    <row r="59" spans="1:8" x14ac:dyDescent="0.45">
      <c r="B59" s="206" t="s">
        <v>73</v>
      </c>
      <c r="C59" s="225"/>
      <c r="D59" s="225"/>
      <c r="E59" s="227">
        <f t="shared" ref="E59:E62" si="5">C59-D59</f>
        <v>0</v>
      </c>
      <c r="F59" s="215" t="e">
        <f t="shared" ref="F59:F62" si="6">(C59-D59)/D59</f>
        <v>#DIV/0!</v>
      </c>
      <c r="G59" s="214"/>
      <c r="H59" s="226">
        <v>42064196.090000004</v>
      </c>
    </row>
    <row r="60" spans="1:8" x14ac:dyDescent="0.45">
      <c r="B60" s="206" t="s">
        <v>74</v>
      </c>
      <c r="C60" s="225"/>
      <c r="D60" s="225"/>
      <c r="E60" s="227">
        <f t="shared" si="5"/>
        <v>0</v>
      </c>
      <c r="F60" s="215" t="e">
        <f t="shared" si="6"/>
        <v>#DIV/0!</v>
      </c>
      <c r="G60" s="214"/>
      <c r="H60" s="226">
        <v>43863478.840000004</v>
      </c>
    </row>
    <row r="61" spans="1:8" x14ac:dyDescent="0.45">
      <c r="B61" s="206" t="s">
        <v>75</v>
      </c>
      <c r="C61" s="225"/>
      <c r="D61" s="225"/>
      <c r="E61" s="227">
        <f t="shared" si="5"/>
        <v>0</v>
      </c>
      <c r="F61" s="215" t="e">
        <f t="shared" si="6"/>
        <v>#DIV/0!</v>
      </c>
      <c r="G61" s="214"/>
      <c r="H61" s="226">
        <v>0</v>
      </c>
    </row>
    <row r="62" spans="1:8" ht="14.65" thickBot="1" x14ac:dyDescent="0.5">
      <c r="C62" s="231">
        <f>SUM(C59:C61)</f>
        <v>0</v>
      </c>
      <c r="D62" s="231"/>
      <c r="E62" s="232">
        <f t="shared" si="5"/>
        <v>0</v>
      </c>
      <c r="F62" s="224" t="e">
        <f t="shared" si="6"/>
        <v>#DIV/0!</v>
      </c>
      <c r="G62" s="231">
        <f>SUM(G59:G61)</f>
        <v>0</v>
      </c>
      <c r="H62" s="226">
        <v>85927674.930000007</v>
      </c>
    </row>
    <row r="63" spans="1:8" ht="14.65" thickTop="1" x14ac:dyDescent="0.45">
      <c r="C63" s="226"/>
      <c r="D63" s="226"/>
      <c r="G63" s="226"/>
      <c r="H63" s="226"/>
    </row>
  </sheetData>
  <pageMargins left="0.7" right="0.7" top="0.75" bottom="0.75" header="0.3" footer="0.3"/>
  <pageSetup paperSize="9" scale="5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7"/>
  <sheetViews>
    <sheetView view="pageBreakPreview" zoomScale="70" zoomScaleNormal="100" zoomScaleSheetLayoutView="70" workbookViewId="0">
      <selection activeCell="D3" sqref="D3"/>
    </sheetView>
  </sheetViews>
  <sheetFormatPr defaultColWidth="9.19921875" defaultRowHeight="13.15" x14ac:dyDescent="0.4"/>
  <cols>
    <col min="1" max="1" width="4.46484375" style="102" bestFit="1" customWidth="1"/>
    <col min="2" max="2" width="50.53125" style="102" customWidth="1"/>
    <col min="3" max="4" width="21.73046875" style="233" customWidth="1"/>
    <col min="5" max="5" width="16.265625" style="102" customWidth="1"/>
    <col min="6" max="6" width="11.1328125" style="234" bestFit="1" customWidth="1"/>
    <col min="7" max="7" width="20.19921875" style="235" bestFit="1" customWidth="1"/>
    <col min="8" max="9" width="21.73046875" style="233" customWidth="1"/>
    <col min="10" max="10" width="19.265625" style="235" customWidth="1"/>
    <col min="11" max="11" width="12.796875" style="235" customWidth="1"/>
    <col min="12" max="12" width="12.265625" style="235" bestFit="1" customWidth="1"/>
    <col min="13" max="16384" width="9.19921875" style="235"/>
  </cols>
  <sheetData>
    <row r="1" spans="1:9" ht="13.5" thickBot="1" x14ac:dyDescent="0.45">
      <c r="B1" s="204" t="s">
        <v>168</v>
      </c>
    </row>
    <row r="3" spans="1:9" x14ac:dyDescent="0.4">
      <c r="C3" s="208">
        <f>DATE(2023,2,28)</f>
        <v>44985</v>
      </c>
      <c r="D3" s="208">
        <f>DATE(2023,1,31)</f>
        <v>44957</v>
      </c>
      <c r="E3" s="208" t="s">
        <v>58</v>
      </c>
      <c r="F3" s="208" t="s">
        <v>58</v>
      </c>
      <c r="G3" s="275" t="s">
        <v>169</v>
      </c>
      <c r="H3" s="208">
        <v>44926</v>
      </c>
      <c r="I3" s="208">
        <v>44561</v>
      </c>
    </row>
    <row r="4" spans="1:9" x14ac:dyDescent="0.4">
      <c r="C4" s="236" t="s">
        <v>100</v>
      </c>
      <c r="D4" s="236" t="s">
        <v>100</v>
      </c>
      <c r="E4" s="236" t="s">
        <v>100</v>
      </c>
      <c r="F4" s="212" t="s">
        <v>61</v>
      </c>
      <c r="H4" s="236" t="s">
        <v>100</v>
      </c>
      <c r="I4" s="236" t="s">
        <v>100</v>
      </c>
    </row>
    <row r="5" spans="1:9" x14ac:dyDescent="0.4">
      <c r="A5" s="102">
        <v>6</v>
      </c>
      <c r="B5" s="237" t="s">
        <v>170</v>
      </c>
      <c r="F5" s="211"/>
    </row>
    <row r="6" spans="1:9" x14ac:dyDescent="0.4">
      <c r="B6" s="238" t="s">
        <v>171</v>
      </c>
      <c r="C6" s="239"/>
      <c r="D6" s="239"/>
      <c r="E6" s="240">
        <f t="shared" ref="E6:E11" si="0">C6-D6</f>
        <v>0</v>
      </c>
      <c r="F6" s="241">
        <f>IF(ISERROR((C6-D6)/D6),0,(C6-D6)/D6)</f>
        <v>0</v>
      </c>
      <c r="H6" s="239">
        <v>1865295909.9000063</v>
      </c>
      <c r="I6" s="239">
        <v>1124469548.5299995</v>
      </c>
    </row>
    <row r="7" spans="1:9" x14ac:dyDescent="0.4">
      <c r="B7" s="238" t="s">
        <v>172</v>
      </c>
      <c r="C7" s="239"/>
      <c r="D7" s="239"/>
      <c r="E7" s="240">
        <f t="shared" si="0"/>
        <v>0</v>
      </c>
      <c r="F7" s="242">
        <f t="shared" ref="F7:F12" si="1">IF(ISERROR((C7-D7)/D7),0,(C7-D7)/D7)</f>
        <v>0</v>
      </c>
      <c r="H7" s="239">
        <v>-5886616.8299977742</v>
      </c>
      <c r="I7" s="239">
        <v>-7456235</v>
      </c>
    </row>
    <row r="8" spans="1:9" x14ac:dyDescent="0.4">
      <c r="B8" s="238" t="s">
        <v>173</v>
      </c>
      <c r="C8" s="239"/>
      <c r="D8" s="239"/>
      <c r="E8" s="240">
        <f t="shared" si="0"/>
        <v>0</v>
      </c>
      <c r="F8" s="241">
        <f t="shared" si="1"/>
        <v>0</v>
      </c>
      <c r="H8" s="239">
        <v>6635615.3000018019</v>
      </c>
      <c r="I8" s="239">
        <v>11454896.76999867</v>
      </c>
    </row>
    <row r="9" spans="1:9" x14ac:dyDescent="0.4">
      <c r="B9" s="238" t="s">
        <v>174</v>
      </c>
      <c r="C9" s="239"/>
      <c r="D9" s="239"/>
      <c r="E9" s="214">
        <f t="shared" si="0"/>
        <v>0</v>
      </c>
      <c r="F9" s="241">
        <f t="shared" si="1"/>
        <v>0</v>
      </c>
      <c r="H9" s="239">
        <v>35200</v>
      </c>
      <c r="I9" s="239">
        <v>0</v>
      </c>
    </row>
    <row r="10" spans="1:9" x14ac:dyDescent="0.4">
      <c r="B10" s="238" t="s">
        <v>175</v>
      </c>
      <c r="C10" s="243"/>
      <c r="D10" s="243"/>
      <c r="E10" s="214">
        <f t="shared" si="0"/>
        <v>0</v>
      </c>
      <c r="F10" s="241">
        <f t="shared" si="1"/>
        <v>0</v>
      </c>
      <c r="H10" s="243">
        <v>0</v>
      </c>
      <c r="I10" s="243">
        <v>0</v>
      </c>
    </row>
    <row r="11" spans="1:9" x14ac:dyDescent="0.4">
      <c r="B11" s="238" t="s">
        <v>176</v>
      </c>
      <c r="C11" s="244"/>
      <c r="D11" s="244"/>
      <c r="E11" s="245">
        <f t="shared" si="0"/>
        <v>0</v>
      </c>
      <c r="F11" s="246">
        <f>IF(ISERROR((C11-D11)/D11),0,(C11-D11)/D11)</f>
        <v>0</v>
      </c>
      <c r="H11" s="244">
        <v>0</v>
      </c>
      <c r="I11" s="244">
        <v>0</v>
      </c>
    </row>
    <row r="12" spans="1:9" x14ac:dyDescent="0.4">
      <c r="B12" s="238"/>
      <c r="C12" s="247">
        <f>SUM(C6:C11)</f>
        <v>0</v>
      </c>
      <c r="D12" s="247">
        <f>SUM(D6:D11)</f>
        <v>0</v>
      </c>
      <c r="E12" s="247">
        <f>SUM(E6:E11)</f>
        <v>0</v>
      </c>
      <c r="F12" s="248">
        <f t="shared" si="1"/>
        <v>0</v>
      </c>
      <c r="H12" s="247">
        <v>1866080108.3700104</v>
      </c>
      <c r="I12" s="247">
        <v>1128468210.2999983</v>
      </c>
    </row>
    <row r="13" spans="1:9" x14ac:dyDescent="0.4">
      <c r="B13" s="238"/>
      <c r="C13" s="247"/>
      <c r="D13" s="247"/>
      <c r="E13" s="240"/>
      <c r="F13" s="248"/>
      <c r="H13" s="247"/>
      <c r="I13" s="247"/>
    </row>
    <row r="14" spans="1:9" ht="15" customHeight="1" x14ac:dyDescent="0.4">
      <c r="B14" s="237"/>
      <c r="C14" s="239"/>
      <c r="D14" s="239"/>
      <c r="E14" s="249"/>
      <c r="F14" s="250"/>
      <c r="H14" s="239"/>
      <c r="I14" s="239"/>
    </row>
    <row r="15" spans="1:9" ht="12.75" customHeight="1" x14ac:dyDescent="0.4">
      <c r="A15" s="102">
        <v>7</v>
      </c>
      <c r="B15" s="237" t="s">
        <v>177</v>
      </c>
      <c r="C15" s="243"/>
      <c r="D15" s="243"/>
      <c r="E15" s="214"/>
      <c r="F15" s="248"/>
      <c r="H15" s="243"/>
      <c r="I15" s="243"/>
    </row>
    <row r="16" spans="1:9" ht="15" customHeight="1" x14ac:dyDescent="0.4">
      <c r="B16" s="238" t="s">
        <v>178</v>
      </c>
      <c r="C16" s="243"/>
      <c r="D16" s="243"/>
      <c r="E16" s="240">
        <f>C16-D16</f>
        <v>0</v>
      </c>
      <c r="F16" s="241">
        <f>IF(ISERROR((C16-D16)/D16),0,(C16-D16)/D16)</f>
        <v>0</v>
      </c>
      <c r="G16" s="251" t="e">
        <f>AVERAGE(C16:D16)</f>
        <v>#DIV/0!</v>
      </c>
      <c r="H16" s="243">
        <v>108059126.91999744</v>
      </c>
      <c r="I16" s="243">
        <v>111582584.5800005</v>
      </c>
    </row>
    <row r="17" spans="1:9" ht="15" customHeight="1" x14ac:dyDescent="0.4">
      <c r="B17" s="238" t="s">
        <v>179</v>
      </c>
      <c r="C17" s="243"/>
      <c r="D17" s="243"/>
      <c r="E17" s="240">
        <f t="shared" ref="E17:E27" si="2">C17-D17</f>
        <v>0</v>
      </c>
      <c r="F17" s="241">
        <f t="shared" ref="F17:F27" si="3">IF(ISERROR((C17-D17)/D17),0,(C17-D17)/D17)</f>
        <v>0</v>
      </c>
      <c r="H17" s="243">
        <v>65175666.090000048</v>
      </c>
      <c r="I17" s="243">
        <v>69127309.019999981</v>
      </c>
    </row>
    <row r="18" spans="1:9" ht="15" customHeight="1" x14ac:dyDescent="0.4">
      <c r="B18" s="238" t="s">
        <v>180</v>
      </c>
      <c r="C18" s="243"/>
      <c r="D18" s="243"/>
      <c r="E18" s="240">
        <f t="shared" si="2"/>
        <v>0</v>
      </c>
      <c r="F18" s="241">
        <f t="shared" si="3"/>
        <v>0</v>
      </c>
      <c r="G18" s="251" t="e">
        <f>AVERAGE(C18:D18)</f>
        <v>#DIV/0!</v>
      </c>
      <c r="H18" s="243">
        <v>4551600</v>
      </c>
      <c r="I18" s="243">
        <v>0</v>
      </c>
    </row>
    <row r="19" spans="1:9" ht="15" customHeight="1" thickBot="1" x14ac:dyDescent="0.45">
      <c r="B19" s="238" t="s">
        <v>181</v>
      </c>
      <c r="C19" s="243"/>
      <c r="D19" s="243"/>
      <c r="E19" s="240">
        <f t="shared" si="2"/>
        <v>0</v>
      </c>
      <c r="F19" s="241">
        <f t="shared" si="3"/>
        <v>0</v>
      </c>
      <c r="G19" s="252" t="e">
        <f>SUM(G16:G18)</f>
        <v>#DIV/0!</v>
      </c>
      <c r="H19" s="243">
        <v>52717520.280000001</v>
      </c>
      <c r="I19" s="243">
        <v>55511857.209999993</v>
      </c>
    </row>
    <row r="20" spans="1:9" ht="15" customHeight="1" thickTop="1" x14ac:dyDescent="0.4">
      <c r="B20" s="238" t="s">
        <v>182</v>
      </c>
      <c r="C20" s="243"/>
      <c r="D20" s="243"/>
      <c r="E20" s="240">
        <f t="shared" si="2"/>
        <v>0</v>
      </c>
      <c r="F20" s="241">
        <f t="shared" si="3"/>
        <v>0</v>
      </c>
      <c r="H20" s="243">
        <v>636965694.52999997</v>
      </c>
      <c r="I20" s="243">
        <v>226745947.21000001</v>
      </c>
    </row>
    <row r="21" spans="1:9" ht="15" customHeight="1" x14ac:dyDescent="0.4">
      <c r="B21" s="238" t="s">
        <v>183</v>
      </c>
      <c r="C21" s="243"/>
      <c r="D21" s="243"/>
      <c r="E21" s="240">
        <f t="shared" si="2"/>
        <v>0</v>
      </c>
      <c r="F21" s="253">
        <f t="shared" si="3"/>
        <v>0</v>
      </c>
      <c r="H21" s="243">
        <v>7784528.1400000006</v>
      </c>
      <c r="I21" s="243">
        <v>180000</v>
      </c>
    </row>
    <row r="22" spans="1:9" x14ac:dyDescent="0.4">
      <c r="B22" s="238" t="s">
        <v>184</v>
      </c>
      <c r="C22" s="243"/>
      <c r="D22" s="243"/>
      <c r="E22" s="240">
        <f t="shared" si="2"/>
        <v>0</v>
      </c>
      <c r="F22" s="253">
        <f t="shared" si="3"/>
        <v>0</v>
      </c>
      <c r="H22" s="243">
        <v>85855781.809999973</v>
      </c>
      <c r="I22" s="243">
        <v>0</v>
      </c>
    </row>
    <row r="23" spans="1:9" x14ac:dyDescent="0.4">
      <c r="B23" s="238" t="s">
        <v>185</v>
      </c>
      <c r="C23" s="243"/>
      <c r="D23" s="243"/>
      <c r="E23" s="240">
        <f t="shared" si="2"/>
        <v>0</v>
      </c>
      <c r="F23" s="241">
        <f t="shared" si="3"/>
        <v>0</v>
      </c>
      <c r="H23" s="243">
        <v>2595871.859999998</v>
      </c>
      <c r="I23" s="243">
        <v>773430</v>
      </c>
    </row>
    <row r="24" spans="1:9" x14ac:dyDescent="0.4">
      <c r="B24" s="238" t="s">
        <v>186</v>
      </c>
      <c r="C24" s="243"/>
      <c r="D24" s="243"/>
      <c r="E24" s="240">
        <f t="shared" si="2"/>
        <v>0</v>
      </c>
      <c r="F24" s="253">
        <f t="shared" si="3"/>
        <v>0</v>
      </c>
      <c r="H24" s="243">
        <v>12499459.939999999</v>
      </c>
      <c r="I24" s="254">
        <v>0</v>
      </c>
    </row>
    <row r="25" spans="1:9" x14ac:dyDescent="0.4">
      <c r="B25" s="238" t="s">
        <v>187</v>
      </c>
      <c r="C25" s="243"/>
      <c r="D25" s="243"/>
      <c r="E25" s="240">
        <f t="shared" si="2"/>
        <v>0</v>
      </c>
      <c r="F25" s="253">
        <f t="shared" si="3"/>
        <v>0</v>
      </c>
      <c r="H25" s="243">
        <v>9604974.7799999677</v>
      </c>
      <c r="I25" s="243">
        <v>15204519.450000003</v>
      </c>
    </row>
    <row r="26" spans="1:9" x14ac:dyDescent="0.4">
      <c r="A26" s="235"/>
      <c r="B26" s="235" t="s">
        <v>188</v>
      </c>
      <c r="C26" s="243"/>
      <c r="D26" s="243"/>
      <c r="E26" s="240">
        <f t="shared" si="2"/>
        <v>0</v>
      </c>
      <c r="F26" s="253">
        <f t="shared" si="3"/>
        <v>0</v>
      </c>
      <c r="H26" s="243">
        <v>-6572262.57999992</v>
      </c>
      <c r="I26" s="254">
        <v>25371204.5</v>
      </c>
    </row>
    <row r="27" spans="1:9" x14ac:dyDescent="0.4">
      <c r="B27" s="102" t="s">
        <v>189</v>
      </c>
      <c r="C27" s="255"/>
      <c r="D27" s="255"/>
      <c r="E27" s="240">
        <f t="shared" si="2"/>
        <v>0</v>
      </c>
      <c r="F27" s="246">
        <f t="shared" si="3"/>
        <v>0</v>
      </c>
      <c r="H27" s="255">
        <v>2919283.8900000234</v>
      </c>
      <c r="I27" s="256">
        <v>1125534.53999999</v>
      </c>
    </row>
    <row r="28" spans="1:9" x14ac:dyDescent="0.4">
      <c r="C28" s="257">
        <f>SUM(C16:C27)</f>
        <v>0</v>
      </c>
      <c r="D28" s="257">
        <f>SUM(D16:D27)</f>
        <v>0</v>
      </c>
      <c r="E28" s="258">
        <f>SUM(E16:E27)</f>
        <v>0</v>
      </c>
      <c r="F28" s="259">
        <f>IF(ISERROR((C28-D28)/D28),0,(C28-D28)/D28)</f>
        <v>0</v>
      </c>
      <c r="H28" s="257">
        <v>982157245.65999746</v>
      </c>
      <c r="I28" s="257">
        <v>505622386.51000041</v>
      </c>
    </row>
    <row r="29" spans="1:9" x14ac:dyDescent="0.4">
      <c r="C29" s="257"/>
      <c r="D29" s="257"/>
      <c r="F29" s="260"/>
      <c r="H29" s="257"/>
      <c r="I29" s="257"/>
    </row>
    <row r="30" spans="1:9" x14ac:dyDescent="0.4">
      <c r="A30" s="102">
        <v>8</v>
      </c>
      <c r="B30" s="210" t="s">
        <v>190</v>
      </c>
      <c r="C30" s="257"/>
      <c r="D30" s="257"/>
      <c r="F30" s="260"/>
      <c r="H30" s="257"/>
      <c r="I30" s="257"/>
    </row>
    <row r="31" spans="1:9" ht="15" customHeight="1" x14ac:dyDescent="0.4">
      <c r="B31" s="238" t="s">
        <v>191</v>
      </c>
      <c r="C31" s="243"/>
      <c r="D31" s="243"/>
      <c r="E31" s="261">
        <f>C31-D31</f>
        <v>0</v>
      </c>
      <c r="F31" s="248">
        <f>IF(ISERROR((C31-D31)/D31),0,(C31-D31)/D31)</f>
        <v>0</v>
      </c>
      <c r="G31" s="251" t="e">
        <f>AVERAGE(C31:D31)</f>
        <v>#DIV/0!</v>
      </c>
      <c r="H31" s="243">
        <v>982265386.31999993</v>
      </c>
      <c r="I31" s="243">
        <v>0</v>
      </c>
    </row>
    <row r="32" spans="1:9" x14ac:dyDescent="0.4">
      <c r="A32" s="235"/>
      <c r="B32" s="235" t="s">
        <v>192</v>
      </c>
      <c r="C32" s="254"/>
      <c r="D32" s="254"/>
      <c r="E32" s="262">
        <f>C32-D32</f>
        <v>0</v>
      </c>
      <c r="F32" s="263">
        <f>IF(ISERROR((C32-D32)/D32),0,(C32-D32)/D32)</f>
        <v>0</v>
      </c>
      <c r="H32" s="254">
        <v>4837500</v>
      </c>
      <c r="I32" s="254">
        <v>0</v>
      </c>
    </row>
    <row r="33" spans="1:9" x14ac:dyDescent="0.4">
      <c r="A33" s="235"/>
      <c r="B33" s="235"/>
      <c r="C33" s="264">
        <f>SUM(C31:C32)</f>
        <v>0</v>
      </c>
      <c r="D33" s="264">
        <f>SUM(D31:D32)</f>
        <v>0</v>
      </c>
      <c r="E33" s="265">
        <f>C33-D33</f>
        <v>0</v>
      </c>
      <c r="F33" s="253">
        <f>IF(ISERROR((C33-D33)/D33),0,(C33-D33)/D33)</f>
        <v>0</v>
      </c>
      <c r="G33" s="266" t="e">
        <f>G19+G31</f>
        <v>#DIV/0!</v>
      </c>
      <c r="H33" s="264">
        <v>987102886.31999993</v>
      </c>
      <c r="I33" s="264">
        <v>0</v>
      </c>
    </row>
    <row r="34" spans="1:9" x14ac:dyDescent="0.4">
      <c r="C34" s="257"/>
      <c r="D34" s="257"/>
      <c r="H34" s="257"/>
      <c r="I34" s="257"/>
    </row>
    <row r="36" spans="1:9" x14ac:dyDescent="0.4">
      <c r="A36" s="102">
        <v>9</v>
      </c>
      <c r="B36" s="237" t="s">
        <v>193</v>
      </c>
    </row>
    <row r="37" spans="1:9" x14ac:dyDescent="0.4">
      <c r="B37" s="102" t="s">
        <v>194</v>
      </c>
      <c r="E37" s="240">
        <f t="shared" ref="E37:E50" si="4">C37-D37</f>
        <v>0</v>
      </c>
      <c r="F37" s="267">
        <f t="shared" ref="F37:F50" si="5">IF(ISERROR((C37-D37)/D37),0,(C37-D37)/D37)</f>
        <v>0</v>
      </c>
      <c r="H37" s="233">
        <v>73750164.289999858</v>
      </c>
      <c r="I37" s="233">
        <v>18881662.970000125</v>
      </c>
    </row>
    <row r="38" spans="1:9" x14ac:dyDescent="0.4">
      <c r="B38" s="102" t="s">
        <v>195</v>
      </c>
      <c r="E38" s="240">
        <f t="shared" si="4"/>
        <v>0</v>
      </c>
      <c r="F38" s="267">
        <f t="shared" si="5"/>
        <v>0</v>
      </c>
      <c r="H38" s="233">
        <v>9250608.9000001252</v>
      </c>
      <c r="I38" s="233">
        <v>-181646581.23000029</v>
      </c>
    </row>
    <row r="39" spans="1:9" x14ac:dyDescent="0.4">
      <c r="B39" s="102" t="s">
        <v>196</v>
      </c>
      <c r="E39" s="240">
        <f t="shared" si="4"/>
        <v>0</v>
      </c>
      <c r="F39" s="267">
        <f t="shared" si="5"/>
        <v>0</v>
      </c>
      <c r="H39" s="233">
        <v>100622141.55000307</v>
      </c>
      <c r="I39" s="233">
        <v>52955580.250000186</v>
      </c>
    </row>
    <row r="40" spans="1:9" x14ac:dyDescent="0.4">
      <c r="B40" s="102" t="s">
        <v>197</v>
      </c>
      <c r="E40" s="240">
        <f t="shared" si="4"/>
        <v>0</v>
      </c>
      <c r="F40" s="267">
        <f t="shared" si="5"/>
        <v>0</v>
      </c>
      <c r="H40" s="233">
        <v>36826646.519999325</v>
      </c>
      <c r="I40" s="233">
        <v>137184928.9300001</v>
      </c>
    </row>
    <row r="41" spans="1:9" x14ac:dyDescent="0.4">
      <c r="B41" s="102" t="s">
        <v>198</v>
      </c>
      <c r="E41" s="240">
        <f t="shared" si="4"/>
        <v>0</v>
      </c>
      <c r="F41" s="267">
        <f t="shared" si="5"/>
        <v>0</v>
      </c>
      <c r="H41" s="233">
        <v>201662248.810002</v>
      </c>
      <c r="I41" s="233">
        <v>65484716.62999928</v>
      </c>
    </row>
    <row r="42" spans="1:9" x14ac:dyDescent="0.4">
      <c r="B42" s="102" t="s">
        <v>199</v>
      </c>
      <c r="E42" s="240">
        <f t="shared" si="4"/>
        <v>0</v>
      </c>
      <c r="F42" s="267">
        <f t="shared" si="5"/>
        <v>0</v>
      </c>
      <c r="H42" s="233">
        <v>30135040</v>
      </c>
    </row>
    <row r="43" spans="1:9" x14ac:dyDescent="0.4">
      <c r="B43" s="102" t="s">
        <v>200</v>
      </c>
      <c r="E43" s="240">
        <f t="shared" si="4"/>
        <v>0</v>
      </c>
      <c r="F43" s="267">
        <f t="shared" si="5"/>
        <v>0</v>
      </c>
      <c r="H43" s="233">
        <v>187251933.17999986</v>
      </c>
      <c r="I43" s="233">
        <v>161787993.55000007</v>
      </c>
    </row>
    <row r="44" spans="1:9" x14ac:dyDescent="0.4">
      <c r="B44" s="102" t="s">
        <v>201</v>
      </c>
      <c r="E44" s="240">
        <f t="shared" si="4"/>
        <v>0</v>
      </c>
      <c r="F44" s="267">
        <f t="shared" si="5"/>
        <v>0</v>
      </c>
      <c r="H44" s="233">
        <v>40582043.25</v>
      </c>
    </row>
    <row r="45" spans="1:9" x14ac:dyDescent="0.4">
      <c r="B45" s="102" t="s">
        <v>202</v>
      </c>
      <c r="E45" s="240">
        <f t="shared" si="4"/>
        <v>0</v>
      </c>
      <c r="F45" s="267">
        <f t="shared" si="5"/>
        <v>0</v>
      </c>
      <c r="H45" s="233">
        <v>-260101.75</v>
      </c>
      <c r="I45" s="233">
        <v>-297</v>
      </c>
    </row>
    <row r="46" spans="1:9" x14ac:dyDescent="0.4">
      <c r="B46" s="102" t="s">
        <v>203</v>
      </c>
      <c r="E46" s="240">
        <f t="shared" si="4"/>
        <v>0</v>
      </c>
      <c r="F46" s="267">
        <f t="shared" si="5"/>
        <v>0</v>
      </c>
      <c r="H46" s="233">
        <v>-4037246.3899999997</v>
      </c>
      <c r="I46" s="233">
        <v>2689050</v>
      </c>
    </row>
    <row r="47" spans="1:9" x14ac:dyDescent="0.4">
      <c r="B47" s="102" t="s">
        <v>204</v>
      </c>
      <c r="E47" s="240">
        <f t="shared" si="4"/>
        <v>0</v>
      </c>
      <c r="F47" s="267">
        <f t="shared" si="5"/>
        <v>0</v>
      </c>
      <c r="H47" s="233">
        <v>1573818.25</v>
      </c>
      <c r="I47" s="233">
        <v>0</v>
      </c>
    </row>
    <row r="48" spans="1:9" x14ac:dyDescent="0.4">
      <c r="B48" s="102" t="s">
        <v>205</v>
      </c>
      <c r="E48" s="240">
        <f t="shared" si="4"/>
        <v>0</v>
      </c>
      <c r="F48" s="267">
        <f t="shared" si="5"/>
        <v>0</v>
      </c>
      <c r="H48" s="233">
        <v>-3292023.6700000018</v>
      </c>
      <c r="I48" s="233">
        <v>0</v>
      </c>
    </row>
    <row r="49" spans="1:11" x14ac:dyDescent="0.4">
      <c r="B49" s="102" t="s">
        <v>206</v>
      </c>
      <c r="E49" s="240">
        <f t="shared" si="4"/>
        <v>0</v>
      </c>
      <c r="F49" s="268">
        <f t="shared" si="5"/>
        <v>0</v>
      </c>
      <c r="G49" s="266"/>
      <c r="H49" s="233">
        <v>-121617099.69000003</v>
      </c>
      <c r="I49" s="233">
        <v>-41994090.489999995</v>
      </c>
    </row>
    <row r="50" spans="1:11" x14ac:dyDescent="0.4">
      <c r="C50" s="264">
        <f>SUM(C37:C49)</f>
        <v>0</v>
      </c>
      <c r="D50" s="264">
        <f>SUM(D37:D49)</f>
        <v>0</v>
      </c>
      <c r="E50" s="269">
        <f t="shared" si="4"/>
        <v>0</v>
      </c>
      <c r="F50" s="267">
        <f t="shared" si="5"/>
        <v>0</v>
      </c>
      <c r="H50" s="264">
        <v>552448173.25000417</v>
      </c>
      <c r="I50" s="264">
        <v>215342963.60999948</v>
      </c>
    </row>
    <row r="52" spans="1:11" x14ac:dyDescent="0.4">
      <c r="A52" s="102">
        <v>10</v>
      </c>
      <c r="B52" s="210" t="s">
        <v>207</v>
      </c>
    </row>
    <row r="53" spans="1:11" x14ac:dyDescent="0.4">
      <c r="B53" s="102" t="s">
        <v>208</v>
      </c>
      <c r="E53" s="240">
        <f t="shared" ref="E53:E59" si="6">C53-D53</f>
        <v>0</v>
      </c>
      <c r="F53" s="267">
        <f t="shared" ref="F53:F59" si="7">IF(ISERROR((C53-D53)/D53),0,(C53-D53)/D53)</f>
        <v>0</v>
      </c>
      <c r="G53" s="251" t="e">
        <f>AVERAGE(C53:D53)</f>
        <v>#DIV/0!</v>
      </c>
      <c r="H53" s="233">
        <v>-1379895645.7600045</v>
      </c>
      <c r="I53" s="233">
        <v>129468815.21000001</v>
      </c>
    </row>
    <row r="54" spans="1:11" x14ac:dyDescent="0.4">
      <c r="B54" s="102" t="s">
        <v>209</v>
      </c>
      <c r="E54" s="240">
        <f t="shared" si="6"/>
        <v>0</v>
      </c>
      <c r="F54" s="267">
        <f t="shared" si="7"/>
        <v>0</v>
      </c>
      <c r="H54" s="233">
        <v>-225633853.61000007</v>
      </c>
      <c r="I54" s="233">
        <v>-31016760</v>
      </c>
      <c r="K54" s="270">
        <f>E54+18000000</f>
        <v>18000000</v>
      </c>
    </row>
    <row r="55" spans="1:11" x14ac:dyDescent="0.4">
      <c r="B55" s="102" t="s">
        <v>210</v>
      </c>
      <c r="E55" s="240">
        <f>C55-D55</f>
        <v>0</v>
      </c>
      <c r="F55" s="267">
        <f t="shared" si="7"/>
        <v>0</v>
      </c>
      <c r="H55" s="233">
        <v>-637121134.2700001</v>
      </c>
      <c r="I55" s="233">
        <v>-8149699.5900000036</v>
      </c>
    </row>
    <row r="56" spans="1:11" x14ac:dyDescent="0.4">
      <c r="B56" s="102" t="s">
        <v>211</v>
      </c>
      <c r="E56" s="240">
        <f t="shared" si="6"/>
        <v>0</v>
      </c>
      <c r="F56" s="267">
        <f t="shared" si="7"/>
        <v>0</v>
      </c>
      <c r="H56" s="233">
        <v>4162500</v>
      </c>
      <c r="I56" s="233">
        <v>4660500</v>
      </c>
    </row>
    <row r="57" spans="1:11" x14ac:dyDescent="0.4">
      <c r="B57" s="102" t="s">
        <v>212</v>
      </c>
      <c r="E57" s="240"/>
      <c r="F57" s="267"/>
    </row>
    <row r="58" spans="1:11" x14ac:dyDescent="0.4">
      <c r="B58" s="102" t="s">
        <v>213</v>
      </c>
      <c r="E58" s="240">
        <f t="shared" si="6"/>
        <v>0</v>
      </c>
      <c r="F58" s="268">
        <f t="shared" si="7"/>
        <v>0</v>
      </c>
      <c r="H58" s="233">
        <v>0</v>
      </c>
      <c r="I58" s="233">
        <v>0</v>
      </c>
    </row>
    <row r="59" spans="1:11" x14ac:dyDescent="0.4">
      <c r="C59" s="264">
        <f>SUM(C53:C58)</f>
        <v>0</v>
      </c>
      <c r="D59" s="264">
        <f>SUM(D53:D58)</f>
        <v>0</v>
      </c>
      <c r="E59" s="269">
        <f t="shared" si="6"/>
        <v>0</v>
      </c>
      <c r="F59" s="267">
        <f t="shared" si="7"/>
        <v>0</v>
      </c>
      <c r="H59" s="264">
        <v>-2238488133.6400046</v>
      </c>
      <c r="I59" s="264">
        <v>94962855.620000005</v>
      </c>
    </row>
    <row r="60" spans="1:11" x14ac:dyDescent="0.4">
      <c r="C60" s="257"/>
      <c r="D60" s="257"/>
      <c r="H60" s="257"/>
      <c r="I60" s="257"/>
    </row>
    <row r="61" spans="1:11" x14ac:dyDescent="0.4">
      <c r="A61" s="102">
        <v>11</v>
      </c>
      <c r="B61" s="210" t="s">
        <v>214</v>
      </c>
      <c r="C61" s="257"/>
      <c r="D61" s="257"/>
      <c r="H61" s="257"/>
      <c r="I61" s="257"/>
    </row>
    <row r="62" spans="1:11" x14ac:dyDescent="0.4">
      <c r="B62" s="102" t="s">
        <v>215</v>
      </c>
      <c r="E62" s="240">
        <f>C62-D62</f>
        <v>0</v>
      </c>
      <c r="F62" s="267">
        <f>IF(ISERROR((C62-D62)/D62),0,(C62-D62)/D62)</f>
        <v>0</v>
      </c>
      <c r="H62" s="233">
        <v>-1179731.93</v>
      </c>
      <c r="I62" s="233">
        <v>0</v>
      </c>
    </row>
    <row r="63" spans="1:11" x14ac:dyDescent="0.4">
      <c r="C63" s="257"/>
      <c r="D63" s="257"/>
      <c r="E63" s="70"/>
      <c r="F63" s="267"/>
      <c r="H63" s="257"/>
      <c r="I63" s="257"/>
    </row>
    <row r="64" spans="1:11" x14ac:dyDescent="0.4">
      <c r="E64" s="70"/>
      <c r="F64" s="267"/>
    </row>
    <row r="65" spans="1:9" x14ac:dyDescent="0.4">
      <c r="A65" s="102">
        <v>12</v>
      </c>
      <c r="B65" s="210" t="s">
        <v>216</v>
      </c>
      <c r="E65" s="240"/>
      <c r="F65" s="267"/>
    </row>
    <row r="66" spans="1:9" x14ac:dyDescent="0.4">
      <c r="B66" s="102" t="s">
        <v>217</v>
      </c>
      <c r="E66" s="240">
        <f t="shared" ref="E66:E71" si="8">C66-D66</f>
        <v>0</v>
      </c>
      <c r="F66" s="267">
        <f t="shared" ref="F66:F71" si="9">IF(ISERROR((C66-D66)/D66),0,(C66-D66)/D66)</f>
        <v>0</v>
      </c>
      <c r="H66" s="233">
        <v>-1217972359.9000001</v>
      </c>
      <c r="I66" s="233">
        <v>0</v>
      </c>
    </row>
    <row r="67" spans="1:9" x14ac:dyDescent="0.4">
      <c r="B67" s="102" t="s">
        <v>218</v>
      </c>
      <c r="E67" s="240">
        <f t="shared" si="8"/>
        <v>0</v>
      </c>
      <c r="F67" s="267">
        <f t="shared" si="9"/>
        <v>0</v>
      </c>
      <c r="H67" s="233">
        <v>-390968157.5299992</v>
      </c>
      <c r="I67" s="233">
        <v>-315187632.86999989</v>
      </c>
    </row>
    <row r="68" spans="1:9" x14ac:dyDescent="0.4">
      <c r="B68" s="102" t="s">
        <v>219</v>
      </c>
      <c r="E68" s="240">
        <f t="shared" si="8"/>
        <v>0</v>
      </c>
      <c r="F68" s="267">
        <f t="shared" si="9"/>
        <v>0</v>
      </c>
      <c r="H68" s="233">
        <v>-377925901.31000078</v>
      </c>
      <c r="I68" s="233">
        <v>-413461713.22000027</v>
      </c>
    </row>
    <row r="69" spans="1:9" x14ac:dyDescent="0.4">
      <c r="B69" s="102" t="s">
        <v>220</v>
      </c>
      <c r="E69" s="271">
        <f t="shared" si="8"/>
        <v>0</v>
      </c>
      <c r="F69" s="267">
        <f t="shared" si="9"/>
        <v>0</v>
      </c>
      <c r="H69" s="233">
        <v>0</v>
      </c>
      <c r="I69" s="233">
        <v>0</v>
      </c>
    </row>
    <row r="70" spans="1:9" x14ac:dyDescent="0.4">
      <c r="B70" s="102" t="s">
        <v>221</v>
      </c>
      <c r="E70" s="262">
        <f t="shared" si="8"/>
        <v>0</v>
      </c>
      <c r="F70" s="268">
        <f t="shared" si="9"/>
        <v>0</v>
      </c>
      <c r="H70" s="233">
        <v>0</v>
      </c>
      <c r="I70" s="233">
        <v>0</v>
      </c>
    </row>
    <row r="71" spans="1:9" x14ac:dyDescent="0.4">
      <c r="C71" s="264">
        <f>SUM(C66:C70)</f>
        <v>0</v>
      </c>
      <c r="D71" s="264">
        <f>SUM(D66:D70)</f>
        <v>0</v>
      </c>
      <c r="E71" s="271">
        <f t="shared" si="8"/>
        <v>0</v>
      </c>
      <c r="F71" s="267">
        <f t="shared" si="9"/>
        <v>0</v>
      </c>
      <c r="H71" s="264">
        <v>-1986866418.7400002</v>
      </c>
      <c r="I71" s="264">
        <v>-728649346.09000015</v>
      </c>
    </row>
    <row r="72" spans="1:9" x14ac:dyDescent="0.4">
      <c r="E72" s="70"/>
      <c r="F72" s="267"/>
    </row>
    <row r="73" spans="1:9" x14ac:dyDescent="0.4">
      <c r="E73" s="70"/>
      <c r="F73" s="267"/>
    </row>
    <row r="74" spans="1:9" x14ac:dyDescent="0.4">
      <c r="E74" s="70"/>
      <c r="F74" s="267"/>
    </row>
    <row r="75" spans="1:9" x14ac:dyDescent="0.4">
      <c r="A75" s="102">
        <v>13</v>
      </c>
      <c r="B75" s="210" t="s">
        <v>222</v>
      </c>
      <c r="E75" s="70"/>
      <c r="F75" s="267"/>
    </row>
    <row r="76" spans="1:9" x14ac:dyDescent="0.4">
      <c r="B76" s="102" t="s">
        <v>223</v>
      </c>
      <c r="C76" s="272"/>
      <c r="D76" s="272"/>
      <c r="E76" s="271">
        <f>C76-D76</f>
        <v>0</v>
      </c>
      <c r="F76" s="267">
        <f>IF(ISERROR((C76-D76)/D76),0,(C76-D76)/D76)</f>
        <v>0</v>
      </c>
      <c r="H76" s="272">
        <v>-978483020.55000019</v>
      </c>
      <c r="I76" s="272">
        <v>-1489905141</v>
      </c>
    </row>
    <row r="77" spans="1:9" x14ac:dyDescent="0.4">
      <c r="E77" s="271"/>
      <c r="F77" s="267"/>
    </row>
    <row r="78" spans="1:9" x14ac:dyDescent="0.4">
      <c r="E78" s="271"/>
      <c r="F78" s="267"/>
    </row>
    <row r="79" spans="1:9" x14ac:dyDescent="0.4">
      <c r="A79" s="102">
        <v>14</v>
      </c>
      <c r="B79" s="210" t="s">
        <v>224</v>
      </c>
      <c r="E79" s="271"/>
      <c r="F79" s="267"/>
    </row>
    <row r="80" spans="1:9" x14ac:dyDescent="0.4">
      <c r="B80" s="102" t="s">
        <v>91</v>
      </c>
      <c r="C80" s="272"/>
      <c r="D80" s="272"/>
      <c r="E80" s="273">
        <f>C80-D80</f>
        <v>0</v>
      </c>
      <c r="F80" s="267">
        <f>IF(ISERROR((C80-D80)/D80),0,(C80-D80)/D80)</f>
        <v>0</v>
      </c>
      <c r="H80" s="272">
        <v>-1057891711.5400001</v>
      </c>
      <c r="I80" s="272">
        <v>-365471711.54000002</v>
      </c>
    </row>
    <row r="81" spans="1:9" x14ac:dyDescent="0.4">
      <c r="E81" s="271"/>
      <c r="F81" s="267"/>
    </row>
    <row r="82" spans="1:9" x14ac:dyDescent="0.4">
      <c r="E82" s="271"/>
      <c r="F82" s="267"/>
    </row>
    <row r="83" spans="1:9" x14ac:dyDescent="0.4">
      <c r="A83" s="102">
        <v>15</v>
      </c>
      <c r="B83" s="210" t="s">
        <v>225</v>
      </c>
      <c r="E83" s="271"/>
      <c r="F83" s="267"/>
    </row>
    <row r="84" spans="1:9" x14ac:dyDescent="0.4">
      <c r="B84" s="102" t="s">
        <v>114</v>
      </c>
      <c r="E84" s="271">
        <f>C84-D84</f>
        <v>0</v>
      </c>
      <c r="F84" s="267">
        <f>IF(ISERROR((C84-D84)/D84),0,(C84-D84)/D84)</f>
        <v>0</v>
      </c>
      <c r="H84" s="233">
        <v>541493371.23000002</v>
      </c>
      <c r="I84" s="233">
        <v>194714252.98999998</v>
      </c>
    </row>
    <row r="85" spans="1:9" x14ac:dyDescent="0.4">
      <c r="B85" s="102" t="s">
        <v>115</v>
      </c>
      <c r="E85" s="271">
        <f>C85-D85</f>
        <v>0</v>
      </c>
      <c r="F85" s="267">
        <f>IF(ISERROR((C85-D85)/D85),0,(C85-D85)/D85)</f>
        <v>0</v>
      </c>
      <c r="H85" s="233">
        <v>329795709.3300001</v>
      </c>
      <c r="I85" s="233">
        <v>63798643.339999951</v>
      </c>
    </row>
    <row r="86" spans="1:9" x14ac:dyDescent="0.4">
      <c r="B86" s="102" t="s">
        <v>226</v>
      </c>
      <c r="E86" s="271">
        <f>C86-D86</f>
        <v>0</v>
      </c>
      <c r="F86" s="267">
        <f>IF(ISERROR((C86-D86)/D86),0,(C86-D86)/D86)</f>
        <v>0</v>
      </c>
      <c r="H86" s="233">
        <v>0</v>
      </c>
      <c r="I86" s="233">
        <v>0</v>
      </c>
    </row>
    <row r="87" spans="1:9" x14ac:dyDescent="0.4">
      <c r="B87" s="102" t="s">
        <v>116</v>
      </c>
      <c r="C87" s="273">
        <f>'Income Stmt'!G47</f>
        <v>0</v>
      </c>
      <c r="D87" s="273">
        <f>'Income Stmt'!G47</f>
        <v>0</v>
      </c>
      <c r="E87" s="273">
        <f>C87-D87</f>
        <v>0</v>
      </c>
      <c r="F87" s="267">
        <f>IF(ISERROR((C87-D87)/D87),0,(C87-D87)/D87)</f>
        <v>0</v>
      </c>
      <c r="H87" s="273">
        <v>-1003831522.2400093</v>
      </c>
      <c r="I87" s="274">
        <v>-381116886.25999999</v>
      </c>
    </row>
  </sheetData>
  <pageMargins left="0.7" right="0.7" top="0.75" bottom="0.75" header="0.3" footer="0.3"/>
  <pageSetup paperSize="9" scale="62" orientation="portrait" r:id="rId1"/>
  <colBreaks count="1" manualBreakCount="1">
    <brk id="6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5"/>
  <sheetViews>
    <sheetView view="pageBreakPreview" zoomScale="70" zoomScaleNormal="100" zoomScaleSheetLayoutView="70" workbookViewId="0">
      <pane xSplit="5" ySplit="3" topLeftCell="M4" activePane="bottomRight" state="frozen"/>
      <selection pane="topRight" activeCell="H1" sqref="H1"/>
      <selection pane="bottomLeft" activeCell="A4" sqref="A4"/>
      <selection pane="bottomRight" activeCell="S4" sqref="S4"/>
    </sheetView>
  </sheetViews>
  <sheetFormatPr defaultRowHeight="13.9" x14ac:dyDescent="0.4"/>
  <cols>
    <col min="1" max="1" width="2" style="4" customWidth="1"/>
    <col min="2" max="2" width="28.06640625" style="4" customWidth="1"/>
    <col min="3" max="3" width="4.265625" style="4" customWidth="1"/>
    <col min="4" max="4" width="18.19921875" style="4" bestFit="1" customWidth="1"/>
    <col min="5" max="5" width="0.9296875" style="4" customWidth="1"/>
    <col min="6" max="6" width="17.06640625" style="4" bestFit="1" customWidth="1"/>
    <col min="7" max="7" width="16.46484375" style="4" bestFit="1" customWidth="1"/>
    <col min="8" max="8" width="14.46484375" style="4" bestFit="1" customWidth="1"/>
    <col min="9" max="9" width="14.9296875" style="4" bestFit="1" customWidth="1"/>
    <col min="10" max="10" width="17.73046875" style="4" bestFit="1" customWidth="1"/>
    <col min="11" max="11" width="0.9296875" style="4" customWidth="1"/>
    <col min="12" max="12" width="17.46484375" style="4" bestFit="1" customWidth="1"/>
    <col min="13" max="13" width="15.9296875" style="4" bestFit="1" customWidth="1"/>
    <col min="14" max="14" width="17.3984375" style="4" bestFit="1" customWidth="1"/>
    <col min="15" max="15" width="0.9296875" style="4" customWidth="1"/>
    <col min="16" max="17" width="15.9296875" style="4" bestFit="1" customWidth="1"/>
    <col min="18" max="18" width="15.9296875" style="4" customWidth="1"/>
    <col min="19" max="19" width="12.33203125" style="4" bestFit="1" customWidth="1"/>
    <col min="20" max="20" width="14.9296875" style="4" bestFit="1" customWidth="1"/>
    <col min="21" max="21" width="14.46484375" style="4" bestFit="1" customWidth="1"/>
    <col min="22" max="16384" width="9.06640625" style="4"/>
  </cols>
  <sheetData>
    <row r="1" spans="2:22" ht="34.9" customHeight="1" x14ac:dyDescent="0.4">
      <c r="B1" s="1" t="s">
        <v>228</v>
      </c>
      <c r="C1" s="2"/>
      <c r="D1" s="3"/>
      <c r="L1" s="58"/>
      <c r="M1" s="58"/>
      <c r="N1" s="59"/>
      <c r="P1" s="13"/>
      <c r="T1" s="13"/>
    </row>
    <row r="2" spans="2:22" hidden="1" x14ac:dyDescent="0.4">
      <c r="B2" s="5"/>
      <c r="D2" s="6"/>
    </row>
    <row r="3" spans="2:22" s="7" customFormat="1" x14ac:dyDescent="0.4">
      <c r="D3" s="8" t="s">
        <v>0</v>
      </c>
      <c r="E3" s="9"/>
      <c r="F3" s="8" t="s">
        <v>51</v>
      </c>
      <c r="G3" s="8" t="s">
        <v>52</v>
      </c>
      <c r="H3" s="8" t="s">
        <v>53</v>
      </c>
      <c r="I3" s="62" t="s">
        <v>54</v>
      </c>
      <c r="J3" s="44" t="s">
        <v>55</v>
      </c>
      <c r="K3" s="9"/>
      <c r="L3" s="8" t="s">
        <v>47</v>
      </c>
      <c r="M3" s="8" t="s">
        <v>48</v>
      </c>
      <c r="N3" s="44" t="s">
        <v>50</v>
      </c>
      <c r="O3" s="9"/>
      <c r="P3" s="8" t="s">
        <v>42</v>
      </c>
      <c r="Q3" s="8" t="s">
        <v>43</v>
      </c>
      <c r="R3" s="44" t="s">
        <v>44</v>
      </c>
      <c r="S3" s="7" t="s">
        <v>56</v>
      </c>
    </row>
    <row r="4" spans="2:22" x14ac:dyDescent="0.4">
      <c r="B4" s="7" t="s">
        <v>14</v>
      </c>
      <c r="D4" s="11"/>
      <c r="E4" s="12"/>
      <c r="F4" s="11"/>
      <c r="G4" s="11"/>
      <c r="H4" s="11"/>
      <c r="I4" s="11"/>
      <c r="J4" s="45">
        <f>SUM(F4:I4)</f>
        <v>0</v>
      </c>
      <c r="K4" s="12"/>
      <c r="L4" s="11"/>
      <c r="M4" s="11"/>
      <c r="N4" s="45">
        <f>SUM(L4:M4)</f>
        <v>0</v>
      </c>
      <c r="O4" s="12"/>
      <c r="P4" s="11"/>
      <c r="Q4" s="11"/>
      <c r="R4" s="45">
        <f>SUM(P4:Q4)</f>
        <v>0</v>
      </c>
      <c r="S4" s="11">
        <f>[1]Data!D80</f>
        <v>0</v>
      </c>
      <c r="T4" s="63">
        <f t="shared" ref="T4:T11" si="0">D4-J4-N4-R4-S4</f>
        <v>0</v>
      </c>
      <c r="U4" s="13"/>
    </row>
    <row r="5" spans="2:22" x14ac:dyDescent="0.4">
      <c r="B5" s="7" t="s">
        <v>15</v>
      </c>
      <c r="D5" s="11"/>
      <c r="E5" s="12"/>
      <c r="F5" s="11"/>
      <c r="G5" s="11"/>
      <c r="H5" s="11"/>
      <c r="I5" s="11"/>
      <c r="J5" s="45">
        <f>SUM(F5:I5)</f>
        <v>0</v>
      </c>
      <c r="K5" s="12"/>
      <c r="L5" s="11"/>
      <c r="M5" s="11"/>
      <c r="N5" s="45">
        <f>SUM(L5:M5)</f>
        <v>0</v>
      </c>
      <c r="O5" s="12"/>
      <c r="P5" s="11"/>
      <c r="Q5" s="11"/>
      <c r="R5" s="45">
        <f>SUM(P5:Q5)</f>
        <v>0</v>
      </c>
      <c r="S5" s="11"/>
      <c r="T5" s="63">
        <f t="shared" si="0"/>
        <v>0</v>
      </c>
      <c r="U5" s="13"/>
    </row>
    <row r="6" spans="2:22" x14ac:dyDescent="0.4">
      <c r="B6" s="14" t="s">
        <v>16</v>
      </c>
      <c r="C6" s="14"/>
      <c r="D6" s="14"/>
      <c r="E6" s="12"/>
      <c r="F6" s="14"/>
      <c r="G6" s="14"/>
      <c r="H6" s="14"/>
      <c r="I6" s="14"/>
      <c r="J6" s="46"/>
      <c r="K6" s="12"/>
      <c r="L6" s="26"/>
      <c r="M6" s="26"/>
      <c r="N6" s="46"/>
      <c r="O6" s="12"/>
      <c r="P6" s="26"/>
      <c r="Q6" s="26"/>
      <c r="R6" s="46"/>
      <c r="S6" s="26"/>
      <c r="T6" s="63">
        <f t="shared" si="0"/>
        <v>0</v>
      </c>
    </row>
    <row r="7" spans="2:22" x14ac:dyDescent="0.4">
      <c r="E7" s="12"/>
      <c r="J7" s="47"/>
      <c r="K7" s="12"/>
      <c r="N7" s="47"/>
      <c r="O7" s="12"/>
      <c r="R7" s="47"/>
      <c r="T7" s="63">
        <f t="shared" si="0"/>
        <v>0</v>
      </c>
    </row>
    <row r="8" spans="2:22" x14ac:dyDescent="0.4">
      <c r="B8" s="4" t="s">
        <v>19</v>
      </c>
      <c r="D8" s="11"/>
      <c r="E8" s="12"/>
      <c r="F8" s="11"/>
      <c r="G8" s="11"/>
      <c r="H8" s="11"/>
      <c r="I8" s="11"/>
      <c r="J8" s="45">
        <f>SUM(F8:I8)</f>
        <v>0</v>
      </c>
      <c r="K8" s="12"/>
      <c r="L8" s="11"/>
      <c r="M8" s="11"/>
      <c r="N8" s="45">
        <f>SUM(L8:M8)</f>
        <v>0</v>
      </c>
      <c r="O8" s="12"/>
      <c r="P8" s="11"/>
      <c r="Q8" s="11"/>
      <c r="R8" s="45">
        <f>SUM(P8:Q8)</f>
        <v>0</v>
      </c>
      <c r="S8" s="11">
        <v>0</v>
      </c>
      <c r="T8" s="63">
        <f>D8-J8-N8-R8-S8</f>
        <v>0</v>
      </c>
    </row>
    <row r="9" spans="2:22" x14ac:dyDescent="0.4">
      <c r="B9" s="4" t="s">
        <v>45</v>
      </c>
      <c r="D9" s="11"/>
      <c r="E9" s="12"/>
      <c r="F9" s="11"/>
      <c r="G9" s="11"/>
      <c r="H9" s="11"/>
      <c r="I9" s="11"/>
      <c r="J9" s="45">
        <f>SUM(F9:I9)</f>
        <v>0</v>
      </c>
      <c r="K9" s="12"/>
      <c r="L9" s="11"/>
      <c r="M9" s="11"/>
      <c r="N9" s="45">
        <f>SUM(L9:M9)</f>
        <v>0</v>
      </c>
      <c r="O9" s="12"/>
      <c r="P9" s="11"/>
      <c r="Q9" s="11"/>
      <c r="R9" s="45">
        <f>SUM(P9:Q9)</f>
        <v>0</v>
      </c>
      <c r="S9" s="11"/>
      <c r="T9" s="63">
        <f>D9-J9-N9-R9-S9</f>
        <v>0</v>
      </c>
    </row>
    <row r="10" spans="2:22" ht="14.25" customHeight="1" x14ac:dyDescent="0.4">
      <c r="B10" s="4" t="s">
        <v>21</v>
      </c>
      <c r="D10" s="11"/>
      <c r="E10" s="12"/>
      <c r="I10" s="11"/>
      <c r="J10" s="45">
        <f>SUM(F10:I10)</f>
        <v>0</v>
      </c>
      <c r="K10" s="12"/>
      <c r="L10" s="11"/>
      <c r="M10" s="11"/>
      <c r="N10" s="45">
        <f>SUM(L10:M10)</f>
        <v>0</v>
      </c>
      <c r="O10" s="12"/>
      <c r="P10" s="11"/>
      <c r="Q10" s="11"/>
      <c r="R10" s="45">
        <f>SUM(P10:Q10)</f>
        <v>0</v>
      </c>
      <c r="S10" s="11">
        <f>[1]Data!D80</f>
        <v>0</v>
      </c>
      <c r="T10" s="63">
        <f t="shared" si="0"/>
        <v>0</v>
      </c>
      <c r="V10" s="21"/>
    </row>
    <row r="11" spans="2:22" x14ac:dyDescent="0.4">
      <c r="B11" s="22" t="s">
        <v>22</v>
      </c>
      <c r="C11" s="14"/>
      <c r="D11" s="23">
        <f>SUM(D8:D10)</f>
        <v>0</v>
      </c>
      <c r="E11" s="12"/>
      <c r="F11" s="23">
        <f>SUM(F8:F10)</f>
        <v>0</v>
      </c>
      <c r="G11" s="23">
        <f>SUM(G8:G10)</f>
        <v>0</v>
      </c>
      <c r="H11" s="23">
        <f>SUM(H8:H10)</f>
        <v>0</v>
      </c>
      <c r="I11" s="23">
        <f>SUM(I8:I10)</f>
        <v>0</v>
      </c>
      <c r="J11" s="48">
        <f>SUM(J8:J10)</f>
        <v>0</v>
      </c>
      <c r="K11" s="12"/>
      <c r="L11" s="23">
        <f>SUM(L8:L10)</f>
        <v>0</v>
      </c>
      <c r="M11" s="23">
        <f>SUM(M8:M10)</f>
        <v>0</v>
      </c>
      <c r="N11" s="48">
        <f>SUM(N8:N10)</f>
        <v>0</v>
      </c>
      <c r="O11" s="12"/>
      <c r="P11" s="23">
        <f>SUM(P8:P10)</f>
        <v>0</v>
      </c>
      <c r="Q11" s="23">
        <f>SUM(Q8:Q10)</f>
        <v>0</v>
      </c>
      <c r="R11" s="48">
        <f>SUM(R8:R10)</f>
        <v>0</v>
      </c>
      <c r="S11" s="23">
        <f>SUM(S8:S10)</f>
        <v>0</v>
      </c>
      <c r="T11" s="63">
        <f t="shared" si="0"/>
        <v>0</v>
      </c>
    </row>
    <row r="12" spans="2:22" x14ac:dyDescent="0.4">
      <c r="B12" s="14" t="s">
        <v>16</v>
      </c>
      <c r="C12" s="14"/>
      <c r="D12" s="24"/>
      <c r="E12" s="12"/>
      <c r="F12" s="24"/>
      <c r="G12" s="24"/>
      <c r="H12" s="24"/>
      <c r="I12" s="24"/>
      <c r="J12" s="49"/>
      <c r="K12" s="12"/>
      <c r="L12" s="64"/>
      <c r="M12" s="64"/>
      <c r="N12" s="49"/>
      <c r="O12" s="12"/>
      <c r="P12" s="24"/>
      <c r="Q12" s="24"/>
      <c r="R12" s="49"/>
      <c r="S12" s="24"/>
      <c r="T12" s="13"/>
    </row>
    <row r="13" spans="2:22" x14ac:dyDescent="0.4">
      <c r="D13" s="30"/>
      <c r="E13" s="12"/>
      <c r="J13" s="65" t="e">
        <f>(J4-J11)/J4</f>
        <v>#DIV/0!</v>
      </c>
      <c r="K13" s="12"/>
      <c r="L13" s="30"/>
      <c r="M13" s="30"/>
      <c r="N13" s="46" t="e">
        <f>(N4-N11)/N4</f>
        <v>#DIV/0!</v>
      </c>
      <c r="O13" s="12"/>
      <c r="P13" s="30"/>
      <c r="Q13" s="30"/>
      <c r="R13" s="46" t="e">
        <f>(R4-R11)/R4</f>
        <v>#DIV/0!</v>
      </c>
      <c r="T13" s="13"/>
    </row>
    <row r="14" spans="2:22" x14ac:dyDescent="0.4">
      <c r="E14" s="12"/>
      <c r="J14" s="60"/>
      <c r="K14" s="12"/>
      <c r="N14" s="47"/>
      <c r="O14" s="12"/>
      <c r="R14" s="47"/>
      <c r="T14" s="13"/>
    </row>
    <row r="15" spans="2:22" x14ac:dyDescent="0.4">
      <c r="B15" s="7" t="s">
        <v>23</v>
      </c>
      <c r="D15" s="11"/>
      <c r="E15" s="12"/>
      <c r="F15" s="11"/>
      <c r="G15" s="11"/>
      <c r="H15" s="11"/>
      <c r="I15" s="11"/>
      <c r="J15" s="45">
        <f>SUM(F15:I15)</f>
        <v>0</v>
      </c>
      <c r="K15" s="12"/>
      <c r="L15" s="11"/>
      <c r="M15" s="11"/>
      <c r="N15" s="45">
        <f>SUM(L15:M15)</f>
        <v>0</v>
      </c>
      <c r="O15" s="12"/>
      <c r="P15" s="11"/>
      <c r="Q15" s="11"/>
      <c r="R15" s="45">
        <f>SUM(P15:Q15)</f>
        <v>0</v>
      </c>
      <c r="S15" s="11">
        <f>'[1]Note_In  Stmt'!C42</f>
        <v>0</v>
      </c>
      <c r="T15" s="63">
        <f t="shared" ref="T15" si="1">D15-J15-N15-R15-S15</f>
        <v>0</v>
      </c>
      <c r="U15" s="58">
        <f>T15/2</f>
        <v>0</v>
      </c>
    </row>
    <row r="16" spans="2:22" x14ac:dyDescent="0.4">
      <c r="B16" s="22" t="s">
        <v>24</v>
      </c>
      <c r="C16" s="14"/>
      <c r="D16" s="25">
        <f>D11-D15</f>
        <v>0</v>
      </c>
      <c r="E16" s="12"/>
      <c r="F16" s="25">
        <f>F11-F15</f>
        <v>0</v>
      </c>
      <c r="G16" s="25">
        <f>G11-G15</f>
        <v>0</v>
      </c>
      <c r="H16" s="25">
        <f>H11-H15</f>
        <v>0</v>
      </c>
      <c r="I16" s="25">
        <f>I11-I15</f>
        <v>0</v>
      </c>
      <c r="J16" s="50">
        <f>J11-J15</f>
        <v>0</v>
      </c>
      <c r="K16" s="12"/>
      <c r="L16" s="25">
        <f>L11-L15</f>
        <v>0</v>
      </c>
      <c r="M16" s="25">
        <f>M11-M15</f>
        <v>0</v>
      </c>
      <c r="N16" s="50">
        <f>N11-N15</f>
        <v>0</v>
      </c>
      <c r="O16" s="12"/>
      <c r="P16" s="25">
        <f>P11-P15</f>
        <v>0</v>
      </c>
      <c r="Q16" s="25">
        <f>Q11-Q15</f>
        <v>0</v>
      </c>
      <c r="R16" s="50">
        <f>R11-R15</f>
        <v>0</v>
      </c>
      <c r="S16" s="25">
        <f>S11-S15</f>
        <v>0</v>
      </c>
      <c r="T16" s="63">
        <f>D16-J16-N16-R16-S16</f>
        <v>0</v>
      </c>
    </row>
    <row r="17" spans="2:20" x14ac:dyDescent="0.4">
      <c r="B17" s="14" t="s">
        <v>16</v>
      </c>
      <c r="C17" s="14"/>
      <c r="D17" s="26"/>
      <c r="E17" s="12"/>
      <c r="F17" s="26"/>
      <c r="G17" s="26"/>
      <c r="H17" s="26"/>
      <c r="I17" s="26"/>
      <c r="J17" s="46"/>
      <c r="K17" s="12"/>
      <c r="L17" s="26"/>
      <c r="M17" s="26"/>
      <c r="N17" s="46"/>
      <c r="O17" s="12"/>
      <c r="P17" s="26"/>
      <c r="Q17" s="26"/>
      <c r="R17" s="46"/>
      <c r="S17" s="26"/>
      <c r="T17" s="13"/>
    </row>
    <row r="18" spans="2:20" x14ac:dyDescent="0.4">
      <c r="B18" s="14" t="s">
        <v>25</v>
      </c>
      <c r="C18" s="14"/>
      <c r="D18" s="26" t="e">
        <f>D16/D11</f>
        <v>#DIV/0!</v>
      </c>
      <c r="E18" s="12"/>
      <c r="F18" s="26" t="e">
        <f>F16/F11</f>
        <v>#DIV/0!</v>
      </c>
      <c r="G18" s="26" t="e">
        <f>G16/G11</f>
        <v>#DIV/0!</v>
      </c>
      <c r="H18" s="26" t="e">
        <f>H16/H11</f>
        <v>#DIV/0!</v>
      </c>
      <c r="I18" s="26" t="e">
        <f>I16/I11</f>
        <v>#DIV/0!</v>
      </c>
      <c r="J18" s="46" t="e">
        <f>J16/J11</f>
        <v>#DIV/0!</v>
      </c>
      <c r="K18" s="12"/>
      <c r="L18" s="26" t="e">
        <f>L16/L11</f>
        <v>#DIV/0!</v>
      </c>
      <c r="M18" s="26" t="e">
        <f>M16/M11</f>
        <v>#DIV/0!</v>
      </c>
      <c r="N18" s="46" t="e">
        <f>N16/N11</f>
        <v>#DIV/0!</v>
      </c>
      <c r="O18" s="12"/>
      <c r="P18" s="26"/>
      <c r="Q18" s="26"/>
      <c r="R18" s="46" t="e">
        <f>R16/R11</f>
        <v>#DIV/0!</v>
      </c>
      <c r="S18" s="26" t="e">
        <f>S16/S11</f>
        <v>#DIV/0!</v>
      </c>
      <c r="T18" s="13"/>
    </row>
    <row r="19" spans="2:20" x14ac:dyDescent="0.4">
      <c r="E19" s="12"/>
      <c r="J19" s="47"/>
      <c r="K19" s="12"/>
      <c r="N19" s="47"/>
      <c r="O19" s="12"/>
      <c r="R19" s="47"/>
      <c r="T19" s="13"/>
    </row>
    <row r="20" spans="2:20" x14ac:dyDescent="0.4">
      <c r="B20" s="7"/>
      <c r="E20" s="12"/>
      <c r="J20" s="47"/>
      <c r="K20" s="12"/>
      <c r="N20" s="47"/>
      <c r="O20" s="12"/>
      <c r="R20" s="47"/>
      <c r="T20" s="13"/>
    </row>
    <row r="21" spans="2:20" x14ac:dyDescent="0.4">
      <c r="B21" s="7" t="s">
        <v>26</v>
      </c>
      <c r="D21" s="11"/>
      <c r="E21" s="12"/>
      <c r="F21" s="11"/>
      <c r="G21" s="11"/>
      <c r="H21" s="11"/>
      <c r="I21" s="11"/>
      <c r="J21" s="45"/>
      <c r="K21" s="12"/>
      <c r="L21" s="11"/>
      <c r="M21" s="11"/>
      <c r="N21" s="45">
        <f>SUM(L21:M21)-N22</f>
        <v>0</v>
      </c>
      <c r="O21" s="12"/>
      <c r="P21" s="11"/>
      <c r="Q21" s="11"/>
      <c r="R21" s="45">
        <f>SUM(P21:Q21)-R22</f>
        <v>0</v>
      </c>
      <c r="S21" s="11"/>
      <c r="T21" s="63">
        <f>D21-J21-N21-R21-S21</f>
        <v>0</v>
      </c>
    </row>
    <row r="22" spans="2:20" x14ac:dyDescent="0.4">
      <c r="B22" s="4" t="s">
        <v>46</v>
      </c>
      <c r="D22" s="11">
        <v>0</v>
      </c>
      <c r="E22" s="12"/>
      <c r="F22" s="11"/>
      <c r="G22" s="11"/>
      <c r="H22" s="11">
        <f>'[1]Over Head'!C43</f>
        <v>0</v>
      </c>
      <c r="I22" s="11"/>
      <c r="J22" s="45">
        <f>SUM(F22:I22)</f>
        <v>0</v>
      </c>
      <c r="K22" s="12"/>
      <c r="L22" s="11"/>
      <c r="M22" s="11"/>
      <c r="N22" s="45">
        <f>SUM(L22:M22)</f>
        <v>0</v>
      </c>
      <c r="O22" s="12"/>
      <c r="P22" s="11"/>
      <c r="Q22" s="11"/>
      <c r="R22" s="45">
        <f>SUM(P22:Q22)</f>
        <v>0</v>
      </c>
      <c r="S22" s="11">
        <v>0</v>
      </c>
      <c r="T22" s="63">
        <f t="shared" ref="T22:T23" si="2">D22-J22-N22-R22-S22</f>
        <v>0</v>
      </c>
    </row>
    <row r="23" spans="2:20" x14ac:dyDescent="0.4">
      <c r="B23" s="22" t="s">
        <v>27</v>
      </c>
      <c r="C23" s="14"/>
      <c r="D23" s="27">
        <f>D16-D21-D22</f>
        <v>0</v>
      </c>
      <c r="E23" s="12"/>
      <c r="F23" s="27">
        <f>F16-F21-F22</f>
        <v>0</v>
      </c>
      <c r="G23" s="27">
        <f>G16-G21-G22</f>
        <v>0</v>
      </c>
      <c r="H23" s="27">
        <f>H16-H21-H22</f>
        <v>0</v>
      </c>
      <c r="I23" s="27">
        <f>I16-I21-I22</f>
        <v>0</v>
      </c>
      <c r="J23" s="51">
        <f>J16-J21-J22</f>
        <v>0</v>
      </c>
      <c r="K23" s="12"/>
      <c r="L23" s="27">
        <f>L16-L21-L22</f>
        <v>0</v>
      </c>
      <c r="M23" s="27">
        <f>M16-M21-M22</f>
        <v>0</v>
      </c>
      <c r="N23" s="51">
        <f>N16-N21-N22</f>
        <v>0</v>
      </c>
      <c r="O23" s="12"/>
      <c r="P23" s="27">
        <f>P16-P21-P22</f>
        <v>0</v>
      </c>
      <c r="Q23" s="27">
        <f>Q16-Q21-Q22</f>
        <v>0</v>
      </c>
      <c r="R23" s="51">
        <f>R16-R21-R22</f>
        <v>0</v>
      </c>
      <c r="S23" s="27">
        <f>S16-S21-S22</f>
        <v>0</v>
      </c>
      <c r="T23" s="63">
        <f t="shared" si="2"/>
        <v>0</v>
      </c>
    </row>
    <row r="24" spans="2:20" x14ac:dyDescent="0.4">
      <c r="B24" s="14" t="s">
        <v>16</v>
      </c>
      <c r="C24" s="14"/>
      <c r="D24" s="24"/>
      <c r="E24" s="12"/>
      <c r="F24" s="24"/>
      <c r="G24" s="24"/>
      <c r="H24" s="24"/>
      <c r="I24" s="24"/>
      <c r="J24" s="49" t="s">
        <v>227</v>
      </c>
      <c r="K24" s="12"/>
      <c r="L24" s="24"/>
      <c r="M24" s="24"/>
      <c r="N24" s="49"/>
      <c r="O24" s="12"/>
      <c r="P24" s="24"/>
      <c r="Q24" s="24"/>
      <c r="R24" s="49"/>
      <c r="S24" s="24"/>
      <c r="T24" s="13"/>
    </row>
    <row r="25" spans="2:20" x14ac:dyDescent="0.4">
      <c r="B25" s="14" t="s">
        <v>25</v>
      </c>
      <c r="C25" s="14"/>
      <c r="D25" s="29" t="e">
        <f>D21/D11</f>
        <v>#DIV/0!</v>
      </c>
      <c r="E25" s="12"/>
      <c r="F25" s="29" t="e">
        <f>(F21+F22)/F11</f>
        <v>#DIV/0!</v>
      </c>
      <c r="G25" s="29" t="e">
        <f>(G21+G22)/G11</f>
        <v>#DIV/0!</v>
      </c>
      <c r="H25" s="29" t="e">
        <f>(H21+H22)/H11</f>
        <v>#DIV/0!</v>
      </c>
      <c r="I25" s="29" t="e">
        <f>(I21+I22)/I11</f>
        <v>#DIV/0!</v>
      </c>
      <c r="J25" s="52" t="e">
        <f>J21/J11</f>
        <v>#DIV/0!</v>
      </c>
      <c r="K25" s="12"/>
      <c r="L25" s="29" t="e">
        <f>SUM(L21:L22)/L11</f>
        <v>#DIV/0!</v>
      </c>
      <c r="M25" s="29" t="e">
        <f>SUM(M21:M22)/M11</f>
        <v>#DIV/0!</v>
      </c>
      <c r="N25" s="52" t="e">
        <f>SUM(N21:N22)/N11</f>
        <v>#DIV/0!</v>
      </c>
      <c r="O25" s="12"/>
      <c r="P25" s="29" t="e">
        <f>SUM(P21:P22)/P11</f>
        <v>#DIV/0!</v>
      </c>
      <c r="Q25" s="29" t="e">
        <f>SUM(Q21:Q22)/Q11</f>
        <v>#DIV/0!</v>
      </c>
      <c r="R25" s="52" t="e">
        <f>SUM(R21:R22)/R11</f>
        <v>#DIV/0!</v>
      </c>
      <c r="S25" s="29" t="e">
        <f>SUM(S21:S22)/S11</f>
        <v>#DIV/0!</v>
      </c>
      <c r="T25" s="13"/>
    </row>
    <row r="26" spans="2:20" x14ac:dyDescent="0.4">
      <c r="E26" s="12"/>
      <c r="J26" s="47"/>
      <c r="K26" s="12"/>
      <c r="N26" s="47"/>
      <c r="O26" s="12"/>
      <c r="R26" s="47"/>
      <c r="T26" s="13"/>
    </row>
    <row r="27" spans="2:20" x14ac:dyDescent="0.4">
      <c r="B27" s="7" t="s">
        <v>28</v>
      </c>
      <c r="D27" s="13"/>
      <c r="E27" s="12"/>
      <c r="F27" s="13"/>
      <c r="G27" s="13"/>
      <c r="H27" s="13"/>
      <c r="I27" s="13"/>
      <c r="J27" s="60"/>
      <c r="K27" s="12"/>
      <c r="L27" s="58"/>
      <c r="M27" s="58"/>
      <c r="N27" s="60">
        <f>SUM(L27:M27)</f>
        <v>0</v>
      </c>
      <c r="O27" s="12"/>
      <c r="P27" s="11"/>
      <c r="Q27" s="11"/>
      <c r="R27" s="45">
        <f>SUM(P27:Q27)</f>
        <v>0</v>
      </c>
      <c r="T27" s="63">
        <f t="shared" ref="T27:T28" si="3">D27-J27-N27-R27-S27</f>
        <v>0</v>
      </c>
    </row>
    <row r="28" spans="2:20" x14ac:dyDescent="0.4">
      <c r="B28" s="22" t="s">
        <v>29</v>
      </c>
      <c r="C28" s="14"/>
      <c r="D28" s="27">
        <f>D23-D27</f>
        <v>0</v>
      </c>
      <c r="E28" s="12"/>
      <c r="F28" s="27">
        <f>F23-F27</f>
        <v>0</v>
      </c>
      <c r="G28" s="27">
        <f>G23-G27</f>
        <v>0</v>
      </c>
      <c r="H28" s="27">
        <f>H23-H27</f>
        <v>0</v>
      </c>
      <c r="I28" s="27">
        <f>I23-I27</f>
        <v>0</v>
      </c>
      <c r="J28" s="51">
        <f>J23-J27</f>
        <v>0</v>
      </c>
      <c r="K28" s="12"/>
      <c r="L28" s="27">
        <f>L23-L27</f>
        <v>0</v>
      </c>
      <c r="M28" s="27">
        <f t="shared" ref="M28:Q28" si="4">M23-M27</f>
        <v>0</v>
      </c>
      <c r="N28" s="51">
        <f>N23-N27</f>
        <v>0</v>
      </c>
      <c r="O28" s="12"/>
      <c r="P28" s="27">
        <f t="shared" si="4"/>
        <v>0</v>
      </c>
      <c r="Q28" s="27">
        <f t="shared" si="4"/>
        <v>0</v>
      </c>
      <c r="R28" s="51">
        <f>R23-R27</f>
        <v>0</v>
      </c>
      <c r="S28" s="27">
        <f>S23-S27</f>
        <v>0</v>
      </c>
      <c r="T28" s="63">
        <f t="shared" si="3"/>
        <v>0</v>
      </c>
    </row>
    <row r="29" spans="2:20" x14ac:dyDescent="0.4">
      <c r="B29" s="14" t="s">
        <v>16</v>
      </c>
      <c r="C29" s="14"/>
      <c r="D29" s="24"/>
      <c r="E29" s="12"/>
      <c r="F29" s="24"/>
      <c r="G29" s="24"/>
      <c r="H29" s="24"/>
      <c r="I29" s="24"/>
      <c r="J29" s="49"/>
      <c r="K29" s="12"/>
      <c r="L29" s="24"/>
      <c r="M29" s="24"/>
      <c r="N29" s="49"/>
      <c r="O29" s="12"/>
      <c r="P29" s="24"/>
      <c r="Q29" s="24"/>
      <c r="R29" s="49"/>
      <c r="S29" s="24"/>
      <c r="T29" s="13"/>
    </row>
    <row r="30" spans="2:20" x14ac:dyDescent="0.4">
      <c r="B30" s="14" t="s">
        <v>25</v>
      </c>
      <c r="C30" s="14"/>
      <c r="D30" s="29" t="e">
        <f>D27/D11</f>
        <v>#DIV/0!</v>
      </c>
      <c r="E30" s="12"/>
      <c r="F30" s="29" t="e">
        <f>F27/F11</f>
        <v>#DIV/0!</v>
      </c>
      <c r="G30" s="29" t="e">
        <f t="shared" ref="G30:S30" si="5">G27/G11</f>
        <v>#DIV/0!</v>
      </c>
      <c r="H30" s="29" t="e">
        <f t="shared" si="5"/>
        <v>#DIV/0!</v>
      </c>
      <c r="I30" s="29" t="e">
        <f t="shared" si="5"/>
        <v>#DIV/0!</v>
      </c>
      <c r="J30" s="52" t="e">
        <f t="shared" si="5"/>
        <v>#DIV/0!</v>
      </c>
      <c r="K30" s="12"/>
      <c r="L30" s="29" t="e">
        <f>L27/L11</f>
        <v>#DIV/0!</v>
      </c>
      <c r="M30" s="29" t="e">
        <f t="shared" si="5"/>
        <v>#DIV/0!</v>
      </c>
      <c r="N30" s="52" t="e">
        <f t="shared" si="5"/>
        <v>#DIV/0!</v>
      </c>
      <c r="O30" s="12"/>
      <c r="P30" s="29" t="e">
        <f t="shared" si="5"/>
        <v>#DIV/0!</v>
      </c>
      <c r="Q30" s="29" t="e">
        <f t="shared" si="5"/>
        <v>#DIV/0!</v>
      </c>
      <c r="R30" s="52" t="e">
        <f t="shared" si="5"/>
        <v>#DIV/0!</v>
      </c>
      <c r="S30" s="29" t="e">
        <f t="shared" si="5"/>
        <v>#DIV/0!</v>
      </c>
      <c r="T30" s="13"/>
    </row>
    <row r="31" spans="2:20" x14ac:dyDescent="0.4">
      <c r="D31" s="30"/>
      <c r="E31" s="12"/>
      <c r="F31" s="31"/>
      <c r="G31" s="31"/>
      <c r="H31" s="31"/>
      <c r="I31" s="31"/>
      <c r="J31" s="53"/>
      <c r="K31" s="12"/>
      <c r="L31" s="31"/>
      <c r="M31" s="31"/>
      <c r="N31" s="53"/>
      <c r="O31" s="12"/>
      <c r="P31" s="31"/>
      <c r="Q31" s="31"/>
      <c r="R31" s="53"/>
      <c r="T31" s="63">
        <f t="shared" ref="T31:T33" si="6">D31-J31-N31-R31-S31</f>
        <v>0</v>
      </c>
    </row>
    <row r="32" spans="2:20" x14ac:dyDescent="0.4">
      <c r="B32" s="32" t="s">
        <v>30</v>
      </c>
      <c r="C32" s="33"/>
      <c r="D32" s="34"/>
      <c r="E32" s="12"/>
      <c r="F32" s="34"/>
      <c r="G32" s="34"/>
      <c r="H32" s="34"/>
      <c r="I32" s="34"/>
      <c r="J32" s="54">
        <f t="shared" ref="J32:R32" si="7">+J21+J22+J27</f>
        <v>0</v>
      </c>
      <c r="K32" s="12"/>
      <c r="L32" s="34">
        <f t="shared" si="7"/>
        <v>0</v>
      </c>
      <c r="M32" s="34">
        <f t="shared" si="7"/>
        <v>0</v>
      </c>
      <c r="N32" s="54">
        <f t="shared" si="7"/>
        <v>0</v>
      </c>
      <c r="O32" s="12"/>
      <c r="P32" s="34">
        <f t="shared" si="7"/>
        <v>0</v>
      </c>
      <c r="Q32" s="34">
        <f t="shared" si="7"/>
        <v>0</v>
      </c>
      <c r="R32" s="54">
        <f t="shared" si="7"/>
        <v>0</v>
      </c>
      <c r="S32" s="34">
        <f>+S21+S27</f>
        <v>0</v>
      </c>
      <c r="T32" s="63">
        <f t="shared" si="6"/>
        <v>0</v>
      </c>
    </row>
    <row r="33" spans="2:20" x14ac:dyDescent="0.4">
      <c r="B33" s="32" t="s">
        <v>29</v>
      </c>
      <c r="C33" s="33"/>
      <c r="D33" s="35">
        <f>D16-D32</f>
        <v>0</v>
      </c>
      <c r="E33" s="12"/>
      <c r="F33" s="35">
        <f t="shared" ref="F33:S33" si="8">F16-F32</f>
        <v>0</v>
      </c>
      <c r="G33" s="35">
        <f t="shared" si="8"/>
        <v>0</v>
      </c>
      <c r="H33" s="35">
        <f t="shared" si="8"/>
        <v>0</v>
      </c>
      <c r="I33" s="35">
        <f t="shared" si="8"/>
        <v>0</v>
      </c>
      <c r="J33" s="51">
        <f t="shared" si="8"/>
        <v>0</v>
      </c>
      <c r="K33" s="12"/>
      <c r="L33" s="35">
        <f>L16-L32</f>
        <v>0</v>
      </c>
      <c r="M33" s="35">
        <f t="shared" si="8"/>
        <v>0</v>
      </c>
      <c r="N33" s="51">
        <f t="shared" si="8"/>
        <v>0</v>
      </c>
      <c r="O33" s="12"/>
      <c r="P33" s="35">
        <f t="shared" si="8"/>
        <v>0</v>
      </c>
      <c r="Q33" s="35">
        <f t="shared" si="8"/>
        <v>0</v>
      </c>
      <c r="R33" s="51">
        <f t="shared" si="8"/>
        <v>0</v>
      </c>
      <c r="S33" s="35">
        <f t="shared" si="8"/>
        <v>0</v>
      </c>
      <c r="T33" s="63">
        <f t="shared" si="6"/>
        <v>0</v>
      </c>
    </row>
    <row r="34" spans="2:20" x14ac:dyDescent="0.4">
      <c r="B34" s="33" t="s">
        <v>16</v>
      </c>
      <c r="C34" s="33"/>
      <c r="D34" s="36"/>
      <c r="E34" s="12"/>
      <c r="F34" s="36"/>
      <c r="G34" s="36"/>
      <c r="H34" s="36"/>
      <c r="I34" s="36"/>
      <c r="J34" s="49"/>
      <c r="K34" s="12"/>
      <c r="L34" s="36"/>
      <c r="M34" s="36"/>
      <c r="N34" s="49"/>
      <c r="O34" s="12"/>
      <c r="P34" s="36"/>
      <c r="Q34" s="36"/>
      <c r="R34" s="49"/>
      <c r="S34" s="36"/>
      <c r="T34" s="13"/>
    </row>
    <row r="35" spans="2:20" x14ac:dyDescent="0.4">
      <c r="B35" s="33" t="s">
        <v>25</v>
      </c>
      <c r="C35" s="33"/>
      <c r="D35" s="37" t="e">
        <f>D32/D11</f>
        <v>#DIV/0!</v>
      </c>
      <c r="E35" s="12"/>
      <c r="F35" s="37" t="e">
        <f>F32/F11</f>
        <v>#DIV/0!</v>
      </c>
      <c r="G35" s="37" t="e">
        <f t="shared" ref="G35:S35" si="9">G32/G11</f>
        <v>#DIV/0!</v>
      </c>
      <c r="H35" s="37" t="e">
        <f t="shared" si="9"/>
        <v>#DIV/0!</v>
      </c>
      <c r="I35" s="37" t="e">
        <f t="shared" si="9"/>
        <v>#DIV/0!</v>
      </c>
      <c r="J35" s="52" t="e">
        <f t="shared" si="9"/>
        <v>#DIV/0!</v>
      </c>
      <c r="K35" s="12"/>
      <c r="L35" s="37" t="e">
        <f>L32/L11</f>
        <v>#DIV/0!</v>
      </c>
      <c r="M35" s="37" t="e">
        <f t="shared" si="9"/>
        <v>#DIV/0!</v>
      </c>
      <c r="N35" s="52" t="e">
        <f t="shared" si="9"/>
        <v>#DIV/0!</v>
      </c>
      <c r="O35" s="12"/>
      <c r="P35" s="37" t="e">
        <f t="shared" si="9"/>
        <v>#DIV/0!</v>
      </c>
      <c r="Q35" s="37" t="e">
        <f t="shared" si="9"/>
        <v>#DIV/0!</v>
      </c>
      <c r="R35" s="52" t="e">
        <f t="shared" si="9"/>
        <v>#DIV/0!</v>
      </c>
      <c r="S35" s="37" t="e">
        <f t="shared" si="9"/>
        <v>#DIV/0!</v>
      </c>
      <c r="T35" s="13"/>
    </row>
    <row r="36" spans="2:20" x14ac:dyDescent="0.4">
      <c r="D36" s="30"/>
      <c r="E36" s="12"/>
      <c r="F36" s="31"/>
      <c r="G36" s="31"/>
      <c r="H36" s="31"/>
      <c r="I36" s="31"/>
      <c r="J36" s="53"/>
      <c r="K36" s="12"/>
      <c r="L36" s="31"/>
      <c r="M36" s="31"/>
      <c r="N36" s="53"/>
      <c r="O36" s="12"/>
      <c r="P36" s="31"/>
      <c r="Q36" s="31"/>
      <c r="R36" s="53"/>
      <c r="T36" s="13"/>
    </row>
    <row r="37" spans="2:20" x14ac:dyDescent="0.4">
      <c r="B37" s="7" t="s">
        <v>31</v>
      </c>
      <c r="D37" s="11"/>
      <c r="E37" s="12"/>
      <c r="F37" s="13"/>
      <c r="G37" s="13"/>
      <c r="H37" s="13"/>
      <c r="I37" s="13"/>
      <c r="J37" s="45"/>
      <c r="K37" s="12"/>
      <c r="L37" s="11"/>
      <c r="M37" s="11"/>
      <c r="N37" s="45">
        <f>SUM(L37:M37)</f>
        <v>0</v>
      </c>
      <c r="O37" s="12"/>
      <c r="P37" s="11"/>
      <c r="Q37" s="11"/>
      <c r="R37" s="45">
        <f>SUM(P37:Q37)</f>
        <v>0</v>
      </c>
      <c r="S37" s="11"/>
      <c r="T37" s="63">
        <f t="shared" ref="T37:T38" si="10">D37-J37-N37-R37-S37</f>
        <v>0</v>
      </c>
    </row>
    <row r="38" spans="2:20" x14ac:dyDescent="0.4">
      <c r="B38" s="22" t="s">
        <v>34</v>
      </c>
      <c r="C38" s="14"/>
      <c r="D38" s="27">
        <f>D28-D37</f>
        <v>0</v>
      </c>
      <c r="E38" s="12"/>
      <c r="F38" s="27">
        <f>F28-F37</f>
        <v>0</v>
      </c>
      <c r="G38" s="27">
        <f>G28-G37</f>
        <v>0</v>
      </c>
      <c r="H38" s="27">
        <f>H28-H37</f>
        <v>0</v>
      </c>
      <c r="I38" s="27">
        <f>I28-I37</f>
        <v>0</v>
      </c>
      <c r="J38" s="51">
        <f>J28-J37</f>
        <v>0</v>
      </c>
      <c r="K38" s="12"/>
      <c r="L38" s="27">
        <f>L28-L37</f>
        <v>0</v>
      </c>
      <c r="M38" s="27">
        <f>M28-M37</f>
        <v>0</v>
      </c>
      <c r="N38" s="51">
        <f>N28-N37</f>
        <v>0</v>
      </c>
      <c r="O38" s="12"/>
      <c r="P38" s="27">
        <f>P28-P37</f>
        <v>0</v>
      </c>
      <c r="Q38" s="27">
        <f>Q28-Q37</f>
        <v>0</v>
      </c>
      <c r="R38" s="51">
        <f>R28-R37</f>
        <v>0</v>
      </c>
      <c r="S38" s="27">
        <f>S28-S37</f>
        <v>0</v>
      </c>
      <c r="T38" s="63">
        <f t="shared" si="10"/>
        <v>0</v>
      </c>
    </row>
    <row r="39" spans="2:20" x14ac:dyDescent="0.4">
      <c r="B39" s="14" t="s">
        <v>16</v>
      </c>
      <c r="C39" s="14"/>
      <c r="D39" s="24"/>
      <c r="E39" s="12"/>
      <c r="F39" s="24"/>
      <c r="G39" s="24"/>
      <c r="H39" s="24"/>
      <c r="I39" s="24"/>
      <c r="J39" s="49"/>
      <c r="K39" s="12"/>
      <c r="L39" s="24"/>
      <c r="M39" s="24"/>
      <c r="N39" s="49"/>
      <c r="O39" s="12"/>
      <c r="P39" s="24"/>
      <c r="Q39" s="24"/>
      <c r="R39" s="49"/>
      <c r="S39" s="24"/>
      <c r="T39" s="13"/>
    </row>
    <row r="40" spans="2:20" x14ac:dyDescent="0.4">
      <c r="B40" s="14" t="s">
        <v>25</v>
      </c>
      <c r="C40" s="14"/>
      <c r="D40" s="29" t="e">
        <f>D37/D11</f>
        <v>#DIV/0!</v>
      </c>
      <c r="E40" s="12"/>
      <c r="F40" s="39" t="e">
        <f>F37/F11</f>
        <v>#DIV/0!</v>
      </c>
      <c r="G40" s="39" t="e">
        <f t="shared" ref="G40:R40" si="11">G37/G11</f>
        <v>#DIV/0!</v>
      </c>
      <c r="H40" s="39" t="e">
        <f t="shared" si="11"/>
        <v>#DIV/0!</v>
      </c>
      <c r="I40" s="39" t="e">
        <f t="shared" si="11"/>
        <v>#DIV/0!</v>
      </c>
      <c r="J40" s="53" t="e">
        <f t="shared" si="11"/>
        <v>#DIV/0!</v>
      </c>
      <c r="K40" s="12"/>
      <c r="L40" s="39" t="e">
        <f t="shared" si="11"/>
        <v>#DIV/0!</v>
      </c>
      <c r="M40" s="39" t="e">
        <f t="shared" si="11"/>
        <v>#DIV/0!</v>
      </c>
      <c r="N40" s="53" t="e">
        <f t="shared" si="11"/>
        <v>#DIV/0!</v>
      </c>
      <c r="O40" s="12"/>
      <c r="P40" s="39" t="e">
        <f t="shared" si="11"/>
        <v>#DIV/0!</v>
      </c>
      <c r="Q40" s="39" t="e">
        <f t="shared" si="11"/>
        <v>#DIV/0!</v>
      </c>
      <c r="R40" s="53" t="e">
        <f t="shared" si="11"/>
        <v>#DIV/0!</v>
      </c>
      <c r="S40" s="39" t="e">
        <f>S38/S11</f>
        <v>#DIV/0!</v>
      </c>
      <c r="T40" s="13"/>
    </row>
    <row r="41" spans="2:20" x14ac:dyDescent="0.4">
      <c r="E41" s="12"/>
      <c r="J41" s="47"/>
      <c r="K41" s="12"/>
      <c r="N41" s="47"/>
      <c r="O41" s="12"/>
      <c r="R41" s="47"/>
      <c r="T41" s="63">
        <f t="shared" ref="T41" si="12">D41-J41-N41-R41-S41</f>
        <v>0</v>
      </c>
    </row>
    <row r="42" spans="2:20" x14ac:dyDescent="0.4">
      <c r="B42" s="22" t="s">
        <v>35</v>
      </c>
      <c r="C42" s="14"/>
      <c r="D42" s="38"/>
      <c r="E42" s="12"/>
      <c r="F42" s="11"/>
      <c r="G42" s="11"/>
      <c r="H42" s="11"/>
      <c r="I42" s="11"/>
      <c r="J42" s="55"/>
      <c r="K42" s="12"/>
      <c r="L42" s="38"/>
      <c r="M42" s="38"/>
      <c r="N42" s="55">
        <f>SUM(L42:M42)</f>
        <v>0</v>
      </c>
      <c r="O42" s="12"/>
      <c r="P42" s="38"/>
      <c r="Q42" s="38"/>
      <c r="R42" s="55">
        <f>SUM(P42:Q42)</f>
        <v>0</v>
      </c>
      <c r="S42" s="38">
        <v>0</v>
      </c>
      <c r="T42" s="13"/>
    </row>
    <row r="43" spans="2:20" x14ac:dyDescent="0.4">
      <c r="B43" s="14" t="s">
        <v>16</v>
      </c>
      <c r="C43" s="14"/>
      <c r="D43" s="24"/>
      <c r="E43" s="12"/>
      <c r="F43" s="24"/>
      <c r="G43" s="24"/>
      <c r="H43" s="24"/>
      <c r="I43" s="24"/>
      <c r="J43" s="49"/>
      <c r="K43" s="12"/>
      <c r="L43" s="24"/>
      <c r="M43" s="24"/>
      <c r="N43" s="49"/>
      <c r="O43" s="12"/>
      <c r="P43" s="24"/>
      <c r="Q43" s="24"/>
      <c r="R43" s="49"/>
      <c r="S43" s="24"/>
      <c r="T43" s="13"/>
    </row>
    <row r="44" spans="2:20" x14ac:dyDescent="0.4">
      <c r="B44" s="14" t="s">
        <v>25</v>
      </c>
      <c r="C44" s="14"/>
      <c r="D44" s="39" t="e">
        <f>D42/D11</f>
        <v>#DIV/0!</v>
      </c>
      <c r="E44" s="12"/>
      <c r="F44" s="39" t="e">
        <f>F42/F11</f>
        <v>#DIV/0!</v>
      </c>
      <c r="G44" s="39" t="e">
        <f>G42/G11</f>
        <v>#DIV/0!</v>
      </c>
      <c r="H44" s="39" t="e">
        <f>H42/H11</f>
        <v>#DIV/0!</v>
      </c>
      <c r="I44" s="39" t="e">
        <f>I42/I11</f>
        <v>#DIV/0!</v>
      </c>
      <c r="J44" s="53" t="e">
        <f>J42/J11</f>
        <v>#DIV/0!</v>
      </c>
      <c r="K44" s="12"/>
      <c r="L44" s="39" t="e">
        <f>L42/L11</f>
        <v>#DIV/0!</v>
      </c>
      <c r="M44" s="39" t="e">
        <f>M42/M11</f>
        <v>#DIV/0!</v>
      </c>
      <c r="N44" s="53" t="e">
        <f>N42/N11</f>
        <v>#DIV/0!</v>
      </c>
      <c r="O44" s="12"/>
      <c r="P44" s="39"/>
      <c r="Q44" s="39"/>
      <c r="R44" s="53" t="e">
        <f>R42/R11</f>
        <v>#DIV/0!</v>
      </c>
      <c r="S44" s="39" t="e">
        <f>S42/S11</f>
        <v>#DIV/0!</v>
      </c>
      <c r="T44" s="13"/>
    </row>
    <row r="45" spans="2:20" x14ac:dyDescent="0.4">
      <c r="E45" s="12"/>
      <c r="J45" s="47"/>
      <c r="K45" s="12"/>
      <c r="N45" s="47"/>
      <c r="O45" s="12"/>
      <c r="R45" s="47"/>
      <c r="T45" s="13"/>
    </row>
    <row r="46" spans="2:20" x14ac:dyDescent="0.4">
      <c r="B46" s="22" t="s">
        <v>36</v>
      </c>
      <c r="C46" s="14"/>
      <c r="D46" s="27">
        <f>D38-D42</f>
        <v>0</v>
      </c>
      <c r="E46" s="12"/>
      <c r="F46" s="27">
        <f>F38-F42</f>
        <v>0</v>
      </c>
      <c r="G46" s="27">
        <f>G38-G42</f>
        <v>0</v>
      </c>
      <c r="H46" s="27">
        <f>H38-H42</f>
        <v>0</v>
      </c>
      <c r="I46" s="27">
        <f>I38-I42</f>
        <v>0</v>
      </c>
      <c r="J46" s="51">
        <f>J38-J42</f>
        <v>0</v>
      </c>
      <c r="K46" s="12"/>
      <c r="L46" s="27">
        <f>L38-L42</f>
        <v>0</v>
      </c>
      <c r="M46" s="27">
        <f>M38-M42</f>
        <v>0</v>
      </c>
      <c r="N46" s="51">
        <f>N38-N42</f>
        <v>0</v>
      </c>
      <c r="O46" s="12"/>
      <c r="P46" s="27">
        <f>P38-P42</f>
        <v>0</v>
      </c>
      <c r="Q46" s="27">
        <f>Q38-Q42</f>
        <v>0</v>
      </c>
      <c r="R46" s="51">
        <f>R38-R42</f>
        <v>0</v>
      </c>
      <c r="S46" s="27">
        <f>S38-S42</f>
        <v>0</v>
      </c>
      <c r="T46" s="63">
        <f>D46-J46-N46-R46-S46</f>
        <v>0</v>
      </c>
    </row>
    <row r="47" spans="2:20" x14ac:dyDescent="0.4">
      <c r="B47" s="14" t="s">
        <v>25</v>
      </c>
      <c r="C47" s="14"/>
      <c r="D47" s="39" t="e">
        <f>D46/D11</f>
        <v>#DIV/0!</v>
      </c>
      <c r="E47" s="12"/>
      <c r="F47" s="39" t="e">
        <f>F46/F11</f>
        <v>#DIV/0!</v>
      </c>
      <c r="G47" s="39" t="e">
        <f>G46/G11</f>
        <v>#DIV/0!</v>
      </c>
      <c r="H47" s="39" t="e">
        <f>H46/H11</f>
        <v>#DIV/0!</v>
      </c>
      <c r="I47" s="39" t="e">
        <f>I46/I11</f>
        <v>#DIV/0!</v>
      </c>
      <c r="J47" s="53" t="e">
        <f>J46/J11</f>
        <v>#DIV/0!</v>
      </c>
      <c r="K47" s="12"/>
      <c r="L47" s="39" t="e">
        <f>L46/L11</f>
        <v>#DIV/0!</v>
      </c>
      <c r="M47" s="39" t="e">
        <f>M46/M11</f>
        <v>#DIV/0!</v>
      </c>
      <c r="N47" s="53" t="e">
        <f>N46/N11</f>
        <v>#DIV/0!</v>
      </c>
      <c r="O47" s="12"/>
      <c r="P47" s="39"/>
      <c r="Q47" s="39"/>
      <c r="R47" s="53" t="e">
        <f>R46/R11</f>
        <v>#DIV/0!</v>
      </c>
      <c r="S47" s="39" t="e">
        <f>S46/S11</f>
        <v>#DIV/0!</v>
      </c>
      <c r="T47" s="13"/>
    </row>
    <row r="48" spans="2:20" x14ac:dyDescent="0.4">
      <c r="B48" s="4" t="s">
        <v>37</v>
      </c>
      <c r="D48" s="31" t="e">
        <f>D46/D16</f>
        <v>#DIV/0!</v>
      </c>
      <c r="E48" s="12"/>
      <c r="F48" s="31" t="e">
        <f>F46/F16</f>
        <v>#DIV/0!</v>
      </c>
      <c r="G48" s="31" t="e">
        <f>G46/G16</f>
        <v>#DIV/0!</v>
      </c>
      <c r="H48" s="31" t="e">
        <f>H46/H16</f>
        <v>#DIV/0!</v>
      </c>
      <c r="I48" s="31" t="e">
        <f>I46/I16</f>
        <v>#DIV/0!</v>
      </c>
      <c r="J48" s="53" t="e">
        <f>J46/J16</f>
        <v>#DIV/0!</v>
      </c>
      <c r="K48" s="12"/>
      <c r="L48" s="31" t="e">
        <f>L46/L16</f>
        <v>#DIV/0!</v>
      </c>
      <c r="M48" s="31" t="e">
        <f>M46/M16</f>
        <v>#DIV/0!</v>
      </c>
      <c r="N48" s="53" t="e">
        <f>N46/N16</f>
        <v>#DIV/0!</v>
      </c>
      <c r="O48" s="12"/>
      <c r="P48" s="31" t="e">
        <f>P46/P16</f>
        <v>#DIV/0!</v>
      </c>
      <c r="Q48" s="31" t="e">
        <f>Q46/Q16</f>
        <v>#DIV/0!</v>
      </c>
      <c r="R48" s="53" t="e">
        <f>R46/R16</f>
        <v>#DIV/0!</v>
      </c>
      <c r="S48" s="31" t="e">
        <f>S46/S16</f>
        <v>#DIV/0!</v>
      </c>
      <c r="T48" s="13"/>
    </row>
    <row r="49" spans="2:20" x14ac:dyDescent="0.4">
      <c r="E49" s="12"/>
      <c r="J49" s="47"/>
      <c r="K49" s="12"/>
      <c r="N49" s="47"/>
      <c r="O49" s="12"/>
      <c r="R49" s="47"/>
      <c r="T49" s="13"/>
    </row>
    <row r="50" spans="2:20" x14ac:dyDescent="0.4">
      <c r="B50" s="40" t="s">
        <v>38</v>
      </c>
      <c r="D50" s="11"/>
      <c r="E50" s="12"/>
      <c r="F50" s="11"/>
      <c r="G50" s="11"/>
      <c r="H50" s="11"/>
      <c r="I50" s="11"/>
      <c r="J50" s="45">
        <f>'[1]Note_In  Stmt'!C73</f>
        <v>0</v>
      </c>
      <c r="K50" s="12"/>
      <c r="L50" s="11">
        <f>'[1]Note_In  Stmt'!C74</f>
        <v>0</v>
      </c>
      <c r="M50" s="11">
        <f>'[1]Note_In  Stmt'!C75</f>
        <v>0</v>
      </c>
      <c r="N50" s="45">
        <f>SUM(L50:M50)</f>
        <v>0</v>
      </c>
      <c r="O50" s="12"/>
      <c r="P50" s="11">
        <f>'[1]Note_In  Stmt'!C76</f>
        <v>0</v>
      </c>
      <c r="Q50" s="11">
        <f>'[1]Note_In  Stmt'!C77</f>
        <v>0</v>
      </c>
      <c r="R50" s="45">
        <f>SUM(P50:Q50)</f>
        <v>0</v>
      </c>
      <c r="S50" s="11">
        <f>'[1]Note_In  Stmt'!C79</f>
        <v>0</v>
      </c>
      <c r="T50" s="63">
        <f t="shared" ref="T50" si="13">D50-J50-N50-R50-S50</f>
        <v>0</v>
      </c>
    </row>
    <row r="51" spans="2:20" x14ac:dyDescent="0.4">
      <c r="B51" s="14" t="s">
        <v>25</v>
      </c>
      <c r="C51" s="14"/>
      <c r="D51" s="39" t="e">
        <f>D50/D11</f>
        <v>#DIV/0!</v>
      </c>
      <c r="E51" s="12"/>
      <c r="F51" s="39" t="e">
        <f>F50/F11</f>
        <v>#DIV/0!</v>
      </c>
      <c r="G51" s="39" t="e">
        <f>G50/G11</f>
        <v>#DIV/0!</v>
      </c>
      <c r="H51" s="39" t="e">
        <f>H50/H11</f>
        <v>#DIV/0!</v>
      </c>
      <c r="I51" s="39" t="e">
        <f>I50/I11</f>
        <v>#DIV/0!</v>
      </c>
      <c r="J51" s="53" t="e">
        <f>J50/J11</f>
        <v>#DIV/0!</v>
      </c>
      <c r="K51" s="12"/>
      <c r="L51" s="39" t="e">
        <f>L50/L11</f>
        <v>#DIV/0!</v>
      </c>
      <c r="M51" s="39" t="e">
        <f>M50/M11</f>
        <v>#DIV/0!</v>
      </c>
      <c r="N51" s="53" t="e">
        <f>N50/N11</f>
        <v>#DIV/0!</v>
      </c>
      <c r="O51" s="12"/>
      <c r="P51" s="39" t="e">
        <f>P50/P11</f>
        <v>#DIV/0!</v>
      </c>
      <c r="Q51" s="39" t="e">
        <f>Q50/Q11</f>
        <v>#DIV/0!</v>
      </c>
      <c r="R51" s="53" t="e">
        <f>R50/R11</f>
        <v>#DIV/0!</v>
      </c>
      <c r="S51" s="39" t="e">
        <f>S50/S11</f>
        <v>#DIV/0!</v>
      </c>
      <c r="T51" s="13"/>
    </row>
    <row r="52" spans="2:20" x14ac:dyDescent="0.4">
      <c r="B52" s="22" t="s">
        <v>39</v>
      </c>
      <c r="C52" s="14"/>
      <c r="D52" s="27">
        <f>D46-D50</f>
        <v>0</v>
      </c>
      <c r="E52" s="12"/>
      <c r="F52" s="27">
        <f>F46-F50</f>
        <v>0</v>
      </c>
      <c r="G52" s="27">
        <f>G46-G50</f>
        <v>0</v>
      </c>
      <c r="H52" s="27">
        <f>H46-H50</f>
        <v>0</v>
      </c>
      <c r="I52" s="27">
        <f>I46-I50</f>
        <v>0</v>
      </c>
      <c r="J52" s="51">
        <f>J46-J50</f>
        <v>0</v>
      </c>
      <c r="K52" s="12"/>
      <c r="L52" s="27">
        <f t="shared" ref="L52:S52" si="14">L46-L50</f>
        <v>0</v>
      </c>
      <c r="M52" s="27">
        <f t="shared" si="14"/>
        <v>0</v>
      </c>
      <c r="N52" s="51">
        <f t="shared" si="14"/>
        <v>0</v>
      </c>
      <c r="O52" s="12"/>
      <c r="P52" s="27">
        <f t="shared" si="14"/>
        <v>0</v>
      </c>
      <c r="Q52" s="27">
        <f t="shared" si="14"/>
        <v>0</v>
      </c>
      <c r="R52" s="51">
        <f>R46-R50</f>
        <v>0</v>
      </c>
      <c r="S52" s="27">
        <f t="shared" si="14"/>
        <v>0</v>
      </c>
      <c r="T52" s="63">
        <f t="shared" ref="T52" si="15">D52-J52-N52-R52-S52</f>
        <v>0</v>
      </c>
    </row>
    <row r="53" spans="2:20" x14ac:dyDescent="0.4">
      <c r="E53" s="12"/>
      <c r="J53" s="47"/>
      <c r="K53" s="12"/>
      <c r="N53" s="47"/>
      <c r="O53" s="12"/>
      <c r="R53" s="47"/>
    </row>
    <row r="54" spans="2:20" x14ac:dyDescent="0.4">
      <c r="B54" s="22" t="s">
        <v>40</v>
      </c>
      <c r="C54" s="22"/>
      <c r="D54" s="41"/>
      <c r="E54" s="12"/>
      <c r="F54" s="22"/>
      <c r="G54" s="22"/>
      <c r="H54" s="22"/>
      <c r="I54" s="22"/>
      <c r="J54" s="57"/>
      <c r="K54" s="12"/>
      <c r="L54" s="56"/>
      <c r="M54" s="56"/>
      <c r="N54" s="57"/>
      <c r="O54" s="12"/>
      <c r="P54" s="56"/>
      <c r="Q54" s="56"/>
      <c r="R54" s="57"/>
      <c r="S54" s="56"/>
    </row>
    <row r="55" spans="2:20" x14ac:dyDescent="0.4">
      <c r="D55" s="42">
        <f>D52-'[1]Income Stmt'!C47</f>
        <v>24489616.053571135</v>
      </c>
    </row>
  </sheetData>
  <pageMargins left="0.7" right="0.7" top="0.75" bottom="0.75" header="0.3" footer="0.3"/>
  <pageSetup paperSize="9"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8"/>
  <sheetViews>
    <sheetView view="pageBreakPreview" zoomScale="70" zoomScaleNormal="100" zoomScaleSheetLayoutView="70" workbookViewId="0">
      <pane xSplit="5" ySplit="3" topLeftCell="F37" activePane="bottomRight" state="frozen"/>
      <selection activeCell="C21" sqref="C21"/>
      <selection pane="topRight" activeCell="C21" sqref="C21"/>
      <selection pane="bottomLeft" activeCell="C21" sqref="C21"/>
      <selection pane="bottomRight" activeCell="D59" sqref="D59"/>
    </sheetView>
  </sheetViews>
  <sheetFormatPr defaultRowHeight="13.9" x14ac:dyDescent="0.4"/>
  <cols>
    <col min="1" max="1" width="2" style="4" customWidth="1"/>
    <col min="2" max="2" width="28.06640625" style="4" customWidth="1"/>
    <col min="3" max="3" width="4.265625" style="4" customWidth="1"/>
    <col min="4" max="4" width="18.19921875" style="4" bestFit="1" customWidth="1"/>
    <col min="5" max="5" width="0.9296875" style="4" customWidth="1"/>
    <col min="6" max="16" width="15.9296875" style="4" bestFit="1" customWidth="1"/>
    <col min="17" max="17" width="15.9296875" style="4" customWidth="1"/>
    <col min="18" max="18" width="17.19921875" style="4" customWidth="1"/>
    <col min="19" max="19" width="15.19921875" style="4" bestFit="1" customWidth="1"/>
    <col min="20" max="16384" width="9.06640625" style="4"/>
  </cols>
  <sheetData>
    <row r="1" spans="2:21" ht="34.9" customHeight="1" x14ac:dyDescent="0.4">
      <c r="B1" s="1" t="s">
        <v>229</v>
      </c>
      <c r="C1" s="2"/>
      <c r="D1" s="3"/>
    </row>
    <row r="2" spans="2:21" hidden="1" x14ac:dyDescent="0.4">
      <c r="B2" s="5"/>
      <c r="D2" s="6"/>
    </row>
    <row r="3" spans="2:21" s="7" customFormat="1" ht="41.65" x14ac:dyDescent="0.4">
      <c r="D3" s="8" t="s">
        <v>0</v>
      </c>
      <c r="E3" s="9"/>
      <c r="F3" s="10" t="s">
        <v>1</v>
      </c>
      <c r="G3" s="10" t="s">
        <v>2</v>
      </c>
      <c r="H3" s="10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10" t="s">
        <v>8</v>
      </c>
      <c r="N3" s="10" t="s">
        <v>9</v>
      </c>
      <c r="O3" s="10" t="s">
        <v>10</v>
      </c>
      <c r="P3" s="10" t="s">
        <v>11</v>
      </c>
      <c r="Q3" s="10" t="s">
        <v>12</v>
      </c>
      <c r="R3" s="10" t="s">
        <v>13</v>
      </c>
    </row>
    <row r="4" spans="2:21" x14ac:dyDescent="0.4">
      <c r="B4" s="7" t="s">
        <v>14</v>
      </c>
      <c r="D4" s="11"/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3">
        <f>D4-SUM(F4:R4)</f>
        <v>0</v>
      </c>
    </row>
    <row r="5" spans="2:21" x14ac:dyDescent="0.4">
      <c r="B5" s="7" t="s">
        <v>15</v>
      </c>
      <c r="D5" s="11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3">
        <f>D5-SUM(F5:R5)</f>
        <v>0</v>
      </c>
    </row>
    <row r="6" spans="2:21" x14ac:dyDescent="0.4">
      <c r="B6" s="14" t="s">
        <v>16</v>
      </c>
      <c r="C6" s="14"/>
      <c r="D6" s="14"/>
      <c r="E6" s="12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2:21" x14ac:dyDescent="0.4">
      <c r="B7" s="4" t="s">
        <v>17</v>
      </c>
      <c r="D7" s="15"/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3">
        <f>D7-SUM(F7:R7)</f>
        <v>0</v>
      </c>
    </row>
    <row r="8" spans="2:21" ht="14.25" hidden="1" thickBot="1" x14ac:dyDescent="0.45">
      <c r="B8" s="17" t="s">
        <v>18</v>
      </c>
      <c r="C8" s="17"/>
      <c r="D8" s="18">
        <v>1419766729.1812077</v>
      </c>
      <c r="E8" s="19"/>
      <c r="F8" s="18">
        <v>86638285.635793462</v>
      </c>
      <c r="G8" s="18">
        <v>34948268.160844125</v>
      </c>
      <c r="H8" s="18">
        <v>216976445.69527274</v>
      </c>
      <c r="I8" s="18">
        <v>379441135.85818923</v>
      </c>
      <c r="J8" s="18">
        <v>3129469.8650292251</v>
      </c>
      <c r="K8" s="18">
        <v>23396129.728523854</v>
      </c>
      <c r="L8" s="18">
        <v>756768.7029411979</v>
      </c>
      <c r="M8" s="18">
        <v>32227356.693897966</v>
      </c>
      <c r="N8" s="18">
        <v>31131518.802073594</v>
      </c>
      <c r="O8" s="18">
        <v>22606331.010224093</v>
      </c>
      <c r="P8" s="18">
        <v>11926729.040000005</v>
      </c>
      <c r="Q8" s="18">
        <v>3639337</v>
      </c>
      <c r="R8" s="18">
        <v>572948952.98841822</v>
      </c>
      <c r="S8" s="13">
        <f>D8-SUM(F8:R8)</f>
        <v>0</v>
      </c>
    </row>
    <row r="9" spans="2:21" x14ac:dyDescent="0.4"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3"/>
    </row>
    <row r="10" spans="2:21" x14ac:dyDescent="0.4">
      <c r="B10" s="4" t="s">
        <v>19</v>
      </c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3">
        <f>D10-SUM(F10:R10)</f>
        <v>0</v>
      </c>
    </row>
    <row r="11" spans="2:21" x14ac:dyDescent="0.4">
      <c r="B11" s="4" t="s">
        <v>20</v>
      </c>
      <c r="D11" s="11"/>
      <c r="E11" s="12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11"/>
      <c r="S11" s="13">
        <f>D11-SUM(F11:R11)</f>
        <v>0</v>
      </c>
    </row>
    <row r="12" spans="2:21" x14ac:dyDescent="0.4">
      <c r="B12" s="4" t="s">
        <v>21</v>
      </c>
      <c r="D12" s="11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1"/>
      <c r="S12" s="13">
        <f>D12-SUM(F12:R12)</f>
        <v>0</v>
      </c>
      <c r="U12" s="21"/>
    </row>
    <row r="13" spans="2:21" x14ac:dyDescent="0.4">
      <c r="B13" s="22" t="s">
        <v>22</v>
      </c>
      <c r="C13" s="14"/>
      <c r="D13" s="23"/>
      <c r="E13" s="1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13">
        <f>D13-SUM(F13:R13)</f>
        <v>0</v>
      </c>
    </row>
    <row r="14" spans="2:21" x14ac:dyDescent="0.4">
      <c r="B14" s="14" t="s">
        <v>16</v>
      </c>
      <c r="C14" s="14"/>
      <c r="D14" s="24"/>
      <c r="E14" s="12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3"/>
    </row>
    <row r="15" spans="2:21" x14ac:dyDescent="0.4">
      <c r="E15" s="12"/>
      <c r="S15" s="13"/>
    </row>
    <row r="16" spans="2:21" x14ac:dyDescent="0.4">
      <c r="E16" s="12"/>
      <c r="S16" s="13"/>
    </row>
    <row r="17" spans="2:19" x14ac:dyDescent="0.4">
      <c r="B17" s="7" t="s">
        <v>23</v>
      </c>
      <c r="D17" s="11"/>
      <c r="E17" s="12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3">
        <f>D17-SUM(F17:R17)</f>
        <v>0</v>
      </c>
    </row>
    <row r="18" spans="2:19" x14ac:dyDescent="0.4">
      <c r="B18" s="22" t="s">
        <v>24</v>
      </c>
      <c r="C18" s="14"/>
      <c r="D18" s="25"/>
      <c r="E18" s="12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3">
        <f>D18-SUM(F18:R18)</f>
        <v>0</v>
      </c>
    </row>
    <row r="19" spans="2:19" x14ac:dyDescent="0.4">
      <c r="B19" s="14" t="s">
        <v>16</v>
      </c>
      <c r="C19" s="14"/>
      <c r="D19" s="26"/>
      <c r="E19" s="12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13"/>
    </row>
    <row r="20" spans="2:19" x14ac:dyDescent="0.4">
      <c r="B20" s="14" t="s">
        <v>25</v>
      </c>
      <c r="C20" s="14"/>
      <c r="D20" s="26"/>
      <c r="E20" s="12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13"/>
    </row>
    <row r="21" spans="2:19" x14ac:dyDescent="0.4">
      <c r="E21" s="12"/>
      <c r="S21" s="13"/>
    </row>
    <row r="22" spans="2:19" x14ac:dyDescent="0.4">
      <c r="E22" s="12"/>
      <c r="S22" s="13"/>
    </row>
    <row r="23" spans="2:19" x14ac:dyDescent="0.4">
      <c r="B23" s="7" t="s">
        <v>26</v>
      </c>
      <c r="D23" s="11"/>
      <c r="E23" s="12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3">
        <f>D23-SUM(F23:R23)</f>
        <v>0</v>
      </c>
    </row>
    <row r="24" spans="2:19" x14ac:dyDescent="0.4">
      <c r="B24" s="22" t="s">
        <v>27</v>
      </c>
      <c r="C24" s="14"/>
      <c r="D24" s="27"/>
      <c r="E24" s="12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13">
        <f>D24-SUM(F24:R24)</f>
        <v>0</v>
      </c>
    </row>
    <row r="25" spans="2:19" x14ac:dyDescent="0.4">
      <c r="B25" s="14" t="s">
        <v>16</v>
      </c>
      <c r="C25" s="14"/>
      <c r="D25" s="24"/>
      <c r="E25" s="12"/>
      <c r="F25" s="28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3"/>
    </row>
    <row r="26" spans="2:19" x14ac:dyDescent="0.4">
      <c r="B26" s="14" t="s">
        <v>25</v>
      </c>
      <c r="C26" s="14"/>
      <c r="D26" s="29"/>
      <c r="E26" s="12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13"/>
    </row>
    <row r="27" spans="2:19" x14ac:dyDescent="0.4">
      <c r="E27" s="12"/>
      <c r="S27" s="13"/>
    </row>
    <row r="28" spans="2:19" x14ac:dyDescent="0.4">
      <c r="B28" s="7" t="s">
        <v>28</v>
      </c>
      <c r="D28" s="13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3">
        <f>D28-SUM(F28:R28)</f>
        <v>0</v>
      </c>
    </row>
    <row r="29" spans="2:19" x14ac:dyDescent="0.4">
      <c r="B29" s="22" t="s">
        <v>29</v>
      </c>
      <c r="C29" s="14"/>
      <c r="D29" s="27"/>
      <c r="E29" s="12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13">
        <f>D29-SUM(F29:R29)</f>
        <v>0</v>
      </c>
    </row>
    <row r="30" spans="2:19" x14ac:dyDescent="0.4">
      <c r="B30" s="14" t="s">
        <v>16</v>
      </c>
      <c r="C30" s="14"/>
      <c r="D30" s="24"/>
      <c r="E30" s="12"/>
      <c r="F30" s="28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3"/>
    </row>
    <row r="31" spans="2:19" x14ac:dyDescent="0.4">
      <c r="B31" s="14" t="s">
        <v>25</v>
      </c>
      <c r="C31" s="14"/>
      <c r="D31" s="29"/>
      <c r="E31" s="1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13"/>
    </row>
    <row r="32" spans="2:19" x14ac:dyDescent="0.4">
      <c r="D32" s="30"/>
      <c r="E32" s="12"/>
      <c r="F32" s="15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13"/>
    </row>
    <row r="33" spans="2:19" x14ac:dyDescent="0.4">
      <c r="B33" s="32" t="s">
        <v>30</v>
      </c>
      <c r="C33" s="33"/>
      <c r="D33" s="34"/>
      <c r="E33" s="12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13">
        <f>D33-SUM(F33:R33)</f>
        <v>0</v>
      </c>
    </row>
    <row r="34" spans="2:19" x14ac:dyDescent="0.4">
      <c r="B34" s="32" t="s">
        <v>29</v>
      </c>
      <c r="C34" s="33"/>
      <c r="D34" s="35"/>
      <c r="E34" s="12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13">
        <f>D34-SUM(F34:R34)</f>
        <v>0</v>
      </c>
    </row>
    <row r="35" spans="2:19" x14ac:dyDescent="0.4">
      <c r="B35" s="33" t="s">
        <v>16</v>
      </c>
      <c r="C35" s="33"/>
      <c r="D35" s="36"/>
      <c r="E35" s="12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13"/>
    </row>
    <row r="36" spans="2:19" x14ac:dyDescent="0.4">
      <c r="B36" s="33" t="s">
        <v>25</v>
      </c>
      <c r="C36" s="33"/>
      <c r="D36" s="37"/>
      <c r="E36" s="12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13"/>
    </row>
    <row r="37" spans="2:19" x14ac:dyDescent="0.4">
      <c r="D37" s="30"/>
      <c r="E37" s="12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13"/>
    </row>
    <row r="38" spans="2:19" x14ac:dyDescent="0.4">
      <c r="B38" s="7" t="s">
        <v>31</v>
      </c>
      <c r="D38" s="30"/>
      <c r="E38" s="12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13"/>
    </row>
    <row r="39" spans="2:19" x14ac:dyDescent="0.4">
      <c r="B39" s="4" t="s">
        <v>32</v>
      </c>
      <c r="D39" s="11"/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3">
        <f>D39-SUM(F39:R39)</f>
        <v>0</v>
      </c>
    </row>
    <row r="40" spans="2:19" x14ac:dyDescent="0.4">
      <c r="B40" s="4" t="s">
        <v>33</v>
      </c>
      <c r="D40" s="11"/>
      <c r="E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3">
        <f>D40-SUM(F40:R40)</f>
        <v>0</v>
      </c>
    </row>
    <row r="41" spans="2:19" x14ac:dyDescent="0.4">
      <c r="B41" s="22" t="s">
        <v>34</v>
      </c>
      <c r="C41" s="14"/>
      <c r="D41" s="27"/>
      <c r="E41" s="12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13">
        <f>D41-SUM(F41:R41)</f>
        <v>0</v>
      </c>
    </row>
    <row r="42" spans="2:19" x14ac:dyDescent="0.4">
      <c r="B42" s="14" t="s">
        <v>16</v>
      </c>
      <c r="C42" s="14"/>
      <c r="D42" s="24"/>
      <c r="E42" s="1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3"/>
    </row>
    <row r="43" spans="2:19" x14ac:dyDescent="0.4">
      <c r="B43" s="14" t="s">
        <v>25</v>
      </c>
      <c r="C43" s="14"/>
      <c r="D43" s="29"/>
      <c r="E43" s="12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13"/>
    </row>
    <row r="44" spans="2:19" x14ac:dyDescent="0.4">
      <c r="E44" s="12"/>
      <c r="S44" s="13"/>
    </row>
    <row r="45" spans="2:19" x14ac:dyDescent="0.4">
      <c r="B45" s="22" t="s">
        <v>35</v>
      </c>
      <c r="C45" s="14"/>
      <c r="D45" s="38"/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3">
        <f>D45-SUM(F45:R45)</f>
        <v>0</v>
      </c>
    </row>
    <row r="46" spans="2:19" x14ac:dyDescent="0.4">
      <c r="B46" s="14" t="s">
        <v>16</v>
      </c>
      <c r="C46" s="14"/>
      <c r="D46" s="24"/>
      <c r="E46" s="1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13"/>
    </row>
    <row r="47" spans="2:19" x14ac:dyDescent="0.4">
      <c r="B47" s="14" t="s">
        <v>25</v>
      </c>
      <c r="C47" s="14"/>
      <c r="D47" s="39"/>
      <c r="E47" s="12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13"/>
    </row>
    <row r="48" spans="2:19" x14ac:dyDescent="0.4">
      <c r="E48" s="12"/>
      <c r="S48" s="13"/>
    </row>
    <row r="49" spans="2:19" x14ac:dyDescent="0.4">
      <c r="B49" s="22" t="s">
        <v>36</v>
      </c>
      <c r="C49" s="14"/>
      <c r="D49" s="27"/>
      <c r="E49" s="12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13">
        <f>D49-SUM(F49:R49)</f>
        <v>0</v>
      </c>
    </row>
    <row r="50" spans="2:19" x14ac:dyDescent="0.4">
      <c r="B50" s="14" t="s">
        <v>25</v>
      </c>
      <c r="C50" s="14"/>
      <c r="D50" s="39"/>
      <c r="E50" s="12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13"/>
    </row>
    <row r="51" spans="2:19" x14ac:dyDescent="0.4">
      <c r="B51" s="4" t="s">
        <v>37</v>
      </c>
      <c r="D51" s="31"/>
      <c r="E51" s="12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13"/>
    </row>
    <row r="52" spans="2:19" x14ac:dyDescent="0.4">
      <c r="E52" s="12"/>
      <c r="S52" s="13"/>
    </row>
    <row r="53" spans="2:19" x14ac:dyDescent="0.4">
      <c r="B53" s="40" t="s">
        <v>38</v>
      </c>
      <c r="D53" s="11"/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3">
        <f>D53-SUM(F53:R53)</f>
        <v>0</v>
      </c>
    </row>
    <row r="54" spans="2:19" x14ac:dyDescent="0.4">
      <c r="B54" s="14" t="s">
        <v>25</v>
      </c>
      <c r="C54" s="14"/>
      <c r="D54" s="39"/>
      <c r="E54" s="12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13"/>
    </row>
    <row r="55" spans="2:19" x14ac:dyDescent="0.4">
      <c r="B55" s="22" t="s">
        <v>39</v>
      </c>
      <c r="C55" s="14"/>
      <c r="D55" s="27"/>
      <c r="E55" s="12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13">
        <f>D55-SUM(F55:R55)</f>
        <v>0</v>
      </c>
    </row>
    <row r="56" spans="2:19" x14ac:dyDescent="0.4">
      <c r="E56" s="12"/>
    </row>
    <row r="57" spans="2:19" x14ac:dyDescent="0.4">
      <c r="B57" s="22" t="s">
        <v>40</v>
      </c>
      <c r="C57" s="22"/>
      <c r="D57" s="41">
        <v>55.150836244077858</v>
      </c>
      <c r="E57" s="1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spans="2:19" x14ac:dyDescent="0.4">
      <c r="D58" s="42">
        <f>D55-'Income Stmt'!C46</f>
        <v>0</v>
      </c>
    </row>
  </sheetData>
  <pageMargins left="0.7" right="0.7" top="0.75" bottom="0.75" header="0.3" footer="0.3"/>
  <pageSetup paperSize="9" scale="3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54"/>
  <sheetViews>
    <sheetView view="pageBreakPreview" zoomScale="80" zoomScaleNormal="100" zoomScaleSheetLayoutView="80" workbookViewId="0">
      <pane xSplit="3" ySplit="3" topLeftCell="D4" activePane="bottomRight" state="frozen"/>
      <selection activeCell="I10" sqref="I10"/>
      <selection pane="topRight" activeCell="I10" sqref="I10"/>
      <selection pane="bottomLeft" activeCell="I10" sqref="I10"/>
      <selection pane="bottomRight" activeCell="B1" sqref="B1"/>
    </sheetView>
  </sheetViews>
  <sheetFormatPr defaultRowHeight="13.9" x14ac:dyDescent="0.4"/>
  <cols>
    <col min="1" max="1" width="2" style="4" customWidth="1"/>
    <col min="2" max="2" width="28.06640625" style="4" customWidth="1"/>
    <col min="3" max="3" width="4.265625" style="4" customWidth="1"/>
    <col min="4" max="4" width="20.796875" style="4" customWidth="1"/>
    <col min="5" max="5" width="23.33203125" style="4" customWidth="1"/>
    <col min="6" max="6" width="24.6640625" style="4" customWidth="1"/>
    <col min="7" max="16384" width="9.06640625" style="4"/>
  </cols>
  <sheetData>
    <row r="1" spans="2:7" ht="34.9" customHeight="1" x14ac:dyDescent="0.4">
      <c r="B1" s="43" t="s">
        <v>41</v>
      </c>
      <c r="C1" s="2"/>
      <c r="D1" s="13"/>
    </row>
    <row r="2" spans="2:7" hidden="1" x14ac:dyDescent="0.4">
      <c r="B2" s="5"/>
    </row>
    <row r="3" spans="2:7" s="7" customFormat="1" x14ac:dyDescent="0.4">
      <c r="D3" s="8" t="s">
        <v>42</v>
      </c>
      <c r="E3" s="8" t="s">
        <v>43</v>
      </c>
      <c r="F3" s="44" t="s">
        <v>44</v>
      </c>
    </row>
    <row r="4" spans="2:7" x14ac:dyDescent="0.4">
      <c r="B4" s="7" t="s">
        <v>14</v>
      </c>
      <c r="D4" s="11"/>
      <c r="E4" s="11"/>
      <c r="F4" s="45">
        <f>SUM(D4:E4)</f>
        <v>0</v>
      </c>
    </row>
    <row r="5" spans="2:7" x14ac:dyDescent="0.4">
      <c r="B5" s="7" t="s">
        <v>15</v>
      </c>
      <c r="D5" s="11"/>
      <c r="E5" s="11"/>
      <c r="F5" s="45">
        <f>SUM(D5:E5)</f>
        <v>0</v>
      </c>
    </row>
    <row r="6" spans="2:7" x14ac:dyDescent="0.4">
      <c r="B6" s="14" t="s">
        <v>16</v>
      </c>
      <c r="C6" s="14"/>
      <c r="D6" s="26"/>
      <c r="E6" s="26"/>
      <c r="F6" s="46"/>
    </row>
    <row r="7" spans="2:7" x14ac:dyDescent="0.4">
      <c r="F7" s="47"/>
    </row>
    <row r="8" spans="2:7" x14ac:dyDescent="0.4">
      <c r="B8" s="4" t="s">
        <v>19</v>
      </c>
      <c r="D8" s="11"/>
      <c r="E8" s="11"/>
      <c r="F8" s="45">
        <f>SUM(D8:E8)</f>
        <v>0</v>
      </c>
    </row>
    <row r="9" spans="2:7" x14ac:dyDescent="0.4">
      <c r="B9" s="4" t="s">
        <v>45</v>
      </c>
      <c r="D9" s="11"/>
      <c r="E9" s="11"/>
      <c r="F9" s="45"/>
    </row>
    <row r="10" spans="2:7" x14ac:dyDescent="0.4">
      <c r="B10" s="4" t="s">
        <v>21</v>
      </c>
      <c r="D10" s="11"/>
      <c r="E10" s="11"/>
      <c r="F10" s="45">
        <f>SUM(D10:E10)</f>
        <v>0</v>
      </c>
      <c r="G10" s="21"/>
    </row>
    <row r="11" spans="2:7" x14ac:dyDescent="0.4">
      <c r="B11" s="22" t="s">
        <v>22</v>
      </c>
      <c r="C11" s="14"/>
      <c r="D11" s="23"/>
      <c r="E11" s="23"/>
      <c r="F11" s="48">
        <f>SUM(F8:F10)</f>
        <v>0</v>
      </c>
    </row>
    <row r="12" spans="2:7" x14ac:dyDescent="0.4">
      <c r="B12" s="14" t="s">
        <v>16</v>
      </c>
      <c r="C12" s="14"/>
      <c r="D12" s="24"/>
      <c r="E12" s="24"/>
      <c r="F12" s="49"/>
    </row>
    <row r="13" spans="2:7" x14ac:dyDescent="0.4">
      <c r="F13" s="47"/>
    </row>
    <row r="14" spans="2:7" x14ac:dyDescent="0.4">
      <c r="F14" s="47"/>
    </row>
    <row r="15" spans="2:7" x14ac:dyDescent="0.4">
      <c r="B15" s="7" t="s">
        <v>23</v>
      </c>
      <c r="D15" s="11"/>
      <c r="E15" s="11"/>
      <c r="F15" s="45">
        <f>SUM(D15:E15)</f>
        <v>0</v>
      </c>
    </row>
    <row r="16" spans="2:7" x14ac:dyDescent="0.4">
      <c r="B16" s="22" t="s">
        <v>24</v>
      </c>
      <c r="C16" s="14"/>
      <c r="D16" s="25"/>
      <c r="E16" s="25"/>
      <c r="F16" s="50">
        <f>F11-F15</f>
        <v>0</v>
      </c>
    </row>
    <row r="17" spans="2:6" x14ac:dyDescent="0.4">
      <c r="B17" s="14" t="s">
        <v>16</v>
      </c>
      <c r="C17" s="14"/>
      <c r="D17" s="26"/>
      <c r="E17" s="26"/>
      <c r="F17" s="46"/>
    </row>
    <row r="18" spans="2:6" x14ac:dyDescent="0.4">
      <c r="B18" s="14" t="s">
        <v>25</v>
      </c>
      <c r="C18" s="14"/>
      <c r="D18" s="26"/>
      <c r="E18" s="26"/>
      <c r="F18" s="46" t="e">
        <f>F16/F11</f>
        <v>#DIV/0!</v>
      </c>
    </row>
    <row r="19" spans="2:6" x14ac:dyDescent="0.4">
      <c r="F19" s="47"/>
    </row>
    <row r="20" spans="2:6" x14ac:dyDescent="0.4">
      <c r="B20" s="7"/>
      <c r="F20" s="47"/>
    </row>
    <row r="21" spans="2:6" x14ac:dyDescent="0.4">
      <c r="B21" s="7" t="s">
        <v>26</v>
      </c>
      <c r="D21" s="11"/>
      <c r="E21" s="11"/>
      <c r="F21" s="45">
        <f>SUM(D21:E21)</f>
        <v>0</v>
      </c>
    </row>
    <row r="22" spans="2:6" x14ac:dyDescent="0.4">
      <c r="B22" s="4" t="s">
        <v>46</v>
      </c>
      <c r="D22" s="11"/>
      <c r="E22" s="11"/>
      <c r="F22" s="45">
        <f>SUM(D22:E22)</f>
        <v>0</v>
      </c>
    </row>
    <row r="23" spans="2:6" x14ac:dyDescent="0.4">
      <c r="B23" s="22" t="s">
        <v>27</v>
      </c>
      <c r="C23" s="14"/>
      <c r="D23" s="27"/>
      <c r="E23" s="27"/>
      <c r="F23" s="51">
        <f>F16-F21-F22</f>
        <v>0</v>
      </c>
    </row>
    <row r="24" spans="2:6" x14ac:dyDescent="0.4">
      <c r="B24" s="14" t="s">
        <v>16</v>
      </c>
      <c r="C24" s="14"/>
      <c r="D24" s="24"/>
      <c r="E24" s="24"/>
      <c r="F24" s="49"/>
    </row>
    <row r="25" spans="2:6" x14ac:dyDescent="0.4">
      <c r="B25" s="14" t="s">
        <v>25</v>
      </c>
      <c r="C25" s="14"/>
      <c r="D25" s="29"/>
      <c r="E25" s="29"/>
      <c r="F25" s="52" t="e">
        <f>SUM(F21:F22)/F11</f>
        <v>#DIV/0!</v>
      </c>
    </row>
    <row r="26" spans="2:6" x14ac:dyDescent="0.4">
      <c r="F26" s="47"/>
    </row>
    <row r="27" spans="2:6" x14ac:dyDescent="0.4">
      <c r="B27" s="7" t="s">
        <v>28</v>
      </c>
      <c r="D27" s="11"/>
      <c r="E27" s="11"/>
      <c r="F27" s="45">
        <f>SUM(D27:E27)</f>
        <v>0</v>
      </c>
    </row>
    <row r="28" spans="2:6" x14ac:dyDescent="0.4">
      <c r="B28" s="22" t="s">
        <v>29</v>
      </c>
      <c r="C28" s="14"/>
      <c r="D28" s="27"/>
      <c r="E28" s="27"/>
      <c r="F28" s="51">
        <f>F23-F27</f>
        <v>0</v>
      </c>
    </row>
    <row r="29" spans="2:6" x14ac:dyDescent="0.4">
      <c r="B29" s="14" t="s">
        <v>16</v>
      </c>
      <c r="C29" s="14"/>
      <c r="D29" s="24"/>
      <c r="E29" s="24"/>
      <c r="F29" s="49"/>
    </row>
    <row r="30" spans="2:6" x14ac:dyDescent="0.4">
      <c r="B30" s="14" t="s">
        <v>25</v>
      </c>
      <c r="C30" s="14"/>
      <c r="D30" s="29"/>
      <c r="E30" s="29"/>
      <c r="F30" s="52" t="e">
        <f t="shared" ref="F30" si="0">F27/F11</f>
        <v>#DIV/0!</v>
      </c>
    </row>
    <row r="31" spans="2:6" x14ac:dyDescent="0.4">
      <c r="D31" s="31"/>
      <c r="E31" s="31"/>
      <c r="F31" s="53"/>
    </row>
    <row r="32" spans="2:6" x14ac:dyDescent="0.4">
      <c r="B32" s="32" t="s">
        <v>30</v>
      </c>
      <c r="C32" s="33"/>
      <c r="D32" s="34"/>
      <c r="E32" s="34"/>
      <c r="F32" s="54">
        <f t="shared" ref="F32" si="1">+F21+F22+F27</f>
        <v>0</v>
      </c>
    </row>
    <row r="33" spans="2:6" x14ac:dyDescent="0.4">
      <c r="B33" s="32" t="s">
        <v>29</v>
      </c>
      <c r="C33" s="33"/>
      <c r="D33" s="35"/>
      <c r="E33" s="35"/>
      <c r="F33" s="51">
        <f t="shared" ref="F33" si="2">F16-F32</f>
        <v>0</v>
      </c>
    </row>
    <row r="34" spans="2:6" x14ac:dyDescent="0.4">
      <c r="B34" s="33" t="s">
        <v>16</v>
      </c>
      <c r="C34" s="33"/>
      <c r="D34" s="36"/>
      <c r="E34" s="36"/>
      <c r="F34" s="49"/>
    </row>
    <row r="35" spans="2:6" x14ac:dyDescent="0.4">
      <c r="B35" s="33" t="s">
        <v>25</v>
      </c>
      <c r="C35" s="33"/>
      <c r="D35" s="37"/>
      <c r="E35" s="37"/>
      <c r="F35" s="52" t="e">
        <f t="shared" ref="F35" si="3">F32/F11</f>
        <v>#DIV/0!</v>
      </c>
    </row>
    <row r="36" spans="2:6" x14ac:dyDescent="0.4">
      <c r="D36" s="31"/>
      <c r="E36" s="31"/>
      <c r="F36" s="53"/>
    </row>
    <row r="37" spans="2:6" x14ac:dyDescent="0.4">
      <c r="B37" s="7" t="s">
        <v>31</v>
      </c>
      <c r="D37" s="11"/>
      <c r="E37" s="11"/>
      <c r="F37" s="45">
        <f>SUM(D37:E37)</f>
        <v>0</v>
      </c>
    </row>
    <row r="38" spans="2:6" x14ac:dyDescent="0.4">
      <c r="B38" s="22" t="s">
        <v>34</v>
      </c>
      <c r="C38" s="14"/>
      <c r="D38" s="27"/>
      <c r="E38" s="27"/>
      <c r="F38" s="51">
        <f>F28-F37</f>
        <v>0</v>
      </c>
    </row>
    <row r="39" spans="2:6" x14ac:dyDescent="0.4">
      <c r="B39" s="14" t="s">
        <v>16</v>
      </c>
      <c r="C39" s="14"/>
      <c r="D39" s="24"/>
      <c r="E39" s="24"/>
      <c r="F39" s="49"/>
    </row>
    <row r="40" spans="2:6" x14ac:dyDescent="0.4">
      <c r="B40" s="14" t="s">
        <v>25</v>
      </c>
      <c r="C40" s="14"/>
      <c r="D40" s="39"/>
      <c r="E40" s="39"/>
      <c r="F40" s="53" t="e">
        <f t="shared" ref="F40" si="4">F37/F11</f>
        <v>#DIV/0!</v>
      </c>
    </row>
    <row r="41" spans="2:6" x14ac:dyDescent="0.4">
      <c r="F41" s="47"/>
    </row>
    <row r="42" spans="2:6" x14ac:dyDescent="0.4">
      <c r="B42" s="22" t="s">
        <v>35</v>
      </c>
      <c r="C42" s="14"/>
      <c r="D42" s="38"/>
      <c r="E42" s="38"/>
      <c r="F42" s="55">
        <f>SUM(D42:E42)</f>
        <v>0</v>
      </c>
    </row>
    <row r="43" spans="2:6" x14ac:dyDescent="0.4">
      <c r="B43" s="14" t="s">
        <v>16</v>
      </c>
      <c r="C43" s="14"/>
      <c r="D43" s="24"/>
      <c r="E43" s="24"/>
      <c r="F43" s="49"/>
    </row>
    <row r="44" spans="2:6" x14ac:dyDescent="0.4">
      <c r="B44" s="14" t="s">
        <v>25</v>
      </c>
      <c r="C44" s="14"/>
      <c r="D44" s="39"/>
      <c r="E44" s="39"/>
      <c r="F44" s="53" t="e">
        <f>F42/F11</f>
        <v>#DIV/0!</v>
      </c>
    </row>
    <row r="45" spans="2:6" x14ac:dyDescent="0.4">
      <c r="F45" s="47"/>
    </row>
    <row r="46" spans="2:6" x14ac:dyDescent="0.4">
      <c r="B46" s="22" t="s">
        <v>36</v>
      </c>
      <c r="C46" s="14"/>
      <c r="D46" s="27"/>
      <c r="E46" s="27"/>
      <c r="F46" s="51">
        <f>F38-F42</f>
        <v>0</v>
      </c>
    </row>
    <row r="47" spans="2:6" x14ac:dyDescent="0.4">
      <c r="B47" s="14" t="s">
        <v>25</v>
      </c>
      <c r="C47" s="14"/>
      <c r="D47" s="39"/>
      <c r="E47" s="39"/>
      <c r="F47" s="53" t="e">
        <f>F46/F11</f>
        <v>#DIV/0!</v>
      </c>
    </row>
    <row r="48" spans="2:6" x14ac:dyDescent="0.4">
      <c r="B48" s="4" t="s">
        <v>37</v>
      </c>
      <c r="D48" s="31"/>
      <c r="E48" s="31"/>
      <c r="F48" s="53" t="e">
        <f>F46/F16</f>
        <v>#DIV/0!</v>
      </c>
    </row>
    <row r="49" spans="2:6" x14ac:dyDescent="0.4">
      <c r="F49" s="47"/>
    </row>
    <row r="50" spans="2:6" x14ac:dyDescent="0.4">
      <c r="B50" s="40" t="s">
        <v>38</v>
      </c>
      <c r="D50" s="11"/>
      <c r="E50" s="11"/>
      <c r="F50" s="45">
        <f>SUM(D50:E50)</f>
        <v>0</v>
      </c>
    </row>
    <row r="51" spans="2:6" x14ac:dyDescent="0.4">
      <c r="B51" s="14" t="s">
        <v>25</v>
      </c>
      <c r="C51" s="14"/>
      <c r="D51" s="39"/>
      <c r="E51" s="39"/>
      <c r="F51" s="53" t="e">
        <f>F50/F11</f>
        <v>#DIV/0!</v>
      </c>
    </row>
    <row r="52" spans="2:6" x14ac:dyDescent="0.4">
      <c r="B52" s="22" t="s">
        <v>39</v>
      </c>
      <c r="C52" s="14"/>
      <c r="D52" s="27"/>
      <c r="E52" s="27"/>
      <c r="F52" s="51">
        <f>F46-F50</f>
        <v>0</v>
      </c>
    </row>
    <row r="53" spans="2:6" x14ac:dyDescent="0.4">
      <c r="F53" s="47"/>
    </row>
    <row r="54" spans="2:6" x14ac:dyDescent="0.4">
      <c r="B54" s="22" t="s">
        <v>40</v>
      </c>
      <c r="C54" s="22"/>
      <c r="D54" s="56"/>
      <c r="E54" s="56"/>
      <c r="F54" s="57"/>
    </row>
  </sheetData>
  <pageMargins left="0.7" right="0.7" top="0.75" bottom="0.75" header="0.3" footer="0.3"/>
  <pageSetup paperSize="9" scale="3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54"/>
  <sheetViews>
    <sheetView view="pageBreakPreview" zoomScale="70" zoomScaleNormal="100" zoomScaleSheetLayoutView="70" workbookViewId="0">
      <pane xSplit="3" ySplit="3" topLeftCell="D12" activePane="bottomRight" state="frozen"/>
      <selection activeCell="I10" sqref="I10"/>
      <selection pane="topRight" activeCell="I10" sqref="I10"/>
      <selection pane="bottomLeft" activeCell="I10" sqref="I10"/>
      <selection pane="bottomRight" activeCell="B3" sqref="B3"/>
    </sheetView>
  </sheetViews>
  <sheetFormatPr defaultRowHeight="13.9" x14ac:dyDescent="0.4"/>
  <cols>
    <col min="1" max="1" width="2" style="4" customWidth="1"/>
    <col min="2" max="2" width="28.06640625" style="4" customWidth="1"/>
    <col min="3" max="3" width="4.265625" style="4" customWidth="1"/>
    <col min="4" max="4" width="0.9296875" style="4" customWidth="1"/>
    <col min="5" max="5" width="17.46484375" style="4" bestFit="1" customWidth="1"/>
    <col min="6" max="6" width="15.9296875" style="4" bestFit="1" customWidth="1"/>
    <col min="7" max="7" width="12.265625" style="4" bestFit="1" customWidth="1"/>
    <col min="8" max="8" width="15.9296875" style="4" customWidth="1"/>
    <col min="9" max="9" width="0.9296875" style="4" customWidth="1"/>
    <col min="10" max="16384" width="9.06640625" style="4"/>
  </cols>
  <sheetData>
    <row r="1" spans="2:10" ht="34.9" customHeight="1" x14ac:dyDescent="0.4">
      <c r="B1" s="1" t="s">
        <v>228</v>
      </c>
      <c r="C1" s="2"/>
      <c r="E1" s="58"/>
      <c r="F1" s="58"/>
      <c r="H1" s="59"/>
    </row>
    <row r="2" spans="2:10" hidden="1" x14ac:dyDescent="0.4">
      <c r="B2" s="5"/>
    </row>
    <row r="3" spans="2:10" s="7" customFormat="1" x14ac:dyDescent="0.4">
      <c r="D3" s="9"/>
      <c r="E3" s="8" t="s">
        <v>47</v>
      </c>
      <c r="F3" s="8" t="s">
        <v>48</v>
      </c>
      <c r="G3" s="8" t="s">
        <v>49</v>
      </c>
      <c r="H3" s="44" t="s">
        <v>50</v>
      </c>
      <c r="I3" s="9"/>
    </row>
    <row r="4" spans="2:10" x14ac:dyDescent="0.4">
      <c r="B4" s="7" t="s">
        <v>14</v>
      </c>
      <c r="D4" s="12"/>
      <c r="E4" s="11"/>
      <c r="F4" s="11"/>
      <c r="H4" s="45">
        <f>SUM(E4:F4)</f>
        <v>0</v>
      </c>
      <c r="I4" s="12"/>
    </row>
    <row r="5" spans="2:10" x14ac:dyDescent="0.4">
      <c r="B5" s="7" t="s">
        <v>15</v>
      </c>
      <c r="D5" s="12"/>
      <c r="E5" s="11"/>
      <c r="F5" s="11"/>
      <c r="H5" s="45">
        <f>SUM(E5:F5)</f>
        <v>0</v>
      </c>
      <c r="I5" s="12"/>
    </row>
    <row r="6" spans="2:10" x14ac:dyDescent="0.4">
      <c r="B6" s="14" t="s">
        <v>16</v>
      </c>
      <c r="C6" s="14"/>
      <c r="D6" s="12"/>
      <c r="E6" s="26"/>
      <c r="F6" s="26"/>
      <c r="G6" s="14"/>
      <c r="H6" s="46"/>
      <c r="I6" s="12"/>
    </row>
    <row r="7" spans="2:10" x14ac:dyDescent="0.4">
      <c r="D7" s="12"/>
      <c r="H7" s="47"/>
      <c r="I7" s="12"/>
    </row>
    <row r="8" spans="2:10" x14ac:dyDescent="0.4">
      <c r="B8" s="4" t="s">
        <v>19</v>
      </c>
      <c r="D8" s="12"/>
      <c r="E8" s="11"/>
      <c r="F8" s="11"/>
      <c r="G8" s="11"/>
      <c r="H8" s="45">
        <f>SUM(E8:F8)</f>
        <v>0</v>
      </c>
      <c r="I8" s="12"/>
    </row>
    <row r="9" spans="2:10" x14ac:dyDescent="0.4">
      <c r="B9" s="4" t="s">
        <v>45</v>
      </c>
      <c r="D9" s="12"/>
      <c r="E9" s="11"/>
      <c r="F9" s="11"/>
      <c r="G9" s="11"/>
      <c r="H9" s="45">
        <f>SUM(E9:F9)</f>
        <v>0</v>
      </c>
      <c r="I9" s="12"/>
    </row>
    <row r="10" spans="2:10" x14ac:dyDescent="0.4">
      <c r="B10" s="4" t="s">
        <v>21</v>
      </c>
      <c r="D10" s="12"/>
      <c r="E10" s="11"/>
      <c r="F10" s="11"/>
      <c r="G10" s="11"/>
      <c r="H10" s="45">
        <f>SUM(E10:F10)</f>
        <v>0</v>
      </c>
      <c r="I10" s="12"/>
      <c r="J10" s="21"/>
    </row>
    <row r="11" spans="2:10" x14ac:dyDescent="0.4">
      <c r="B11" s="22" t="s">
        <v>22</v>
      </c>
      <c r="C11" s="14"/>
      <c r="D11" s="12"/>
      <c r="E11" s="23"/>
      <c r="F11" s="23"/>
      <c r="G11" s="23"/>
      <c r="H11" s="48">
        <f>SUM(H8:H10)</f>
        <v>0</v>
      </c>
      <c r="I11" s="12"/>
    </row>
    <row r="12" spans="2:10" x14ac:dyDescent="0.4">
      <c r="B12" s="14" t="s">
        <v>16</v>
      </c>
      <c r="C12" s="14"/>
      <c r="D12" s="12"/>
      <c r="E12" s="24"/>
      <c r="F12" s="24"/>
      <c r="G12" s="24"/>
      <c r="H12" s="49"/>
      <c r="I12" s="12"/>
    </row>
    <row r="13" spans="2:10" x14ac:dyDescent="0.4">
      <c r="D13" s="12"/>
      <c r="H13" s="47"/>
      <c r="I13" s="12"/>
    </row>
    <row r="14" spans="2:10" x14ac:dyDescent="0.4">
      <c r="D14" s="12"/>
      <c r="H14" s="47"/>
      <c r="I14" s="12"/>
    </row>
    <row r="15" spans="2:10" x14ac:dyDescent="0.4">
      <c r="B15" s="7" t="s">
        <v>23</v>
      </c>
      <c r="D15" s="12"/>
      <c r="E15" s="11"/>
      <c r="F15" s="11"/>
      <c r="G15" s="11"/>
      <c r="H15" s="45">
        <f>SUM(E15:F15)</f>
        <v>0</v>
      </c>
      <c r="I15" s="12"/>
    </row>
    <row r="16" spans="2:10" x14ac:dyDescent="0.4">
      <c r="B16" s="22" t="s">
        <v>24</v>
      </c>
      <c r="C16" s="14"/>
      <c r="D16" s="12"/>
      <c r="E16" s="25"/>
      <c r="F16" s="25"/>
      <c r="G16" s="25"/>
      <c r="H16" s="50">
        <f>H11-H15</f>
        <v>0</v>
      </c>
      <c r="I16" s="12"/>
    </row>
    <row r="17" spans="2:9" x14ac:dyDescent="0.4">
      <c r="B17" s="14" t="s">
        <v>16</v>
      </c>
      <c r="C17" s="14"/>
      <c r="D17" s="12"/>
      <c r="E17" s="26"/>
      <c r="F17" s="26"/>
      <c r="G17" s="26"/>
      <c r="H17" s="46"/>
      <c r="I17" s="12"/>
    </row>
    <row r="18" spans="2:9" x14ac:dyDescent="0.4">
      <c r="B18" s="14" t="s">
        <v>25</v>
      </c>
      <c r="C18" s="14"/>
      <c r="D18" s="12"/>
      <c r="E18" s="26"/>
      <c r="F18" s="26"/>
      <c r="G18" s="26"/>
      <c r="H18" s="46" t="e">
        <f>H16/H11</f>
        <v>#DIV/0!</v>
      </c>
      <c r="I18" s="12"/>
    </row>
    <row r="19" spans="2:9" x14ac:dyDescent="0.4">
      <c r="D19" s="12"/>
      <c r="H19" s="47"/>
      <c r="I19" s="12"/>
    </row>
    <row r="20" spans="2:9" x14ac:dyDescent="0.4">
      <c r="B20" s="7"/>
      <c r="D20" s="12"/>
      <c r="H20" s="47"/>
      <c r="I20" s="12"/>
    </row>
    <row r="21" spans="2:9" x14ac:dyDescent="0.4">
      <c r="B21" s="7" t="s">
        <v>26</v>
      </c>
      <c r="D21" s="12"/>
      <c r="E21" s="11"/>
      <c r="F21" s="11"/>
      <c r="G21" s="11"/>
      <c r="H21" s="45">
        <f>SUM(E21:F21)</f>
        <v>0</v>
      </c>
      <c r="I21" s="12"/>
    </row>
    <row r="22" spans="2:9" x14ac:dyDescent="0.4">
      <c r="B22" s="4" t="s">
        <v>46</v>
      </c>
      <c r="D22" s="12"/>
      <c r="E22" s="11"/>
      <c r="F22" s="11"/>
      <c r="G22" s="11"/>
      <c r="H22" s="45">
        <f>SUM(E22:F22)</f>
        <v>0</v>
      </c>
      <c r="I22" s="12"/>
    </row>
    <row r="23" spans="2:9" x14ac:dyDescent="0.4">
      <c r="B23" s="22" t="s">
        <v>27</v>
      </c>
      <c r="C23" s="14"/>
      <c r="D23" s="12"/>
      <c r="E23" s="27"/>
      <c r="F23" s="27"/>
      <c r="G23" s="27"/>
      <c r="H23" s="51">
        <f>H16-H21-H22</f>
        <v>0</v>
      </c>
      <c r="I23" s="12"/>
    </row>
    <row r="24" spans="2:9" x14ac:dyDescent="0.4">
      <c r="B24" s="14" t="s">
        <v>16</v>
      </c>
      <c r="C24" s="14"/>
      <c r="D24" s="12"/>
      <c r="E24" s="24"/>
      <c r="F24" s="24"/>
      <c r="G24" s="24"/>
      <c r="H24" s="49"/>
      <c r="I24" s="12"/>
    </row>
    <row r="25" spans="2:9" x14ac:dyDescent="0.4">
      <c r="B25" s="14" t="s">
        <v>25</v>
      </c>
      <c r="C25" s="14"/>
      <c r="D25" s="12"/>
      <c r="E25" s="29"/>
      <c r="F25" s="29"/>
      <c r="G25" s="29"/>
      <c r="H25" s="52" t="e">
        <f>SUM(H21:H22)/H11</f>
        <v>#DIV/0!</v>
      </c>
      <c r="I25" s="12"/>
    </row>
    <row r="26" spans="2:9" x14ac:dyDescent="0.4">
      <c r="D26" s="12"/>
      <c r="H26" s="47"/>
      <c r="I26" s="12"/>
    </row>
    <row r="27" spans="2:9" x14ac:dyDescent="0.4">
      <c r="B27" s="7" t="s">
        <v>28</v>
      </c>
      <c r="D27" s="12"/>
      <c r="E27" s="58"/>
      <c r="F27" s="58"/>
      <c r="H27" s="60">
        <f>SUM(E27:F27)</f>
        <v>0</v>
      </c>
      <c r="I27" s="12"/>
    </row>
    <row r="28" spans="2:9" x14ac:dyDescent="0.4">
      <c r="B28" s="22" t="s">
        <v>29</v>
      </c>
      <c r="C28" s="14"/>
      <c r="D28" s="12"/>
      <c r="E28" s="27"/>
      <c r="F28" s="27"/>
      <c r="G28" s="27"/>
      <c r="H28" s="51">
        <f>H23-H27</f>
        <v>0</v>
      </c>
      <c r="I28" s="12"/>
    </row>
    <row r="29" spans="2:9" x14ac:dyDescent="0.4">
      <c r="B29" s="14" t="s">
        <v>16</v>
      </c>
      <c r="C29" s="14"/>
      <c r="D29" s="12"/>
      <c r="E29" s="24"/>
      <c r="F29" s="24"/>
      <c r="G29" s="24"/>
      <c r="H29" s="49"/>
      <c r="I29" s="12"/>
    </row>
    <row r="30" spans="2:9" x14ac:dyDescent="0.4">
      <c r="B30" s="14" t="s">
        <v>25</v>
      </c>
      <c r="C30" s="14"/>
      <c r="D30" s="12"/>
      <c r="E30" s="29"/>
      <c r="F30" s="29"/>
      <c r="G30" s="29"/>
      <c r="H30" s="52" t="e">
        <f t="shared" ref="H30" si="0">H27/H11</f>
        <v>#DIV/0!</v>
      </c>
      <c r="I30" s="12"/>
    </row>
    <row r="31" spans="2:9" x14ac:dyDescent="0.4">
      <c r="D31" s="12"/>
      <c r="E31" s="31"/>
      <c r="F31" s="31"/>
      <c r="H31" s="53"/>
      <c r="I31" s="12"/>
    </row>
    <row r="32" spans="2:9" x14ac:dyDescent="0.4">
      <c r="B32" s="32" t="s">
        <v>30</v>
      </c>
      <c r="C32" s="33"/>
      <c r="D32" s="12"/>
      <c r="E32" s="34"/>
      <c r="F32" s="34"/>
      <c r="G32" s="34"/>
      <c r="H32" s="54">
        <f t="shared" ref="H32" si="1">+H21+H22+H27</f>
        <v>0</v>
      </c>
      <c r="I32" s="12"/>
    </row>
    <row r="33" spans="2:9" x14ac:dyDescent="0.4">
      <c r="B33" s="32" t="s">
        <v>29</v>
      </c>
      <c r="C33" s="33"/>
      <c r="D33" s="12"/>
      <c r="E33" s="35"/>
      <c r="F33" s="35"/>
      <c r="G33" s="35"/>
      <c r="H33" s="51">
        <f t="shared" ref="H33" si="2">H16-H32</f>
        <v>0</v>
      </c>
      <c r="I33" s="12"/>
    </row>
    <row r="34" spans="2:9" x14ac:dyDescent="0.4">
      <c r="B34" s="33" t="s">
        <v>16</v>
      </c>
      <c r="C34" s="33"/>
      <c r="D34" s="12"/>
      <c r="E34" s="36"/>
      <c r="F34" s="36"/>
      <c r="G34" s="36"/>
      <c r="H34" s="49"/>
      <c r="I34" s="12"/>
    </row>
    <row r="35" spans="2:9" x14ac:dyDescent="0.4">
      <c r="B35" s="33" t="s">
        <v>25</v>
      </c>
      <c r="C35" s="33"/>
      <c r="D35" s="12"/>
      <c r="E35" s="37"/>
      <c r="F35" s="37"/>
      <c r="G35" s="37"/>
      <c r="H35" s="52" t="e">
        <f t="shared" ref="H35" si="3">H32/H11</f>
        <v>#DIV/0!</v>
      </c>
      <c r="I35" s="12"/>
    </row>
    <row r="36" spans="2:9" x14ac:dyDescent="0.4">
      <c r="D36" s="12"/>
      <c r="E36" s="31"/>
      <c r="F36" s="31"/>
      <c r="H36" s="53"/>
      <c r="I36" s="12"/>
    </row>
    <row r="37" spans="2:9" x14ac:dyDescent="0.4">
      <c r="B37" s="7" t="s">
        <v>31</v>
      </c>
      <c r="D37" s="12"/>
      <c r="E37" s="11"/>
      <c r="F37" s="11"/>
      <c r="G37" s="11"/>
      <c r="H37" s="45">
        <f>SUM(E37:F37)</f>
        <v>0</v>
      </c>
      <c r="I37" s="12"/>
    </row>
    <row r="38" spans="2:9" x14ac:dyDescent="0.4">
      <c r="B38" s="22" t="s">
        <v>34</v>
      </c>
      <c r="C38" s="14"/>
      <c r="D38" s="12"/>
      <c r="E38" s="27"/>
      <c r="F38" s="27"/>
      <c r="G38" s="27"/>
      <c r="H38" s="51">
        <f>H28-H37</f>
        <v>0</v>
      </c>
      <c r="I38" s="12"/>
    </row>
    <row r="39" spans="2:9" x14ac:dyDescent="0.4">
      <c r="B39" s="14" t="s">
        <v>16</v>
      </c>
      <c r="C39" s="14"/>
      <c r="D39" s="12"/>
      <c r="E39" s="24"/>
      <c r="F39" s="24"/>
      <c r="G39" s="24"/>
      <c r="H39" s="49"/>
      <c r="I39" s="12"/>
    </row>
    <row r="40" spans="2:9" x14ac:dyDescent="0.4">
      <c r="B40" s="14" t="s">
        <v>25</v>
      </c>
      <c r="C40" s="14"/>
      <c r="D40" s="12"/>
      <c r="E40" s="39"/>
      <c r="F40" s="39"/>
      <c r="G40" s="39"/>
      <c r="H40" s="53" t="e">
        <f t="shared" ref="H40" si="4">H37/H11</f>
        <v>#DIV/0!</v>
      </c>
      <c r="I40" s="12"/>
    </row>
    <row r="41" spans="2:9" x14ac:dyDescent="0.4">
      <c r="D41" s="12"/>
      <c r="H41" s="47"/>
      <c r="I41" s="12"/>
    </row>
    <row r="42" spans="2:9" x14ac:dyDescent="0.4">
      <c r="B42" s="22" t="s">
        <v>35</v>
      </c>
      <c r="C42" s="14"/>
      <c r="D42" s="12"/>
      <c r="E42" s="38"/>
      <c r="F42" s="38"/>
      <c r="G42" s="38"/>
      <c r="H42" s="55">
        <f>SUM(E42:F42)</f>
        <v>0</v>
      </c>
      <c r="I42" s="12"/>
    </row>
    <row r="43" spans="2:9" x14ac:dyDescent="0.4">
      <c r="B43" s="14" t="s">
        <v>16</v>
      </c>
      <c r="C43" s="14"/>
      <c r="D43" s="12"/>
      <c r="E43" s="24"/>
      <c r="F43" s="24"/>
      <c r="G43" s="24"/>
      <c r="H43" s="49"/>
      <c r="I43" s="12"/>
    </row>
    <row r="44" spans="2:9" x14ac:dyDescent="0.4">
      <c r="B44" s="14" t="s">
        <v>25</v>
      </c>
      <c r="C44" s="14"/>
      <c r="D44" s="12"/>
      <c r="E44" s="39"/>
      <c r="F44" s="39"/>
      <c r="G44" s="39"/>
      <c r="H44" s="53" t="e">
        <f>H42/H11</f>
        <v>#DIV/0!</v>
      </c>
      <c r="I44" s="12"/>
    </row>
    <row r="45" spans="2:9" x14ac:dyDescent="0.4">
      <c r="D45" s="12"/>
      <c r="H45" s="47"/>
      <c r="I45" s="12"/>
    </row>
    <row r="46" spans="2:9" x14ac:dyDescent="0.4">
      <c r="B46" s="22" t="s">
        <v>36</v>
      </c>
      <c r="C46" s="14"/>
      <c r="D46" s="12"/>
      <c r="E46" s="27"/>
      <c r="F46" s="27"/>
      <c r="G46" s="27"/>
      <c r="H46" s="51">
        <f>H38-H42</f>
        <v>0</v>
      </c>
      <c r="I46" s="12"/>
    </row>
    <row r="47" spans="2:9" x14ac:dyDescent="0.4">
      <c r="B47" s="14" t="s">
        <v>25</v>
      </c>
      <c r="C47" s="14"/>
      <c r="D47" s="12"/>
      <c r="E47" s="39"/>
      <c r="F47" s="39"/>
      <c r="G47" s="39"/>
      <c r="H47" s="53" t="e">
        <f>H46/H11</f>
        <v>#DIV/0!</v>
      </c>
      <c r="I47" s="12"/>
    </row>
    <row r="48" spans="2:9" x14ac:dyDescent="0.4">
      <c r="B48" s="4" t="s">
        <v>37</v>
      </c>
      <c r="D48" s="12"/>
      <c r="E48" s="31"/>
      <c r="F48" s="31"/>
      <c r="G48" s="31"/>
      <c r="H48" s="53" t="e">
        <f>H46/H16</f>
        <v>#DIV/0!</v>
      </c>
      <c r="I48" s="12"/>
    </row>
    <row r="49" spans="2:9" x14ac:dyDescent="0.4">
      <c r="D49" s="12"/>
      <c r="H49" s="47"/>
      <c r="I49" s="12"/>
    </row>
    <row r="50" spans="2:9" x14ac:dyDescent="0.4">
      <c r="B50" s="40" t="s">
        <v>38</v>
      </c>
      <c r="D50" s="12"/>
      <c r="E50" s="11"/>
      <c r="F50" s="11"/>
      <c r="G50" s="11"/>
      <c r="H50" s="45">
        <f>SUM(E50:F50)</f>
        <v>0</v>
      </c>
      <c r="I50" s="12"/>
    </row>
    <row r="51" spans="2:9" x14ac:dyDescent="0.4">
      <c r="B51" s="14" t="s">
        <v>25</v>
      </c>
      <c r="C51" s="14"/>
      <c r="D51" s="12"/>
      <c r="E51" s="39"/>
      <c r="F51" s="39"/>
      <c r="G51" s="39"/>
      <c r="H51" s="53" t="e">
        <f>H50/H11</f>
        <v>#DIV/0!</v>
      </c>
      <c r="I51" s="12"/>
    </row>
    <row r="52" spans="2:9" x14ac:dyDescent="0.4">
      <c r="B52" s="22" t="s">
        <v>39</v>
      </c>
      <c r="C52" s="14"/>
      <c r="D52" s="12"/>
      <c r="E52" s="27"/>
      <c r="F52" s="27"/>
      <c r="G52" s="27"/>
      <c r="H52" s="51">
        <f t="shared" ref="H52" si="5">H46-H50</f>
        <v>0</v>
      </c>
      <c r="I52" s="12"/>
    </row>
    <row r="53" spans="2:9" x14ac:dyDescent="0.4">
      <c r="D53" s="12"/>
      <c r="H53" s="47"/>
      <c r="I53" s="12"/>
    </row>
    <row r="54" spans="2:9" x14ac:dyDescent="0.4">
      <c r="B54" s="22" t="s">
        <v>40</v>
      </c>
      <c r="C54" s="22"/>
      <c r="D54" s="12"/>
      <c r="E54" s="56"/>
      <c r="F54" s="56"/>
      <c r="G54" s="61"/>
      <c r="H54" s="57"/>
      <c r="I54" s="12"/>
    </row>
  </sheetData>
  <pageMargins left="0.7" right="0.7" top="0.75" bottom="0.75" header="0.3" footer="0.3"/>
  <pageSetup paperSize="9" scale="3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7"/>
  <sheetViews>
    <sheetView view="pageBreakPreview" zoomScale="90" zoomScaleNormal="100" zoomScaleSheetLayoutView="9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3" sqref="A3"/>
    </sheetView>
  </sheetViews>
  <sheetFormatPr defaultColWidth="9.19921875" defaultRowHeight="13.15" x14ac:dyDescent="0.4"/>
  <cols>
    <col min="1" max="1" width="32.19921875" style="102" customWidth="1"/>
    <col min="2" max="2" width="5.73046875" style="103" customWidth="1"/>
    <col min="3" max="3" width="15.06640625" style="103" bestFit="1" customWidth="1"/>
    <col min="4" max="4" width="12.6640625" style="103" bestFit="1" customWidth="1"/>
    <col min="5" max="5" width="14.265625" style="103" bestFit="1" customWidth="1"/>
    <col min="6" max="6" width="10.9296875" style="103" bestFit="1" customWidth="1"/>
    <col min="7" max="7" width="15.06640625" style="102" bestFit="1" customWidth="1"/>
    <col min="8" max="8" width="43.265625" style="107" customWidth="1"/>
    <col min="9" max="9" width="16" style="70" bestFit="1" customWidth="1"/>
    <col min="10" max="16384" width="9.19921875" style="71"/>
  </cols>
  <sheetData>
    <row r="1" spans="1:9" x14ac:dyDescent="0.4">
      <c r="A1" s="66" t="s">
        <v>230</v>
      </c>
      <c r="B1" s="67"/>
      <c r="C1" s="67"/>
      <c r="D1" s="67"/>
      <c r="E1" s="67"/>
      <c r="F1" s="67"/>
      <c r="G1" s="68"/>
      <c r="H1" s="69"/>
    </row>
    <row r="2" spans="1:9" ht="21" customHeight="1" x14ac:dyDescent="0.4">
      <c r="A2" s="66" t="s">
        <v>57</v>
      </c>
      <c r="B2" s="67"/>
      <c r="C2" s="67"/>
      <c r="D2" s="67"/>
      <c r="E2" s="67"/>
      <c r="F2" s="67"/>
      <c r="G2" s="68"/>
      <c r="H2" s="69"/>
    </row>
    <row r="3" spans="1:9" ht="26.25" customHeight="1" thickBot="1" x14ac:dyDescent="0.45">
      <c r="A3" s="72">
        <f>DATE(2023,2,28)</f>
        <v>44985</v>
      </c>
      <c r="B3" s="73"/>
      <c r="C3" s="74"/>
      <c r="D3" s="73"/>
      <c r="E3" s="73"/>
      <c r="F3" s="73"/>
      <c r="G3" s="75"/>
      <c r="H3" s="76"/>
    </row>
    <row r="4" spans="1:9" x14ac:dyDescent="0.4">
      <c r="A4" s="67"/>
      <c r="B4" s="67"/>
      <c r="C4" s="77">
        <f>A3</f>
        <v>44985</v>
      </c>
      <c r="D4" s="77">
        <f>'[1]Note_In  Stmt'!D3</f>
        <v>44957</v>
      </c>
      <c r="E4" s="66" t="s">
        <v>58</v>
      </c>
      <c r="F4" s="66" t="s">
        <v>58</v>
      </c>
      <c r="G4" s="78" t="s">
        <v>59</v>
      </c>
      <c r="H4" s="69"/>
      <c r="I4" s="70" t="s">
        <v>59</v>
      </c>
    </row>
    <row r="5" spans="1:9" x14ac:dyDescent="0.4">
      <c r="A5" s="68"/>
      <c r="B5" s="67"/>
      <c r="C5" s="79" t="s">
        <v>60</v>
      </c>
      <c r="D5" s="79" t="s">
        <v>60</v>
      </c>
      <c r="E5" s="80" t="s">
        <v>60</v>
      </c>
      <c r="F5" s="80" t="s">
        <v>61</v>
      </c>
      <c r="G5" s="79" t="s">
        <v>60</v>
      </c>
      <c r="H5" s="81" t="s">
        <v>62</v>
      </c>
      <c r="I5" s="70" t="s">
        <v>60</v>
      </c>
    </row>
    <row r="6" spans="1:9" x14ac:dyDescent="0.4">
      <c r="A6" s="68"/>
      <c r="B6" s="82" t="s">
        <v>63</v>
      </c>
      <c r="C6" s="82"/>
      <c r="D6" s="82"/>
      <c r="E6" s="82"/>
      <c r="F6" s="82"/>
      <c r="G6" s="83"/>
      <c r="H6" s="69"/>
    </row>
    <row r="7" spans="1:9" x14ac:dyDescent="0.4">
      <c r="A7" s="66" t="s">
        <v>22</v>
      </c>
      <c r="B7" s="67">
        <f>'[1]Note_In  Stmt'!A5</f>
        <v>1</v>
      </c>
      <c r="C7" s="84"/>
      <c r="D7" s="84"/>
      <c r="E7" s="85">
        <f>C7-D7</f>
        <v>0</v>
      </c>
      <c r="F7" s="86" t="e">
        <f>(C7-D7)/D7</f>
        <v>#DIV/0!</v>
      </c>
      <c r="G7" s="84"/>
      <c r="H7" s="69"/>
      <c r="I7" s="70">
        <v>16680962673.460001</v>
      </c>
    </row>
    <row r="8" spans="1:9" x14ac:dyDescent="0.4">
      <c r="A8" s="66" t="s">
        <v>64</v>
      </c>
      <c r="B8" s="67">
        <f>'[1]Note_In  Stmt'!A26</f>
        <v>2</v>
      </c>
      <c r="C8" s="87"/>
      <c r="D8" s="87"/>
      <c r="E8" s="88">
        <f>C8-D8</f>
        <v>0</v>
      </c>
      <c r="F8" s="89" t="e">
        <f>(C8-D8)/D8</f>
        <v>#DIV/0!</v>
      </c>
      <c r="G8" s="87"/>
      <c r="H8" s="69"/>
      <c r="I8" s="70">
        <v>16442698443.710001</v>
      </c>
    </row>
    <row r="9" spans="1:9" x14ac:dyDescent="0.4">
      <c r="A9" s="66" t="s">
        <v>24</v>
      </c>
      <c r="B9" s="67"/>
      <c r="C9" s="90">
        <f>C7-C8</f>
        <v>0</v>
      </c>
      <c r="D9" s="90">
        <f>D7-D8</f>
        <v>0</v>
      </c>
      <c r="E9" s="85">
        <f>C9-D9</f>
        <v>0</v>
      </c>
      <c r="F9" s="86" t="e">
        <f>(C9-D9)/D9</f>
        <v>#DIV/0!</v>
      </c>
      <c r="G9" s="90">
        <f>G7-G8</f>
        <v>0</v>
      </c>
      <c r="H9" s="69"/>
      <c r="I9" s="70">
        <v>238264229.75</v>
      </c>
    </row>
    <row r="10" spans="1:9" ht="5.75" customHeight="1" x14ac:dyDescent="0.4">
      <c r="A10" s="68"/>
      <c r="B10" s="67"/>
      <c r="C10" s="84"/>
      <c r="D10" s="84"/>
      <c r="E10" s="84"/>
      <c r="F10" s="84"/>
      <c r="G10" s="84"/>
      <c r="H10" s="69"/>
    </row>
    <row r="11" spans="1:9" x14ac:dyDescent="0.4">
      <c r="A11" s="66" t="s">
        <v>26</v>
      </c>
      <c r="B11" s="67">
        <f>'[1]Note_In  Stmt'!A48</f>
        <v>3</v>
      </c>
      <c r="C11" s="84"/>
      <c r="D11" s="84"/>
      <c r="E11" s="84"/>
      <c r="F11" s="84"/>
      <c r="G11" s="84"/>
      <c r="H11" s="69"/>
    </row>
    <row r="12" spans="1:9" x14ac:dyDescent="0.4">
      <c r="A12" s="68" t="s">
        <v>65</v>
      </c>
      <c r="B12" s="67"/>
      <c r="C12" s="91"/>
      <c r="D12" s="91"/>
      <c r="E12" s="85">
        <f>C12-D12</f>
        <v>0</v>
      </c>
      <c r="F12" s="86" t="e">
        <f>(C12-D12)/D12</f>
        <v>#DIV/0!</v>
      </c>
      <c r="G12" s="91"/>
      <c r="H12" s="69"/>
      <c r="I12" s="70">
        <v>271497828</v>
      </c>
    </row>
    <row r="13" spans="1:9" x14ac:dyDescent="0.4">
      <c r="A13" s="68" t="s">
        <v>66</v>
      </c>
      <c r="B13" s="67"/>
      <c r="C13" s="91"/>
      <c r="D13" s="91"/>
      <c r="E13" s="85">
        <f>C13-D13</f>
        <v>0</v>
      </c>
      <c r="F13" s="86" t="e">
        <f>(C13-D13)/D13</f>
        <v>#DIV/0!</v>
      </c>
      <c r="G13" s="91"/>
      <c r="H13" s="69"/>
      <c r="I13" s="70">
        <v>155447910</v>
      </c>
    </row>
    <row r="14" spans="1:9" x14ac:dyDescent="0.4">
      <c r="A14" s="68" t="s">
        <v>67</v>
      </c>
      <c r="B14" s="67"/>
      <c r="C14" s="91"/>
      <c r="D14" s="91"/>
      <c r="E14" s="91">
        <f>C14-D14</f>
        <v>0</v>
      </c>
      <c r="F14" s="86" t="e">
        <f>(C14-D14)/D14</f>
        <v>#DIV/0!</v>
      </c>
      <c r="G14" s="91"/>
      <c r="H14" s="69"/>
      <c r="I14" s="70">
        <v>0</v>
      </c>
    </row>
    <row r="15" spans="1:9" x14ac:dyDescent="0.4">
      <c r="A15" s="68" t="s">
        <v>68</v>
      </c>
      <c r="B15" s="67"/>
      <c r="C15" s="87"/>
      <c r="D15" s="87"/>
      <c r="E15" s="91">
        <f>C15-D15</f>
        <v>0</v>
      </c>
      <c r="F15" s="86" t="e">
        <f>(C15-D15)/D15</f>
        <v>#DIV/0!</v>
      </c>
      <c r="G15" s="87"/>
      <c r="H15" s="69"/>
    </row>
    <row r="16" spans="1:9" x14ac:dyDescent="0.4">
      <c r="A16" s="68"/>
      <c r="B16" s="67"/>
      <c r="C16" s="90">
        <f>SUM(C12:C15)</f>
        <v>0</v>
      </c>
      <c r="D16" s="90">
        <f>SUM(D12:D15)</f>
        <v>0</v>
      </c>
      <c r="E16" s="92">
        <f>C16-D16</f>
        <v>0</v>
      </c>
      <c r="F16" s="93" t="e">
        <f>(C16-D16)/D16</f>
        <v>#DIV/0!</v>
      </c>
      <c r="G16" s="90">
        <f>SUM(G12:G15)</f>
        <v>0</v>
      </c>
      <c r="H16" s="69"/>
      <c r="I16" s="70">
        <v>426945738</v>
      </c>
    </row>
    <row r="17" spans="1:9" ht="8.35" customHeight="1" x14ac:dyDescent="0.4">
      <c r="A17" s="68"/>
      <c r="B17" s="67"/>
      <c r="C17" s="91"/>
      <c r="D17" s="91"/>
      <c r="E17" s="91"/>
      <c r="F17" s="86"/>
      <c r="G17" s="91"/>
      <c r="H17" s="69"/>
    </row>
    <row r="18" spans="1:9" x14ac:dyDescent="0.4">
      <c r="A18" s="66" t="s">
        <v>27</v>
      </c>
      <c r="B18" s="67"/>
      <c r="C18" s="90">
        <f>C9-C16</f>
        <v>0</v>
      </c>
      <c r="D18" s="90">
        <f>D9-D16</f>
        <v>0</v>
      </c>
      <c r="E18" s="91">
        <f>C18-D18</f>
        <v>0</v>
      </c>
      <c r="F18" s="86" t="e">
        <f>-(C18-D18)/D18</f>
        <v>#DIV/0!</v>
      </c>
      <c r="G18" s="90">
        <f>G9-G16</f>
        <v>0</v>
      </c>
      <c r="H18" s="69"/>
      <c r="I18" s="70">
        <v>-188681508.25</v>
      </c>
    </row>
    <row r="19" spans="1:9" x14ac:dyDescent="0.4">
      <c r="A19" s="68"/>
      <c r="B19" s="67"/>
      <c r="C19" s="91"/>
      <c r="D19" s="91"/>
      <c r="E19" s="91"/>
      <c r="F19" s="86"/>
      <c r="G19" s="91"/>
      <c r="H19" s="69"/>
    </row>
    <row r="20" spans="1:9" x14ac:dyDescent="0.4">
      <c r="A20" s="66" t="s">
        <v>28</v>
      </c>
      <c r="B20" s="67">
        <f>'[1]Note_In  Stmt'!A103</f>
        <v>6</v>
      </c>
      <c r="C20" s="91"/>
      <c r="D20" s="91"/>
      <c r="E20" s="91"/>
      <c r="F20" s="86"/>
      <c r="G20" s="91"/>
      <c r="H20" s="69"/>
    </row>
    <row r="21" spans="1:9" x14ac:dyDescent="0.4">
      <c r="A21" s="68" t="s">
        <v>69</v>
      </c>
      <c r="B21" s="67"/>
      <c r="C21" s="91"/>
      <c r="D21" s="91"/>
      <c r="E21" s="91">
        <f t="shared" ref="E21:E37" si="0">C21-D21</f>
        <v>0</v>
      </c>
      <c r="F21" s="86" t="e">
        <f t="shared" ref="F21:F37" si="1">-(C21-D21)/D21</f>
        <v>#DIV/0!</v>
      </c>
      <c r="G21" s="91"/>
      <c r="H21" s="69"/>
    </row>
    <row r="22" spans="1:9" x14ac:dyDescent="0.4">
      <c r="A22" s="68" t="s">
        <v>70</v>
      </c>
      <c r="B22" s="67"/>
      <c r="C22" s="91"/>
      <c r="D22" s="91"/>
      <c r="E22" s="91">
        <f t="shared" si="0"/>
        <v>0</v>
      </c>
      <c r="F22" s="86" t="e">
        <f t="shared" si="1"/>
        <v>#DIV/0!</v>
      </c>
      <c r="G22" s="91"/>
      <c r="H22" s="69"/>
    </row>
    <row r="23" spans="1:9" x14ac:dyDescent="0.4">
      <c r="A23" s="68" t="s">
        <v>71</v>
      </c>
      <c r="B23" s="67"/>
      <c r="C23" s="91"/>
      <c r="D23" s="91"/>
      <c r="E23" s="91">
        <f t="shared" si="0"/>
        <v>0</v>
      </c>
      <c r="F23" s="86" t="e">
        <f t="shared" si="1"/>
        <v>#DIV/0!</v>
      </c>
      <c r="G23" s="91"/>
      <c r="H23" s="69"/>
    </row>
    <row r="24" spans="1:9" x14ac:dyDescent="0.4">
      <c r="A24" s="68" t="s">
        <v>72</v>
      </c>
      <c r="B24" s="67"/>
      <c r="C24" s="87"/>
      <c r="D24" s="87"/>
      <c r="E24" s="87">
        <f t="shared" si="0"/>
        <v>0</v>
      </c>
      <c r="F24" s="89" t="e">
        <f t="shared" si="1"/>
        <v>#DIV/0!</v>
      </c>
      <c r="G24" s="87"/>
      <c r="H24" s="69"/>
    </row>
    <row r="25" spans="1:9" s="97" customFormat="1" x14ac:dyDescent="0.4">
      <c r="A25" s="66"/>
      <c r="B25" s="82"/>
      <c r="C25" s="90">
        <f>SUM(C21:C24)</f>
        <v>0</v>
      </c>
      <c r="D25" s="90">
        <f>SUM(D21:D24)</f>
        <v>0</v>
      </c>
      <c r="E25" s="90">
        <f t="shared" si="0"/>
        <v>0</v>
      </c>
      <c r="F25" s="94" t="e">
        <f>-(C25-D25)/D25</f>
        <v>#DIV/0!</v>
      </c>
      <c r="G25" s="90">
        <f>SUM(G21:G24)</f>
        <v>0</v>
      </c>
      <c r="H25" s="95"/>
      <c r="I25" s="96"/>
    </row>
    <row r="26" spans="1:9" x14ac:dyDescent="0.4">
      <c r="A26" s="68"/>
      <c r="B26" s="67"/>
      <c r="C26" s="91"/>
      <c r="D26" s="91"/>
      <c r="E26" s="91"/>
      <c r="F26" s="86"/>
      <c r="G26" s="91"/>
      <c r="H26" s="69"/>
    </row>
    <row r="27" spans="1:9" x14ac:dyDescent="0.4">
      <c r="A27" s="66" t="s">
        <v>30</v>
      </c>
      <c r="B27" s="67"/>
      <c r="C27" s="90">
        <f>C16+C25</f>
        <v>0</v>
      </c>
      <c r="D27" s="90">
        <f>D16+D25</f>
        <v>0</v>
      </c>
      <c r="E27" s="91">
        <f t="shared" si="0"/>
        <v>0</v>
      </c>
      <c r="F27" s="86" t="e">
        <f t="shared" si="1"/>
        <v>#DIV/0!</v>
      </c>
      <c r="G27" s="90">
        <f>G16+G25</f>
        <v>0</v>
      </c>
      <c r="H27" s="69"/>
    </row>
    <row r="28" spans="1:9" x14ac:dyDescent="0.4">
      <c r="A28" s="68"/>
      <c r="B28" s="67"/>
      <c r="C28" s="91"/>
      <c r="D28" s="91"/>
      <c r="E28" s="91"/>
      <c r="F28" s="86"/>
      <c r="G28" s="91"/>
      <c r="H28" s="69"/>
    </row>
    <row r="29" spans="1:9" x14ac:dyDescent="0.4">
      <c r="A29" s="66" t="s">
        <v>29</v>
      </c>
      <c r="B29" s="67"/>
      <c r="C29" s="90">
        <f>C9-C27</f>
        <v>0</v>
      </c>
      <c r="D29" s="90">
        <f>D9-D27</f>
        <v>0</v>
      </c>
      <c r="E29" s="91">
        <f t="shared" si="0"/>
        <v>0</v>
      </c>
      <c r="F29" s="86" t="e">
        <f t="shared" si="1"/>
        <v>#DIV/0!</v>
      </c>
      <c r="G29" s="90">
        <f>G9-G27</f>
        <v>0</v>
      </c>
      <c r="H29" s="98"/>
    </row>
    <row r="30" spans="1:9" x14ac:dyDescent="0.4">
      <c r="A30" s="68"/>
      <c r="B30" s="67"/>
      <c r="C30" s="91"/>
      <c r="D30" s="91"/>
      <c r="E30" s="91"/>
      <c r="F30" s="86"/>
      <c r="G30" s="91"/>
      <c r="H30" s="69"/>
    </row>
    <row r="31" spans="1:9" x14ac:dyDescent="0.4">
      <c r="A31" s="66" t="s">
        <v>31</v>
      </c>
      <c r="B31" s="67">
        <f>'[1]Note_In  Stmt'!A125</f>
        <v>7</v>
      </c>
      <c r="C31" s="91"/>
      <c r="D31" s="91"/>
      <c r="E31" s="91"/>
      <c r="F31" s="86"/>
      <c r="G31" s="91"/>
      <c r="H31" s="69"/>
    </row>
    <row r="32" spans="1:9" x14ac:dyDescent="0.4">
      <c r="A32" s="68" t="s">
        <v>73</v>
      </c>
      <c r="B32" s="67"/>
      <c r="C32" s="91"/>
      <c r="D32" s="91"/>
      <c r="E32" s="91">
        <f t="shared" si="0"/>
        <v>0</v>
      </c>
      <c r="F32" s="86" t="e">
        <f t="shared" si="1"/>
        <v>#DIV/0!</v>
      </c>
      <c r="G32" s="91"/>
      <c r="H32" s="69"/>
    </row>
    <row r="33" spans="1:9" x14ac:dyDescent="0.4">
      <c r="A33" s="68" t="s">
        <v>74</v>
      </c>
      <c r="B33" s="67"/>
      <c r="C33" s="91"/>
      <c r="D33" s="91"/>
      <c r="E33" s="91">
        <f t="shared" si="0"/>
        <v>0</v>
      </c>
      <c r="F33" s="86" t="e">
        <f t="shared" si="1"/>
        <v>#DIV/0!</v>
      </c>
      <c r="G33" s="91"/>
      <c r="H33" s="69"/>
    </row>
    <row r="34" spans="1:9" x14ac:dyDescent="0.4">
      <c r="A34" s="68" t="s">
        <v>75</v>
      </c>
      <c r="B34" s="67"/>
      <c r="C34" s="87"/>
      <c r="D34" s="87"/>
      <c r="E34" s="87">
        <f t="shared" si="0"/>
        <v>0</v>
      </c>
      <c r="F34" s="89" t="e">
        <f t="shared" si="1"/>
        <v>#DIV/0!</v>
      </c>
      <c r="G34" s="87"/>
      <c r="H34" s="69"/>
    </row>
    <row r="35" spans="1:9" s="97" customFormat="1" x14ac:dyDescent="0.4">
      <c r="A35" s="66"/>
      <c r="B35" s="82"/>
      <c r="C35" s="90">
        <f>SUM(C32:C34)</f>
        <v>0</v>
      </c>
      <c r="D35" s="90">
        <f>SUM(D32:D34)</f>
        <v>0</v>
      </c>
      <c r="E35" s="90">
        <f t="shared" si="0"/>
        <v>0</v>
      </c>
      <c r="F35" s="94" t="e">
        <f t="shared" si="1"/>
        <v>#DIV/0!</v>
      </c>
      <c r="G35" s="90">
        <f>SUM(G32:G34)</f>
        <v>0</v>
      </c>
      <c r="H35" s="95"/>
      <c r="I35" s="96"/>
    </row>
    <row r="36" spans="1:9" s="97" customFormat="1" x14ac:dyDescent="0.4">
      <c r="A36" s="66"/>
      <c r="B36" s="82"/>
      <c r="C36" s="90"/>
      <c r="D36" s="90"/>
      <c r="E36" s="90"/>
      <c r="F36" s="94"/>
      <c r="G36" s="90"/>
      <c r="H36" s="95"/>
      <c r="I36" s="96"/>
    </row>
    <row r="37" spans="1:9" x14ac:dyDescent="0.4">
      <c r="A37" s="66" t="s">
        <v>34</v>
      </c>
      <c r="B37" s="67"/>
      <c r="C37" s="90">
        <f>C29-C35</f>
        <v>0</v>
      </c>
      <c r="D37" s="90">
        <f>D29-D35</f>
        <v>0</v>
      </c>
      <c r="E37" s="91">
        <f t="shared" si="0"/>
        <v>0</v>
      </c>
      <c r="F37" s="86" t="e">
        <f t="shared" si="1"/>
        <v>#DIV/0!</v>
      </c>
      <c r="G37" s="90">
        <f>G29-G35</f>
        <v>0</v>
      </c>
      <c r="H37" s="69"/>
    </row>
    <row r="38" spans="1:9" x14ac:dyDescent="0.4">
      <c r="A38" s="68"/>
      <c r="B38" s="67"/>
      <c r="C38" s="91"/>
      <c r="D38" s="91"/>
      <c r="E38" s="91"/>
      <c r="F38" s="86"/>
      <c r="G38" s="91"/>
      <c r="H38" s="69"/>
    </row>
    <row r="39" spans="1:9" x14ac:dyDescent="0.4">
      <c r="A39" s="66" t="s">
        <v>76</v>
      </c>
      <c r="B39" s="67">
        <f>'[1]Note_In  Stmt'!A83</f>
        <v>5</v>
      </c>
      <c r="C39" s="91"/>
      <c r="D39" s="91"/>
      <c r="E39" s="91">
        <f>C39-D39</f>
        <v>0</v>
      </c>
      <c r="F39" s="86" t="e">
        <f>(C39-D39)/D39</f>
        <v>#DIV/0!</v>
      </c>
      <c r="G39" s="91"/>
      <c r="H39" s="69"/>
      <c r="I39" s="70">
        <v>57266633.030000001</v>
      </c>
    </row>
    <row r="40" spans="1:9" x14ac:dyDescent="0.4">
      <c r="A40" s="68"/>
      <c r="B40" s="67"/>
      <c r="C40" s="91"/>
      <c r="D40" s="91"/>
      <c r="E40" s="91"/>
      <c r="F40" s="86"/>
      <c r="G40" s="91"/>
      <c r="H40" s="69"/>
    </row>
    <row r="41" spans="1:9" s="97" customFormat="1" x14ac:dyDescent="0.4">
      <c r="A41" s="66" t="s">
        <v>77</v>
      </c>
      <c r="B41" s="82"/>
      <c r="C41" s="90">
        <f>C37-C39</f>
        <v>0</v>
      </c>
      <c r="D41" s="90">
        <f>D37-D39</f>
        <v>0</v>
      </c>
      <c r="E41" s="90">
        <f t="shared" ref="E41:F41" si="2">E37-E39</f>
        <v>0</v>
      </c>
      <c r="F41" s="90" t="e">
        <f t="shared" si="2"/>
        <v>#DIV/0!</v>
      </c>
      <c r="G41" s="90"/>
      <c r="H41" s="95"/>
      <c r="I41" s="96"/>
    </row>
    <row r="42" spans="1:9" x14ac:dyDescent="0.4">
      <c r="A42" s="68"/>
      <c r="B42" s="67"/>
      <c r="C42" s="91"/>
      <c r="D42" s="91"/>
      <c r="E42" s="91"/>
      <c r="F42" s="86"/>
      <c r="G42" s="91"/>
      <c r="H42" s="69"/>
    </row>
    <row r="43" spans="1:9" x14ac:dyDescent="0.4">
      <c r="A43" s="66" t="s">
        <v>78</v>
      </c>
      <c r="B43" s="67">
        <f>'[1]Note_In  Stmt'!A67</f>
        <v>4</v>
      </c>
      <c r="C43" s="91"/>
      <c r="D43" s="91"/>
      <c r="E43" s="91"/>
      <c r="F43" s="86"/>
      <c r="G43" s="91"/>
      <c r="H43" s="69"/>
    </row>
    <row r="44" spans="1:9" x14ac:dyDescent="0.4">
      <c r="A44" s="68" t="s">
        <v>38</v>
      </c>
      <c r="B44" s="67"/>
      <c r="C44" s="91"/>
      <c r="D44" s="91"/>
      <c r="E44" s="91">
        <f>C44-D44</f>
        <v>0</v>
      </c>
      <c r="F44" s="86" t="e">
        <f>(C44-D44)/D44</f>
        <v>#DIV/0!</v>
      </c>
      <c r="G44" s="91"/>
      <c r="H44" s="69"/>
      <c r="I44" s="70">
        <v>135168744.97999999</v>
      </c>
    </row>
    <row r="45" spans="1:9" x14ac:dyDescent="0.4">
      <c r="A45" s="68"/>
      <c r="B45" s="67"/>
      <c r="C45" s="90"/>
      <c r="D45" s="90"/>
      <c r="E45" s="91"/>
      <c r="F45" s="86"/>
      <c r="G45" s="90"/>
      <c r="H45" s="69"/>
    </row>
    <row r="46" spans="1:9" x14ac:dyDescent="0.4">
      <c r="A46" s="68"/>
      <c r="B46" s="67"/>
      <c r="C46" s="91"/>
      <c r="D46" s="91"/>
      <c r="E46" s="91"/>
      <c r="F46" s="86"/>
      <c r="G46" s="91"/>
      <c r="H46" s="69"/>
    </row>
    <row r="47" spans="1:9" ht="13.5" thickBot="1" x14ac:dyDescent="0.45">
      <c r="A47" s="66" t="s">
        <v>79</v>
      </c>
      <c r="B47" s="67"/>
      <c r="C47" s="99">
        <f>C41-C44</f>
        <v>0</v>
      </c>
      <c r="D47" s="99">
        <f>D41-D44</f>
        <v>0</v>
      </c>
      <c r="E47" s="100">
        <f>C47-D47</f>
        <v>0</v>
      </c>
      <c r="F47" s="101" t="e">
        <f>-(C47-D47)/D47</f>
        <v>#DIV/0!</v>
      </c>
      <c r="G47" s="99">
        <f>G41-G44</f>
        <v>0</v>
      </c>
      <c r="H47" s="69"/>
      <c r="I47" s="70">
        <v>-323850253.23000002</v>
      </c>
    </row>
    <row r="48" spans="1:9" ht="13.5" thickTop="1" x14ac:dyDescent="0.4">
      <c r="A48" s="68"/>
      <c r="B48" s="67"/>
      <c r="C48" s="91"/>
      <c r="D48" s="91"/>
      <c r="E48" s="91"/>
      <c r="F48" s="86"/>
      <c r="G48" s="91"/>
      <c r="H48" s="69"/>
    </row>
    <row r="49" spans="1:9" x14ac:dyDescent="0.4">
      <c r="C49" s="104" t="e">
        <f>#REF!-'[1]Odoo IS_MT'!B16</f>
        <v>#REF!</v>
      </c>
      <c r="D49" s="104"/>
      <c r="E49" s="105"/>
      <c r="F49" s="105"/>
      <c r="G49" s="106" t="e">
        <f>#REF!-'[1]Odoo IS_YT'!B16</f>
        <v>#REF!</v>
      </c>
    </row>
    <row r="51" spans="1:9" s="103" customFormat="1" x14ac:dyDescent="0.4">
      <c r="A51" s="102"/>
      <c r="C51" s="108">
        <f>'[1]Odoo IS_MT'!B16</f>
        <v>35363638.789999999</v>
      </c>
      <c r="D51" s="109" t="e">
        <f>D45/D7</f>
        <v>#DIV/0!</v>
      </c>
      <c r="G51" s="110">
        <f>'[1]Odoo IS_YT'!B16</f>
        <v>-175263390.89000019</v>
      </c>
      <c r="H51" s="107"/>
      <c r="I51" s="70"/>
    </row>
    <row r="52" spans="1:9" s="103" customFormat="1" x14ac:dyDescent="0.4">
      <c r="A52" s="102"/>
      <c r="C52" s="108">
        <f>C47-C51</f>
        <v>-35363638.789999999</v>
      </c>
      <c r="G52" s="110">
        <f>G47-G51</f>
        <v>175263390.89000019</v>
      </c>
      <c r="H52" s="107"/>
      <c r="I52" s="70"/>
    </row>
    <row r="54" spans="1:9" s="103" customFormat="1" x14ac:dyDescent="0.4">
      <c r="A54" s="102"/>
      <c r="C54" s="111"/>
      <c r="G54" s="102"/>
      <c r="H54" s="107"/>
      <c r="I54" s="70"/>
    </row>
    <row r="55" spans="1:9" s="103" customFormat="1" x14ac:dyDescent="0.4">
      <c r="A55" s="102"/>
      <c r="C55" s="108"/>
      <c r="G55" s="102"/>
      <c r="H55" s="107"/>
      <c r="I55" s="70"/>
    </row>
    <row r="56" spans="1:9" s="103" customFormat="1" x14ac:dyDescent="0.4">
      <c r="A56" s="102"/>
      <c r="C56" s="111"/>
      <c r="G56" s="102"/>
      <c r="H56" s="107"/>
      <c r="I56" s="70"/>
    </row>
    <row r="137" spans="2:9" s="102" customFormat="1" x14ac:dyDescent="0.4">
      <c r="B137" s="103"/>
      <c r="C137" s="103"/>
      <c r="D137" s="103"/>
      <c r="E137" s="103"/>
      <c r="F137" s="103"/>
      <c r="H137" s="112"/>
      <c r="I137" s="70"/>
    </row>
  </sheetData>
  <pageMargins left="0.7" right="0.7" top="0.75" bottom="0.75" header="0.3" footer="0.3"/>
  <pageSetup paperSize="9" scale="4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62"/>
  <sheetViews>
    <sheetView view="pageBreakPreview" zoomScale="90" zoomScaleNormal="100" zoomScaleSheetLayoutView="90" workbookViewId="0">
      <selection activeCell="A52" sqref="A52"/>
    </sheetView>
  </sheetViews>
  <sheetFormatPr defaultColWidth="9.19921875" defaultRowHeight="13.15" x14ac:dyDescent="0.4"/>
  <cols>
    <col min="1" max="1" width="38.46484375" style="68" customWidth="1"/>
    <col min="2" max="2" width="6.73046875" style="67" customWidth="1"/>
    <col min="3" max="3" width="18" style="124" customWidth="1"/>
    <col min="4" max="4" width="19.265625" style="124" bestFit="1" customWidth="1"/>
    <col min="5" max="5" width="18.73046875" style="124" bestFit="1" customWidth="1"/>
    <col min="6" max="6" width="12.46484375" style="67" customWidth="1"/>
    <col min="7" max="7" width="48.796875" style="125" hidden="1" customWidth="1"/>
    <col min="8" max="8" width="18" style="124" customWidth="1"/>
    <col min="9" max="9" width="16.73046875" style="126" bestFit="1" customWidth="1"/>
    <col min="10" max="16384" width="9.19921875" style="126"/>
  </cols>
  <sheetData>
    <row r="2" spans="1:9" x14ac:dyDescent="0.4">
      <c r="A2" s="66" t="s">
        <v>230</v>
      </c>
    </row>
    <row r="3" spans="1:9" x14ac:dyDescent="0.4">
      <c r="A3" s="66" t="s">
        <v>99</v>
      </c>
    </row>
    <row r="4" spans="1:9" x14ac:dyDescent="0.4">
      <c r="A4" s="127">
        <f>DATE(2023,2,28)</f>
        <v>44985</v>
      </c>
    </row>
    <row r="5" spans="1:9" x14ac:dyDescent="0.4">
      <c r="A5" s="66"/>
    </row>
    <row r="6" spans="1:9" ht="13.5" thickBot="1" x14ac:dyDescent="0.45">
      <c r="A6" s="128"/>
      <c r="B6" s="73"/>
      <c r="C6" s="129"/>
      <c r="D6" s="129"/>
      <c r="E6" s="129"/>
      <c r="F6" s="73"/>
      <c r="H6" s="129"/>
    </row>
    <row r="7" spans="1:9" x14ac:dyDescent="0.4">
      <c r="B7" s="130"/>
      <c r="C7" s="131">
        <f>A4</f>
        <v>44985</v>
      </c>
      <c r="D7" s="131">
        <f>[1]NOTE_BS!D3</f>
        <v>44957</v>
      </c>
      <c r="E7" s="132"/>
      <c r="F7" s="78" t="s">
        <v>61</v>
      </c>
      <c r="H7" s="131">
        <v>44561</v>
      </c>
    </row>
    <row r="8" spans="1:9" x14ac:dyDescent="0.4">
      <c r="C8" s="79" t="s">
        <v>100</v>
      </c>
      <c r="D8" s="79" t="s">
        <v>100</v>
      </c>
      <c r="E8" s="79" t="s">
        <v>58</v>
      </c>
      <c r="F8" s="133" t="s">
        <v>58</v>
      </c>
      <c r="G8" s="81" t="s">
        <v>62</v>
      </c>
      <c r="H8" s="79" t="s">
        <v>100</v>
      </c>
    </row>
    <row r="9" spans="1:9" x14ac:dyDescent="0.4">
      <c r="A9" s="66" t="s">
        <v>101</v>
      </c>
      <c r="B9" s="82" t="s">
        <v>63</v>
      </c>
      <c r="C9" s="134"/>
      <c r="D9" s="134"/>
      <c r="E9" s="134"/>
      <c r="H9" s="134"/>
    </row>
    <row r="10" spans="1:9" x14ac:dyDescent="0.4">
      <c r="A10" s="66" t="s">
        <v>102</v>
      </c>
      <c r="C10" s="135"/>
      <c r="D10" s="135"/>
      <c r="E10" s="134">
        <f>C10-D10</f>
        <v>0</v>
      </c>
      <c r="F10" s="136">
        <f>IF(D10=0,0,(C10-D10)/D10)</f>
        <v>0</v>
      </c>
      <c r="H10" s="135"/>
      <c r="I10" s="137"/>
    </row>
    <row r="11" spans="1:9" x14ac:dyDescent="0.4">
      <c r="C11" s="135"/>
      <c r="D11" s="135"/>
      <c r="E11" s="134"/>
      <c r="F11" s="136"/>
      <c r="G11" s="125" t="s">
        <v>103</v>
      </c>
      <c r="H11" s="135"/>
      <c r="I11" s="137"/>
    </row>
    <row r="12" spans="1:9" x14ac:dyDescent="0.4">
      <c r="A12" s="66" t="s">
        <v>104</v>
      </c>
      <c r="C12" s="135"/>
      <c r="D12" s="135"/>
      <c r="E12" s="138"/>
      <c r="F12" s="136"/>
      <c r="H12" s="135"/>
      <c r="I12" s="137"/>
    </row>
    <row r="13" spans="1:9" x14ac:dyDescent="0.4">
      <c r="A13" s="68" t="s">
        <v>105</v>
      </c>
      <c r="B13" s="67">
        <f>[1]NOTE_BS!A5</f>
        <v>6</v>
      </c>
      <c r="C13" s="138"/>
      <c r="D13" s="138"/>
      <c r="E13" s="134">
        <f t="shared" ref="E13:E21" si="0">C13-D13</f>
        <v>0</v>
      </c>
      <c r="F13" s="136">
        <f t="shared" ref="F13:F21" si="1">IF(D13=0,0,(C13-D13)/D13)</f>
        <v>0</v>
      </c>
      <c r="H13" s="138">
        <v>1128468210.2999983</v>
      </c>
      <c r="I13" s="137"/>
    </row>
    <row r="14" spans="1:9" x14ac:dyDescent="0.4">
      <c r="A14" s="68" t="s">
        <v>106</v>
      </c>
      <c r="B14" s="67">
        <f>[1]NOTE_BS!A15</f>
        <v>7</v>
      </c>
      <c r="C14" s="135"/>
      <c r="D14" s="135"/>
      <c r="E14" s="134">
        <f t="shared" si="0"/>
        <v>0</v>
      </c>
      <c r="F14" s="136">
        <f t="shared" si="1"/>
        <v>0</v>
      </c>
      <c r="H14" s="135">
        <v>505622386.51000041</v>
      </c>
      <c r="I14" s="137"/>
    </row>
    <row r="15" spans="1:9" x14ac:dyDescent="0.4">
      <c r="A15" s="68" t="s">
        <v>83</v>
      </c>
      <c r="B15" s="67">
        <f>[1]NOTE_BS!A30</f>
        <v>8</v>
      </c>
      <c r="C15" s="135"/>
      <c r="D15" s="135"/>
      <c r="E15" s="134">
        <f t="shared" si="0"/>
        <v>0</v>
      </c>
      <c r="F15" s="136">
        <f t="shared" si="1"/>
        <v>0</v>
      </c>
      <c r="H15" s="135">
        <v>0</v>
      </c>
      <c r="I15" s="137"/>
    </row>
    <row r="16" spans="1:9" ht="13.5" customHeight="1" x14ac:dyDescent="0.4">
      <c r="A16" s="68" t="s">
        <v>107</v>
      </c>
      <c r="C16" s="135"/>
      <c r="D16" s="135"/>
      <c r="E16" s="134">
        <f t="shared" si="0"/>
        <v>0</v>
      </c>
      <c r="F16" s="136">
        <f t="shared" si="1"/>
        <v>0</v>
      </c>
      <c r="G16" s="125" t="s">
        <v>108</v>
      </c>
      <c r="H16" s="135"/>
      <c r="I16" s="137"/>
    </row>
    <row r="17" spans="1:9" x14ac:dyDescent="0.4">
      <c r="A17" s="68" t="s">
        <v>109</v>
      </c>
      <c r="C17" s="135"/>
      <c r="D17" s="135"/>
      <c r="E17" s="134">
        <f t="shared" si="0"/>
        <v>0</v>
      </c>
      <c r="F17" s="136">
        <f>IF(D17=0,0,(C17-D17)/D17)</f>
        <v>0</v>
      </c>
      <c r="H17" s="135"/>
      <c r="I17" s="137"/>
    </row>
    <row r="18" spans="1:9" x14ac:dyDescent="0.4">
      <c r="A18" s="68" t="s">
        <v>110</v>
      </c>
      <c r="B18" s="67">
        <f>[1]NOTE_BS!A36</f>
        <v>9</v>
      </c>
      <c r="C18" s="138"/>
      <c r="D18" s="138"/>
      <c r="E18" s="134">
        <f t="shared" si="0"/>
        <v>0</v>
      </c>
      <c r="F18" s="136">
        <f t="shared" si="1"/>
        <v>0</v>
      </c>
      <c r="H18" s="138">
        <v>215342963.60999948</v>
      </c>
      <c r="I18" s="137"/>
    </row>
    <row r="19" spans="1:9" x14ac:dyDescent="0.4">
      <c r="C19" s="135"/>
      <c r="D19" s="138"/>
      <c r="E19" s="134">
        <f t="shared" si="0"/>
        <v>0</v>
      </c>
      <c r="F19" s="136">
        <f t="shared" si="1"/>
        <v>0</v>
      </c>
      <c r="H19" s="135"/>
      <c r="I19" s="137"/>
    </row>
    <row r="20" spans="1:9" x14ac:dyDescent="0.4">
      <c r="C20" s="135"/>
      <c r="D20" s="138"/>
      <c r="E20" s="134">
        <f t="shared" si="0"/>
        <v>0</v>
      </c>
      <c r="F20" s="136">
        <f>IF(D20=0,0,(C20-D20)/D20)</f>
        <v>0</v>
      </c>
      <c r="H20" s="135"/>
      <c r="I20" s="137"/>
    </row>
    <row r="21" spans="1:9" x14ac:dyDescent="0.4">
      <c r="C21" s="135"/>
      <c r="D21" s="135"/>
      <c r="E21" s="134">
        <f t="shared" si="0"/>
        <v>0</v>
      </c>
      <c r="F21" s="136">
        <f t="shared" si="1"/>
        <v>0</v>
      </c>
      <c r="H21" s="135"/>
      <c r="I21" s="137"/>
    </row>
    <row r="22" spans="1:9" ht="13.5" thickBot="1" x14ac:dyDescent="0.45">
      <c r="A22" s="66" t="s">
        <v>111</v>
      </c>
      <c r="C22" s="139">
        <f>SUM(C10:C21)</f>
        <v>0</v>
      </c>
      <c r="D22" s="139">
        <f>SUM(D10:D21)</f>
        <v>0</v>
      </c>
      <c r="E22" s="140">
        <f>C22-D22</f>
        <v>0</v>
      </c>
      <c r="F22" s="101">
        <f>IF(D22=0,0,(C22-D22)/D22)</f>
        <v>0</v>
      </c>
      <c r="H22" s="139">
        <v>1849433560.4199982</v>
      </c>
      <c r="I22" s="137"/>
    </row>
    <row r="23" spans="1:9" ht="13.5" thickTop="1" x14ac:dyDescent="0.4">
      <c r="A23" s="141"/>
      <c r="C23" s="142"/>
      <c r="D23" s="142"/>
      <c r="H23" s="142"/>
    </row>
    <row r="24" spans="1:9" x14ac:dyDescent="0.4">
      <c r="B24" s="143"/>
      <c r="C24" s="142"/>
      <c r="D24" s="142"/>
      <c r="H24" s="142"/>
    </row>
    <row r="25" spans="1:9" x14ac:dyDescent="0.4">
      <c r="A25" s="66" t="s">
        <v>112</v>
      </c>
      <c r="C25" s="144"/>
      <c r="D25" s="144"/>
      <c r="E25" s="145"/>
      <c r="H25" s="144"/>
    </row>
    <row r="26" spans="1:9" x14ac:dyDescent="0.4">
      <c r="A26" s="66"/>
      <c r="C26" s="144"/>
      <c r="D26" s="144"/>
      <c r="E26" s="145"/>
      <c r="H26" s="144"/>
    </row>
    <row r="27" spans="1:9" x14ac:dyDescent="0.4">
      <c r="A27" s="66" t="s">
        <v>113</v>
      </c>
      <c r="C27" s="146"/>
      <c r="D27" s="146"/>
      <c r="E27" s="147"/>
      <c r="H27" s="146"/>
    </row>
    <row r="28" spans="1:9" x14ac:dyDescent="0.4">
      <c r="A28" s="68" t="s">
        <v>91</v>
      </c>
      <c r="B28" s="67">
        <f>[1]NOTE_BS!A79</f>
        <v>14</v>
      </c>
      <c r="C28" s="142"/>
      <c r="D28" s="142"/>
      <c r="E28" s="134">
        <f>C28-D28</f>
        <v>0</v>
      </c>
      <c r="F28" s="136">
        <f>IF(D28=0,0,(C28-D28)/D28)</f>
        <v>0</v>
      </c>
      <c r="H28" s="142">
        <v>365471711.54000002</v>
      </c>
      <c r="I28" s="137"/>
    </row>
    <row r="29" spans="1:9" x14ac:dyDescent="0.4">
      <c r="A29" s="68" t="s">
        <v>114</v>
      </c>
      <c r="B29" s="67">
        <f>[1]NOTE_BS!A83</f>
        <v>15</v>
      </c>
      <c r="C29" s="148"/>
      <c r="D29" s="148"/>
      <c r="E29" s="134">
        <f>C29-D29</f>
        <v>0</v>
      </c>
      <c r="F29" s="136">
        <f>IF(D29=0,0,(C29-D29)/D29)</f>
        <v>0</v>
      </c>
      <c r="H29" s="148">
        <v>-194714252.98999998</v>
      </c>
      <c r="I29" s="137"/>
    </row>
    <row r="30" spans="1:9" x14ac:dyDescent="0.4">
      <c r="A30" s="68" t="s">
        <v>115</v>
      </c>
      <c r="C30" s="148"/>
      <c r="D30" s="148"/>
      <c r="E30" s="134">
        <f>C30-D30</f>
        <v>0</v>
      </c>
      <c r="F30" s="136">
        <f>IF(D30=0,0,(C30-D30)/D30)</f>
        <v>0</v>
      </c>
      <c r="H30" s="148">
        <v>-63798643.339999951</v>
      </c>
      <c r="I30" s="137"/>
    </row>
    <row r="31" spans="1:9" x14ac:dyDescent="0.4">
      <c r="A31" s="68" t="s">
        <v>116</v>
      </c>
      <c r="C31" s="148"/>
      <c r="D31" s="148"/>
      <c r="E31" s="134">
        <f>C31-D31</f>
        <v>0</v>
      </c>
      <c r="F31" s="136">
        <f>IF(D31=0,0,(C31-D31)/D31)</f>
        <v>0</v>
      </c>
      <c r="H31" s="148">
        <v>-381116886.25999999</v>
      </c>
      <c r="I31" s="137"/>
    </row>
    <row r="32" spans="1:9" x14ac:dyDescent="0.4">
      <c r="C32" s="148"/>
      <c r="D32" s="148"/>
      <c r="E32" s="149"/>
      <c r="F32" s="86"/>
      <c r="H32" s="148"/>
      <c r="I32" s="137"/>
    </row>
    <row r="33" spans="1:9" x14ac:dyDescent="0.4">
      <c r="A33" s="66" t="s">
        <v>117</v>
      </c>
      <c r="C33" s="150">
        <f>SUM(C28:C32)</f>
        <v>0</v>
      </c>
      <c r="D33" s="150">
        <f>SUM(D28:D32)</f>
        <v>0</v>
      </c>
      <c r="E33" s="151">
        <f>C33-D33</f>
        <v>0</v>
      </c>
      <c r="F33" s="93">
        <f>-IF(D33=0,0,(C33-D33)/D33)</f>
        <v>0</v>
      </c>
      <c r="H33" s="150">
        <v>-274158071.04999989</v>
      </c>
      <c r="I33" s="137"/>
    </row>
    <row r="34" spans="1:9" x14ac:dyDescent="0.4">
      <c r="C34" s="148"/>
      <c r="D34" s="148"/>
      <c r="E34" s="149"/>
      <c r="F34" s="86"/>
      <c r="H34" s="148"/>
      <c r="I34" s="137"/>
    </row>
    <row r="35" spans="1:9" x14ac:dyDescent="0.4">
      <c r="A35" s="66" t="s">
        <v>118</v>
      </c>
      <c r="C35" s="148"/>
      <c r="D35" s="148"/>
      <c r="E35" s="149"/>
      <c r="F35" s="86"/>
      <c r="H35" s="148"/>
      <c r="I35" s="137"/>
    </row>
    <row r="36" spans="1:9" ht="14.25" x14ac:dyDescent="0.45">
      <c r="A36" s="152"/>
      <c r="C36" s="148"/>
      <c r="D36" s="148"/>
      <c r="E36" s="153"/>
      <c r="F36" s="86"/>
      <c r="H36" s="148"/>
      <c r="I36" s="137"/>
    </row>
    <row r="37" spans="1:9" x14ac:dyDescent="0.4">
      <c r="A37" s="66" t="s">
        <v>119</v>
      </c>
      <c r="C37" s="148"/>
      <c r="D37" s="148"/>
      <c r="E37" s="153">
        <f>C37-D37</f>
        <v>0</v>
      </c>
      <c r="F37" s="86">
        <f>IF(D37=0,0,(C37-D37)/D37)</f>
        <v>0</v>
      </c>
      <c r="H37" s="148"/>
      <c r="I37" s="137"/>
    </row>
    <row r="38" spans="1:9" x14ac:dyDescent="0.4">
      <c r="A38" s="68" t="s">
        <v>93</v>
      </c>
      <c r="B38" s="67">
        <f>[1]NOTE_BS!A75</f>
        <v>13</v>
      </c>
      <c r="C38" s="142"/>
      <c r="D38" s="142"/>
      <c r="E38" s="134">
        <f>C38-D38</f>
        <v>0</v>
      </c>
      <c r="F38" s="86">
        <f>IF(D38=0,0,(C38-D38)/D38)</f>
        <v>0</v>
      </c>
      <c r="H38" s="142">
        <v>1489905141</v>
      </c>
      <c r="I38" s="137"/>
    </row>
    <row r="39" spans="1:9" x14ac:dyDescent="0.4">
      <c r="C39" s="142"/>
      <c r="D39" s="142"/>
      <c r="E39" s="134">
        <f>C39-D39</f>
        <v>0</v>
      </c>
      <c r="F39" s="86">
        <f>IF(D39=0,0,(C39-D39)/D39)</f>
        <v>0</v>
      </c>
      <c r="H39" s="142"/>
      <c r="I39" s="137"/>
    </row>
    <row r="40" spans="1:9" x14ac:dyDescent="0.4">
      <c r="A40" s="66" t="s">
        <v>120</v>
      </c>
      <c r="C40" s="142"/>
      <c r="D40" s="142"/>
      <c r="E40" s="134"/>
      <c r="F40" s="86"/>
      <c r="H40" s="142"/>
      <c r="I40" s="137"/>
    </row>
    <row r="41" spans="1:9" x14ac:dyDescent="0.4">
      <c r="A41" s="68" t="s">
        <v>94</v>
      </c>
      <c r="B41" s="67">
        <f>[1]NOTE_BS!A65</f>
        <v>12</v>
      </c>
      <c r="C41" s="146"/>
      <c r="D41" s="146"/>
      <c r="E41" s="153">
        <f>C41-D41</f>
        <v>0</v>
      </c>
      <c r="F41" s="86"/>
      <c r="H41" s="146">
        <v>728649346.09000015</v>
      </c>
      <c r="I41" s="137"/>
    </row>
    <row r="42" spans="1:9" x14ac:dyDescent="0.4">
      <c r="A42" s="68" t="s">
        <v>121</v>
      </c>
      <c r="B42" s="67">
        <f>[1]NOTE_BS!A52</f>
        <v>10</v>
      </c>
      <c r="C42" s="148"/>
      <c r="D42" s="148"/>
      <c r="E42" s="153">
        <f>C42-D42</f>
        <v>0</v>
      </c>
      <c r="F42" s="86">
        <f>IF(D42=0,0,(C42-D42)/D42)</f>
        <v>0</v>
      </c>
      <c r="G42" s="154"/>
      <c r="H42" s="148">
        <v>-94962855.620000005</v>
      </c>
      <c r="I42" s="137"/>
    </row>
    <row r="43" spans="1:9" x14ac:dyDescent="0.4">
      <c r="A43" s="68" t="s">
        <v>87</v>
      </c>
      <c r="B43" s="67">
        <f>[1]NOTE_BS!A61</f>
        <v>11</v>
      </c>
      <c r="C43" s="155"/>
      <c r="D43" s="155"/>
      <c r="E43" s="156">
        <f>C43-D43</f>
        <v>0</v>
      </c>
      <c r="F43" s="89">
        <f>IF(D43=0,0,(C43-D43)/D43)</f>
        <v>0</v>
      </c>
      <c r="H43" s="155">
        <v>0</v>
      </c>
      <c r="I43" s="137"/>
    </row>
    <row r="44" spans="1:9" x14ac:dyDescent="0.4">
      <c r="C44" s="157">
        <f>SUM(C41:C43)</f>
        <v>0</v>
      </c>
      <c r="D44" s="157">
        <f>SUM(D41:D43)</f>
        <v>0</v>
      </c>
      <c r="E44" s="134">
        <f>C44-D44</f>
        <v>0</v>
      </c>
      <c r="F44" s="136">
        <f>IF(D44=0,0,(C44-D44)/D44)</f>
        <v>0</v>
      </c>
      <c r="H44" s="157">
        <v>633686490.47000015</v>
      </c>
      <c r="I44" s="137"/>
    </row>
    <row r="45" spans="1:9" x14ac:dyDescent="0.4">
      <c r="C45" s="157"/>
      <c r="D45" s="158"/>
      <c r="E45" s="134"/>
      <c r="F45" s="136"/>
      <c r="H45" s="157"/>
      <c r="I45" s="137"/>
    </row>
    <row r="46" spans="1:9" x14ac:dyDescent="0.4">
      <c r="A46" s="66" t="s">
        <v>122</v>
      </c>
      <c r="C46" s="142">
        <f>C38+C44</f>
        <v>0</v>
      </c>
      <c r="D46" s="142">
        <f>D38+D44</f>
        <v>0</v>
      </c>
      <c r="E46" s="134">
        <f>C46-D46</f>
        <v>0</v>
      </c>
      <c r="F46" s="136">
        <f>IF(D46=0,0,(C46-D46)/D46)</f>
        <v>0</v>
      </c>
      <c r="G46" s="125" t="s">
        <v>123</v>
      </c>
      <c r="H46" s="142">
        <v>2123591631.4700003</v>
      </c>
      <c r="I46" s="137"/>
    </row>
    <row r="47" spans="1:9" x14ac:dyDescent="0.4">
      <c r="C47" s="142"/>
      <c r="D47" s="142"/>
      <c r="F47" s="136"/>
      <c r="H47" s="142"/>
      <c r="I47" s="137"/>
    </row>
    <row r="48" spans="1:9" ht="13.5" thickBot="1" x14ac:dyDescent="0.45">
      <c r="A48" s="66" t="s">
        <v>124</v>
      </c>
      <c r="C48" s="159">
        <f>C46+C33</f>
        <v>0</v>
      </c>
      <c r="D48" s="159">
        <f>D46+D33</f>
        <v>0</v>
      </c>
      <c r="E48" s="140">
        <f>C48-D48</f>
        <v>0</v>
      </c>
      <c r="F48" s="101">
        <f>IF(D48=0,0,(C48-D48)/D48)</f>
        <v>0</v>
      </c>
      <c r="H48" s="159">
        <v>1849433560.4200003</v>
      </c>
      <c r="I48" s="137"/>
    </row>
    <row r="49" spans="1:9" ht="13.5" thickTop="1" x14ac:dyDescent="0.4">
      <c r="C49" s="142"/>
      <c r="D49" s="142"/>
      <c r="H49" s="142"/>
      <c r="I49" s="137"/>
    </row>
    <row r="50" spans="1:9" x14ac:dyDescent="0.4">
      <c r="C50" s="142"/>
      <c r="D50" s="142"/>
      <c r="G50" s="160"/>
      <c r="H50" s="142"/>
    </row>
    <row r="51" spans="1:9" x14ac:dyDescent="0.4">
      <c r="A51" s="124"/>
      <c r="C51" s="161"/>
      <c r="D51" s="161"/>
      <c r="E51" s="161"/>
      <c r="G51" s="160"/>
      <c r="H51" s="161"/>
    </row>
    <row r="52" spans="1:9" x14ac:dyDescent="0.4">
      <c r="A52" s="66" t="s">
        <v>125</v>
      </c>
      <c r="C52" s="162">
        <f>C22-C48</f>
        <v>0</v>
      </c>
      <c r="D52" s="163">
        <f>D22-D48</f>
        <v>0</v>
      </c>
      <c r="E52" s="164"/>
      <c r="G52" s="160"/>
      <c r="H52" s="162">
        <v>-2.1457672119140625E-6</v>
      </c>
    </row>
    <row r="54" spans="1:9" x14ac:dyDescent="0.4">
      <c r="F54" s="165"/>
      <c r="G54" s="160"/>
      <c r="I54" s="124"/>
    </row>
    <row r="55" spans="1:9" x14ac:dyDescent="0.4">
      <c r="A55" s="126"/>
      <c r="B55" s="68"/>
      <c r="F55" s="124"/>
      <c r="G55" s="160"/>
    </row>
    <row r="56" spans="1:9" x14ac:dyDescent="0.4">
      <c r="C56" s="166"/>
      <c r="F56" s="167"/>
      <c r="G56" s="160"/>
      <c r="H56" s="166"/>
    </row>
    <row r="57" spans="1:9" x14ac:dyDescent="0.4">
      <c r="G57" s="160"/>
    </row>
    <row r="58" spans="1:9" x14ac:dyDescent="0.4">
      <c r="G58" s="160"/>
    </row>
    <row r="60" spans="1:9" x14ac:dyDescent="0.4">
      <c r="E60" s="168"/>
      <c r="G60" s="160"/>
    </row>
    <row r="62" spans="1:9" x14ac:dyDescent="0.4">
      <c r="G62" s="160"/>
    </row>
  </sheetData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1"/>
  <sheetViews>
    <sheetView view="pageBreakPreview" topLeftCell="A17" zoomScale="90" zoomScaleNormal="100" zoomScaleSheetLayoutView="90" workbookViewId="0">
      <selection activeCell="C41" sqref="C41"/>
    </sheetView>
  </sheetViews>
  <sheetFormatPr defaultRowHeight="14.25" x14ac:dyDescent="0.45"/>
  <cols>
    <col min="1" max="1" width="35" customWidth="1"/>
    <col min="2" max="2" width="12.6640625" style="123" bestFit="1" customWidth="1"/>
    <col min="3" max="4" width="14.19921875" style="123" bestFit="1" customWidth="1"/>
    <col min="5" max="5" width="0" hidden="1" customWidth="1"/>
    <col min="6" max="6" width="12.33203125" bestFit="1" customWidth="1"/>
  </cols>
  <sheetData>
    <row r="1" spans="1:6" x14ac:dyDescent="0.45">
      <c r="A1" s="66" t="s">
        <v>231</v>
      </c>
      <c r="B1" s="113"/>
      <c r="C1" s="113"/>
      <c r="D1" s="113"/>
    </row>
    <row r="2" spans="1:6" x14ac:dyDescent="0.45">
      <c r="A2" s="114">
        <f>Cover!C17</f>
        <v>44985</v>
      </c>
      <c r="B2" s="113"/>
      <c r="C2" s="113"/>
      <c r="D2" s="113"/>
    </row>
    <row r="3" spans="1:6" x14ac:dyDescent="0.45">
      <c r="B3" s="115">
        <f>A2</f>
        <v>44985</v>
      </c>
      <c r="C3" s="115">
        <f>'Balance Sheet.'!D7</f>
        <v>44957</v>
      </c>
      <c r="D3" s="115">
        <v>44865</v>
      </c>
    </row>
    <row r="4" spans="1:6" x14ac:dyDescent="0.45">
      <c r="A4" s="116"/>
      <c r="B4" s="117" t="s">
        <v>60</v>
      </c>
      <c r="C4" s="117" t="s">
        <v>60</v>
      </c>
      <c r="D4" s="117" t="s">
        <v>60</v>
      </c>
    </row>
    <row r="5" spans="1:6" x14ac:dyDescent="0.45">
      <c r="A5" s="118" t="s">
        <v>80</v>
      </c>
      <c r="B5" s="113"/>
      <c r="C5" s="113"/>
      <c r="D5" s="113"/>
    </row>
    <row r="6" spans="1:6" x14ac:dyDescent="0.45">
      <c r="A6" s="119" t="s">
        <v>19</v>
      </c>
      <c r="B6" s="113"/>
      <c r="C6" s="113"/>
      <c r="D6" s="113"/>
      <c r="F6" s="120"/>
    </row>
    <row r="7" spans="1:6" x14ac:dyDescent="0.45">
      <c r="A7" s="119" t="s">
        <v>21</v>
      </c>
      <c r="B7" s="113"/>
      <c r="C7" s="113"/>
      <c r="D7" s="113"/>
    </row>
    <row r="8" spans="1:6" x14ac:dyDescent="0.45">
      <c r="A8" s="119" t="s">
        <v>81</v>
      </c>
      <c r="B8" s="113"/>
      <c r="C8" s="113"/>
      <c r="D8" s="113"/>
    </row>
    <row r="9" spans="1:6" x14ac:dyDescent="0.45">
      <c r="A9" s="119" t="s">
        <v>82</v>
      </c>
      <c r="B9" s="113"/>
      <c r="C9" s="113"/>
      <c r="D9" s="113"/>
    </row>
    <row r="10" spans="1:6" x14ac:dyDescent="0.45">
      <c r="A10" s="119" t="s">
        <v>83</v>
      </c>
      <c r="B10" s="113"/>
      <c r="C10" s="113"/>
      <c r="D10" s="113"/>
    </row>
    <row r="11" spans="1:6" x14ac:dyDescent="0.45">
      <c r="A11" s="119"/>
      <c r="B11" s="113"/>
      <c r="C11" s="113"/>
      <c r="D11" s="113"/>
    </row>
    <row r="12" spans="1:6" x14ac:dyDescent="0.45">
      <c r="A12" s="118" t="s">
        <v>84</v>
      </c>
      <c r="B12" s="113"/>
      <c r="C12" s="113"/>
      <c r="D12" s="113"/>
    </row>
    <row r="13" spans="1:6" x14ac:dyDescent="0.45">
      <c r="A13" s="119" t="s">
        <v>64</v>
      </c>
      <c r="B13" s="113"/>
      <c r="C13" s="113"/>
      <c r="D13" s="113"/>
    </row>
    <row r="14" spans="1:6" x14ac:dyDescent="0.45">
      <c r="A14" s="119" t="s">
        <v>85</v>
      </c>
      <c r="B14" s="113"/>
      <c r="C14" s="113"/>
      <c r="D14" s="113"/>
    </row>
    <row r="15" spans="1:6" x14ac:dyDescent="0.45">
      <c r="A15" s="119" t="s">
        <v>86</v>
      </c>
      <c r="B15" s="113"/>
      <c r="C15" s="113"/>
      <c r="D15" s="113"/>
    </row>
    <row r="16" spans="1:6" x14ac:dyDescent="0.45">
      <c r="A16" s="119" t="s">
        <v>87</v>
      </c>
      <c r="B16" s="113"/>
      <c r="C16" s="113"/>
      <c r="D16" s="113"/>
    </row>
    <row r="17" spans="1:4" x14ac:dyDescent="0.45">
      <c r="A17" s="119"/>
      <c r="B17" s="113"/>
      <c r="C17" s="113"/>
      <c r="D17" s="113"/>
    </row>
    <row r="18" spans="1:4" x14ac:dyDescent="0.45">
      <c r="A18" s="118" t="s">
        <v>88</v>
      </c>
      <c r="B18" s="113"/>
      <c r="C18" s="113"/>
      <c r="D18" s="113"/>
    </row>
    <row r="19" spans="1:4" x14ac:dyDescent="0.45">
      <c r="A19" s="119" t="s">
        <v>26</v>
      </c>
      <c r="B19" s="113"/>
      <c r="C19" s="113"/>
      <c r="D19" s="113"/>
    </row>
    <row r="20" spans="1:4" x14ac:dyDescent="0.45">
      <c r="A20" s="119" t="s">
        <v>38</v>
      </c>
      <c r="B20" s="113"/>
      <c r="C20" s="113"/>
      <c r="D20" s="113"/>
    </row>
    <row r="21" spans="1:4" x14ac:dyDescent="0.45">
      <c r="A21" s="119" t="s">
        <v>76</v>
      </c>
      <c r="B21" s="113"/>
      <c r="C21" s="113"/>
      <c r="D21" s="113"/>
    </row>
    <row r="22" spans="1:4" x14ac:dyDescent="0.45">
      <c r="A22" s="119" t="s">
        <v>28</v>
      </c>
      <c r="B22" s="113"/>
      <c r="C22" s="113"/>
      <c r="D22" s="113"/>
    </row>
    <row r="23" spans="1:4" x14ac:dyDescent="0.45">
      <c r="A23" s="119" t="s">
        <v>31</v>
      </c>
      <c r="B23" s="113"/>
      <c r="C23" s="113"/>
      <c r="D23" s="113"/>
    </row>
    <row r="24" spans="1:4" x14ac:dyDescent="0.45">
      <c r="A24" s="119"/>
      <c r="B24" s="113"/>
      <c r="C24" s="113"/>
      <c r="D24" s="113"/>
    </row>
    <row r="25" spans="1:4" x14ac:dyDescent="0.45">
      <c r="A25" s="118" t="s">
        <v>89</v>
      </c>
      <c r="B25" s="121">
        <f>SUM(B6:B24)</f>
        <v>0</v>
      </c>
      <c r="C25" s="121">
        <f t="shared" ref="C25:D25" si="0">SUM(C6:C24)</f>
        <v>0</v>
      </c>
      <c r="D25" s="121">
        <f t="shared" si="0"/>
        <v>0</v>
      </c>
    </row>
    <row r="26" spans="1:4" x14ac:dyDescent="0.45">
      <c r="A26" s="119"/>
      <c r="B26" s="113"/>
      <c r="C26" s="113"/>
      <c r="D26" s="113"/>
    </row>
    <row r="27" spans="1:4" x14ac:dyDescent="0.45">
      <c r="A27" s="119"/>
      <c r="B27" s="113"/>
      <c r="C27" s="113"/>
      <c r="D27" s="113"/>
    </row>
    <row r="28" spans="1:4" x14ac:dyDescent="0.45">
      <c r="A28" s="118" t="s">
        <v>90</v>
      </c>
      <c r="B28" s="113"/>
      <c r="C28" s="113"/>
      <c r="D28" s="113"/>
    </row>
    <row r="29" spans="1:4" x14ac:dyDescent="0.45">
      <c r="A29" s="119"/>
      <c r="B29" s="113"/>
      <c r="C29" s="113"/>
      <c r="D29" s="113"/>
    </row>
    <row r="30" spans="1:4" x14ac:dyDescent="0.45">
      <c r="A30" s="119" t="s">
        <v>91</v>
      </c>
      <c r="B30" s="113"/>
      <c r="C30" s="113"/>
      <c r="D30" s="113"/>
    </row>
    <row r="31" spans="1:4" x14ac:dyDescent="0.45">
      <c r="A31" s="119" t="s">
        <v>92</v>
      </c>
      <c r="B31" s="113"/>
      <c r="C31" s="113"/>
      <c r="D31" s="113"/>
    </row>
    <row r="32" spans="1:4" x14ac:dyDescent="0.45">
      <c r="A32" s="119" t="s">
        <v>93</v>
      </c>
      <c r="B32" s="113"/>
      <c r="C32" s="113"/>
      <c r="D32" s="113"/>
    </row>
    <row r="33" spans="1:4" x14ac:dyDescent="0.45">
      <c r="A33" s="119" t="s">
        <v>94</v>
      </c>
      <c r="B33" s="113"/>
      <c r="C33" s="113"/>
      <c r="D33" s="113"/>
    </row>
    <row r="34" spans="1:4" x14ac:dyDescent="0.45">
      <c r="A34" s="118" t="s">
        <v>95</v>
      </c>
      <c r="B34" s="121">
        <f>SUM(B30:B33)</f>
        <v>0</v>
      </c>
      <c r="C34" s="121">
        <f t="shared" ref="C34:D34" si="1">SUM(C30:C33)</f>
        <v>0</v>
      </c>
      <c r="D34" s="121">
        <f t="shared" si="1"/>
        <v>0</v>
      </c>
    </row>
    <row r="35" spans="1:4" x14ac:dyDescent="0.45">
      <c r="A35" s="119"/>
      <c r="B35" s="113"/>
      <c r="C35" s="113"/>
      <c r="D35" s="113"/>
    </row>
    <row r="36" spans="1:4" x14ac:dyDescent="0.45">
      <c r="A36" s="119"/>
      <c r="B36" s="113"/>
      <c r="C36" s="113"/>
      <c r="D36" s="113"/>
    </row>
    <row r="37" spans="1:4" x14ac:dyDescent="0.45">
      <c r="A37" s="119" t="s">
        <v>96</v>
      </c>
      <c r="B37" s="113"/>
      <c r="C37" s="113"/>
      <c r="D37" s="113"/>
    </row>
    <row r="38" spans="1:4" x14ac:dyDescent="0.45">
      <c r="A38" s="119" t="s">
        <v>97</v>
      </c>
      <c r="B38" s="113"/>
      <c r="C38" s="113"/>
      <c r="D38" s="113"/>
    </row>
    <row r="39" spans="1:4" x14ac:dyDescent="0.45">
      <c r="A39" s="119" t="s">
        <v>98</v>
      </c>
      <c r="B39" s="121">
        <f>SUM(B37:B38)</f>
        <v>0</v>
      </c>
      <c r="C39" s="121">
        <f t="shared" ref="C39:D39" si="2">SUM(C37:C38)</f>
        <v>0</v>
      </c>
      <c r="D39" s="121">
        <f t="shared" si="2"/>
        <v>0</v>
      </c>
    </row>
    <row r="40" spans="1:4" x14ac:dyDescent="0.45">
      <c r="A40" s="119"/>
      <c r="B40" s="121"/>
      <c r="C40" s="121"/>
      <c r="D40" s="121"/>
    </row>
    <row r="41" spans="1:4" x14ac:dyDescent="0.45">
      <c r="A41" s="119"/>
      <c r="B41" s="122">
        <f>B39-'Balance Sheet.'!C18</f>
        <v>0</v>
      </c>
      <c r="C41" s="122">
        <v>-3.6120414733886719E-5</v>
      </c>
      <c r="D41" s="122">
        <v>0</v>
      </c>
    </row>
  </sheetData>
  <pageMargins left="0.7" right="0.7" top="0.75" bottom="0.75" header="0.3" footer="0.3"/>
  <pageSetup paperSize="9" scale="8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33"/>
  <sheetViews>
    <sheetView view="pageBreakPreview" topLeftCell="F1" zoomScale="90" zoomScaleNormal="100" zoomScaleSheetLayoutView="80" workbookViewId="0">
      <selection activeCell="P5" sqref="P5"/>
    </sheetView>
  </sheetViews>
  <sheetFormatPr defaultColWidth="7.796875" defaultRowHeight="14.25" x14ac:dyDescent="0.45"/>
  <cols>
    <col min="1" max="1" width="1.59765625" style="170" customWidth="1"/>
    <col min="2" max="2" width="33.46484375" style="170" customWidth="1"/>
    <col min="3" max="6" width="17.33203125" style="170" bestFit="1" customWidth="1"/>
    <col min="7" max="7" width="16.6640625" style="170" hidden="1" customWidth="1"/>
    <col min="8" max="8" width="23.265625" style="170" customWidth="1"/>
    <col min="9" max="9" width="24.19921875" style="170" hidden="1" customWidth="1"/>
    <col min="10" max="10" width="17.33203125" style="170" bestFit="1" customWidth="1"/>
    <col min="11" max="13" width="15.73046875" style="170" bestFit="1" customWidth="1"/>
    <col min="14" max="14" width="14.73046875" style="170" bestFit="1" customWidth="1"/>
    <col min="15" max="15" width="13.9296875" style="170" bestFit="1" customWidth="1"/>
    <col min="16" max="16" width="21" style="170" customWidth="1"/>
    <col min="17" max="17" width="17.06640625" style="170" customWidth="1"/>
    <col min="18" max="18" width="11.46484375" style="170" customWidth="1"/>
    <col min="19" max="19" width="12.53125" style="170" customWidth="1"/>
    <col min="20" max="20" width="13.3984375" style="170" customWidth="1"/>
    <col min="21" max="21" width="15.1328125" style="170" customWidth="1"/>
    <col min="22" max="16384" width="7.796875" style="170"/>
  </cols>
  <sheetData>
    <row r="1" spans="2:21" x14ac:dyDescent="0.45">
      <c r="B1" s="169" t="s">
        <v>234</v>
      </c>
      <c r="I1" s="171"/>
      <c r="Q1" s="172">
        <v>44562</v>
      </c>
      <c r="S1" s="173"/>
      <c r="T1" s="174"/>
      <c r="U1" s="173"/>
    </row>
    <row r="2" spans="2:21" x14ac:dyDescent="0.45">
      <c r="B2" s="175"/>
      <c r="I2" s="171"/>
      <c r="S2" s="173"/>
      <c r="T2" s="174"/>
      <c r="U2" s="173"/>
    </row>
    <row r="3" spans="2:21" x14ac:dyDescent="0.45">
      <c r="B3" s="175"/>
      <c r="I3" s="171"/>
      <c r="S3" s="173"/>
      <c r="T3" s="174"/>
      <c r="U3" s="173"/>
    </row>
    <row r="4" spans="2:21" x14ac:dyDescent="0.45">
      <c r="B4" s="176" t="s">
        <v>126</v>
      </c>
      <c r="C4" s="172">
        <f>Cover!C17</f>
        <v>44985</v>
      </c>
      <c r="D4" s="172">
        <v>44926</v>
      </c>
      <c r="E4" s="172">
        <v>44895</v>
      </c>
      <c r="F4" s="172">
        <v>44865</v>
      </c>
      <c r="G4" s="177"/>
      <c r="H4" s="172">
        <f>C4</f>
        <v>44985</v>
      </c>
      <c r="I4" s="178"/>
      <c r="J4" s="179" t="s">
        <v>320</v>
      </c>
      <c r="K4" s="179" t="s">
        <v>321</v>
      </c>
      <c r="L4" s="179" t="s">
        <v>325</v>
      </c>
      <c r="M4" s="179" t="s">
        <v>323</v>
      </c>
      <c r="N4" s="179" t="s">
        <v>326</v>
      </c>
      <c r="O4" s="179" t="s">
        <v>327</v>
      </c>
      <c r="P4" s="179" t="s">
        <v>324</v>
      </c>
      <c r="Q4" s="177"/>
    </row>
    <row r="5" spans="2:21" x14ac:dyDescent="0.45">
      <c r="C5" s="172"/>
      <c r="D5" s="172"/>
      <c r="E5" s="172"/>
      <c r="F5" s="172"/>
      <c r="G5" s="177"/>
      <c r="H5" s="177"/>
      <c r="I5" s="180"/>
      <c r="J5" s="172"/>
      <c r="K5" s="172"/>
      <c r="L5" s="172"/>
      <c r="M5" s="172"/>
      <c r="N5" s="172"/>
      <c r="O5" s="172"/>
      <c r="P5" s="172"/>
      <c r="Q5" s="177"/>
    </row>
    <row r="6" spans="2:21" x14ac:dyDescent="0.45">
      <c r="B6" s="181" t="s">
        <v>127</v>
      </c>
      <c r="C6" s="182"/>
      <c r="D6" s="182"/>
      <c r="E6" s="182"/>
      <c r="F6" s="182"/>
      <c r="G6" s="182"/>
      <c r="H6" s="182"/>
      <c r="I6" s="183"/>
      <c r="J6" s="182"/>
      <c r="K6" s="182"/>
      <c r="L6" s="182"/>
      <c r="M6" s="182"/>
      <c r="N6" s="182"/>
      <c r="O6" s="182"/>
      <c r="P6" s="182"/>
      <c r="Q6" s="184"/>
      <c r="T6" s="185"/>
    </row>
    <row r="7" spans="2:21" x14ac:dyDescent="0.45">
      <c r="B7" s="186" t="s">
        <v>128</v>
      </c>
      <c r="C7" s="187">
        <v>31</v>
      </c>
      <c r="D7" s="187">
        <v>31</v>
      </c>
      <c r="E7" s="187">
        <v>30</v>
      </c>
      <c r="F7" s="184" t="s">
        <v>129</v>
      </c>
      <c r="G7" s="184"/>
      <c r="H7" s="187">
        <f>C4-Q1</f>
        <v>423</v>
      </c>
      <c r="I7" s="188"/>
      <c r="J7" s="187">
        <f>C7</f>
        <v>31</v>
      </c>
      <c r="K7" s="187">
        <f>J7</f>
        <v>31</v>
      </c>
      <c r="L7" s="187">
        <f>J7</f>
        <v>31</v>
      </c>
      <c r="M7" s="187">
        <f>J7</f>
        <v>31</v>
      </c>
      <c r="N7" s="187">
        <f>J7</f>
        <v>31</v>
      </c>
      <c r="O7" s="187">
        <f>J7</f>
        <v>31</v>
      </c>
      <c r="P7" s="187">
        <f>J7</f>
        <v>31</v>
      </c>
      <c r="Q7" s="184"/>
      <c r="T7" s="185"/>
    </row>
    <row r="8" spans="2:21" x14ac:dyDescent="0.45">
      <c r="B8" s="186"/>
      <c r="C8" s="189" t="s">
        <v>130</v>
      </c>
      <c r="D8" s="189" t="s">
        <v>130</v>
      </c>
      <c r="E8" s="189" t="s">
        <v>130</v>
      </c>
      <c r="F8" s="189" t="s">
        <v>130</v>
      </c>
      <c r="G8" s="190"/>
      <c r="H8" s="189" t="s">
        <v>131</v>
      </c>
      <c r="I8" s="191"/>
      <c r="J8" s="189" t="s">
        <v>130</v>
      </c>
      <c r="K8" s="189" t="s">
        <v>130</v>
      </c>
      <c r="L8" s="189" t="s">
        <v>130</v>
      </c>
      <c r="M8" s="189" t="s">
        <v>130</v>
      </c>
      <c r="N8" s="189" t="s">
        <v>130</v>
      </c>
      <c r="O8" s="189" t="s">
        <v>130</v>
      </c>
      <c r="P8" s="189" t="s">
        <v>130</v>
      </c>
      <c r="Q8" s="190"/>
      <c r="T8" s="185"/>
    </row>
    <row r="9" spans="2:21" x14ac:dyDescent="0.45">
      <c r="B9" s="186"/>
      <c r="C9" s="190"/>
      <c r="D9" s="190"/>
      <c r="E9" s="190"/>
      <c r="F9" s="190"/>
      <c r="G9" s="190"/>
      <c r="H9" s="190"/>
      <c r="I9" s="192"/>
      <c r="J9" s="190"/>
      <c r="K9" s="190"/>
      <c r="L9" s="190"/>
      <c r="M9" s="190"/>
      <c r="N9" s="190"/>
      <c r="O9" s="190"/>
      <c r="P9" s="190"/>
      <c r="Q9" s="190"/>
      <c r="T9" s="185"/>
    </row>
    <row r="10" spans="2:21" x14ac:dyDescent="0.45">
      <c r="B10" s="186" t="s">
        <v>132</v>
      </c>
      <c r="C10" s="193"/>
      <c r="D10" s="193"/>
      <c r="E10" s="193"/>
      <c r="F10" s="193"/>
      <c r="G10" s="193"/>
      <c r="H10" s="193"/>
      <c r="I10" s="194"/>
      <c r="J10" s="193"/>
      <c r="K10" s="193"/>
      <c r="L10" s="193"/>
      <c r="M10" s="193"/>
      <c r="N10" s="193"/>
      <c r="O10" s="193"/>
      <c r="P10" s="193"/>
      <c r="Q10" s="193">
        <f>C4-Q1</f>
        <v>423</v>
      </c>
      <c r="T10" s="185"/>
    </row>
    <row r="11" spans="2:21" x14ac:dyDescent="0.45">
      <c r="B11" s="186" t="s">
        <v>133</v>
      </c>
      <c r="C11" s="193"/>
      <c r="D11" s="193"/>
      <c r="E11" s="193"/>
      <c r="F11" s="193"/>
      <c r="G11" s="193"/>
      <c r="H11" s="193"/>
      <c r="I11" s="194"/>
      <c r="J11" s="193"/>
      <c r="K11" s="193"/>
      <c r="L11" s="193"/>
      <c r="M11" s="193"/>
      <c r="N11" s="193"/>
      <c r="O11" s="193"/>
      <c r="P11" s="193"/>
      <c r="Q11" s="193"/>
      <c r="T11" s="185"/>
    </row>
    <row r="12" spans="2:21" x14ac:dyDescent="0.45">
      <c r="B12" s="186" t="s">
        <v>134</v>
      </c>
      <c r="C12" s="193"/>
      <c r="D12" s="193"/>
      <c r="E12" s="193"/>
      <c r="F12" s="193"/>
      <c r="G12" s="193"/>
      <c r="H12" s="193"/>
      <c r="I12" s="194"/>
      <c r="J12" s="193"/>
      <c r="K12" s="193"/>
      <c r="L12" s="193"/>
      <c r="M12" s="193"/>
      <c r="N12" s="193"/>
      <c r="O12" s="193"/>
      <c r="P12" s="193"/>
      <c r="Q12" s="193"/>
      <c r="T12" s="185"/>
    </row>
    <row r="13" spans="2:21" x14ac:dyDescent="0.45">
      <c r="B13" s="186" t="s">
        <v>135</v>
      </c>
      <c r="C13" s="193"/>
      <c r="D13" s="193"/>
      <c r="E13" s="193"/>
      <c r="F13" s="193"/>
      <c r="G13" s="193"/>
      <c r="H13" s="193"/>
      <c r="I13" s="194"/>
      <c r="J13" s="193"/>
      <c r="K13" s="193"/>
      <c r="L13" s="193"/>
      <c r="M13" s="193"/>
      <c r="N13" s="193"/>
      <c r="O13" s="193"/>
      <c r="P13" s="193"/>
      <c r="Q13" s="193"/>
      <c r="T13" s="185"/>
    </row>
    <row r="14" spans="2:21" x14ac:dyDescent="0.45">
      <c r="B14" s="170" t="s">
        <v>136</v>
      </c>
      <c r="C14" s="193"/>
      <c r="D14" s="193"/>
      <c r="E14" s="193"/>
      <c r="F14" s="193"/>
      <c r="G14" s="193"/>
      <c r="H14" s="193"/>
      <c r="I14" s="194"/>
      <c r="J14" s="193"/>
      <c r="K14" s="193"/>
      <c r="L14" s="193"/>
      <c r="M14" s="193"/>
      <c r="N14" s="193"/>
      <c r="O14" s="193"/>
      <c r="P14" s="193"/>
      <c r="Q14" s="193"/>
      <c r="T14" s="185"/>
    </row>
    <row r="15" spans="2:21" x14ac:dyDescent="0.45">
      <c r="B15" s="186" t="s">
        <v>137</v>
      </c>
      <c r="C15" s="193"/>
      <c r="D15" s="193"/>
      <c r="E15" s="193"/>
      <c r="F15" s="193"/>
      <c r="G15" s="193"/>
      <c r="H15" s="193"/>
      <c r="I15" s="194"/>
      <c r="J15" s="193"/>
      <c r="K15" s="193"/>
      <c r="L15" s="193"/>
      <c r="M15" s="193"/>
      <c r="N15" s="193"/>
      <c r="O15" s="193"/>
      <c r="P15" s="193"/>
      <c r="Q15" s="193"/>
      <c r="S15" s="170" t="s">
        <v>138</v>
      </c>
      <c r="T15" s="185"/>
    </row>
    <row r="16" spans="2:21" x14ac:dyDescent="0.45">
      <c r="C16" s="195"/>
      <c r="D16" s="195"/>
      <c r="E16" s="195"/>
      <c r="F16" s="195"/>
      <c r="G16" s="195"/>
      <c r="H16" s="195"/>
      <c r="I16" s="196"/>
      <c r="J16" s="195"/>
      <c r="K16" s="195"/>
      <c r="L16" s="195"/>
      <c r="M16" s="195"/>
      <c r="N16" s="195"/>
      <c r="O16" s="195"/>
      <c r="P16" s="195"/>
      <c r="Q16" s="195"/>
      <c r="T16" s="185"/>
    </row>
    <row r="17" spans="2:20" x14ac:dyDescent="0.45">
      <c r="I17" s="171"/>
      <c r="T17" s="185"/>
    </row>
    <row r="18" spans="2:20" x14ac:dyDescent="0.45">
      <c r="B18" s="181" t="s">
        <v>139</v>
      </c>
      <c r="C18" s="182"/>
      <c r="D18" s="182"/>
      <c r="E18" s="182"/>
      <c r="F18" s="182"/>
      <c r="G18" s="182"/>
      <c r="H18" s="182"/>
      <c r="I18" s="183"/>
      <c r="J18" s="182"/>
      <c r="K18" s="182"/>
      <c r="L18" s="182"/>
      <c r="M18" s="182"/>
      <c r="N18" s="182"/>
      <c r="O18" s="182"/>
      <c r="P18" s="182"/>
      <c r="Q18" s="184"/>
      <c r="T18" s="185"/>
    </row>
    <row r="19" spans="2:20" x14ac:dyDescent="0.45">
      <c r="I19" s="171"/>
    </row>
    <row r="20" spans="2:20" x14ac:dyDescent="0.45">
      <c r="I20" s="171"/>
    </row>
    <row r="21" spans="2:20" x14ac:dyDescent="0.45">
      <c r="I21" s="171"/>
    </row>
    <row r="22" spans="2:20" x14ac:dyDescent="0.45">
      <c r="B22" s="170" t="s">
        <v>140</v>
      </c>
      <c r="C22" s="197" t="e">
        <f>C11/C12</f>
        <v>#DIV/0!</v>
      </c>
      <c r="D22" s="197" t="e">
        <f>D11/D12</f>
        <v>#DIV/0!</v>
      </c>
      <c r="E22" s="197" t="e">
        <f>E11/E12</f>
        <v>#DIV/0!</v>
      </c>
      <c r="F22" s="197" t="e">
        <f>F11/F12</f>
        <v>#DIV/0!</v>
      </c>
      <c r="G22" s="198"/>
      <c r="H22" s="197" t="e">
        <f>H11/H12</f>
        <v>#DIV/0!</v>
      </c>
      <c r="I22" s="199"/>
      <c r="J22" s="197" t="e">
        <f t="shared" ref="J22:P22" si="0">J11/J12</f>
        <v>#DIV/0!</v>
      </c>
      <c r="K22" s="197" t="e">
        <f t="shared" si="0"/>
        <v>#DIV/0!</v>
      </c>
      <c r="L22" s="197" t="e">
        <f t="shared" si="0"/>
        <v>#DIV/0!</v>
      </c>
      <c r="M22" s="197" t="e">
        <f t="shared" si="0"/>
        <v>#DIV/0!</v>
      </c>
      <c r="N22" s="197" t="e">
        <f t="shared" si="0"/>
        <v>#DIV/0!</v>
      </c>
      <c r="O22" s="197" t="e">
        <f t="shared" si="0"/>
        <v>#DIV/0!</v>
      </c>
      <c r="P22" s="197" t="e">
        <f t="shared" si="0"/>
        <v>#DIV/0!</v>
      </c>
      <c r="Q22" s="198"/>
      <c r="S22" s="170" t="str">
        <f ca="1">_xlfn.FORMULATEXT(C22)</f>
        <v>=C11/C12</v>
      </c>
    </row>
    <row r="23" spans="2:20" x14ac:dyDescent="0.45">
      <c r="B23" s="170" t="s">
        <v>141</v>
      </c>
      <c r="C23" s="197" t="e">
        <f>C7/C22</f>
        <v>#DIV/0!</v>
      </c>
      <c r="D23" s="197" t="e">
        <f>D7/D22</f>
        <v>#DIV/0!</v>
      </c>
      <c r="E23" s="197" t="e">
        <f>E7/E22</f>
        <v>#DIV/0!</v>
      </c>
      <c r="F23" s="197" t="e">
        <f>F7/F22</f>
        <v>#DIV/0!</v>
      </c>
      <c r="G23" s="198"/>
      <c r="H23" s="197" t="e">
        <f>H7/H22</f>
        <v>#DIV/0!</v>
      </c>
      <c r="I23" s="199"/>
      <c r="J23" s="197" t="e">
        <f t="shared" ref="J23:P23" si="1">J7/J22</f>
        <v>#DIV/0!</v>
      </c>
      <c r="K23" s="197" t="e">
        <f t="shared" si="1"/>
        <v>#DIV/0!</v>
      </c>
      <c r="L23" s="197" t="e">
        <f t="shared" si="1"/>
        <v>#DIV/0!</v>
      </c>
      <c r="M23" s="197" t="e">
        <f t="shared" si="1"/>
        <v>#DIV/0!</v>
      </c>
      <c r="N23" s="197" t="e">
        <f t="shared" si="1"/>
        <v>#DIV/0!</v>
      </c>
      <c r="O23" s="197" t="e">
        <f t="shared" si="1"/>
        <v>#DIV/0!</v>
      </c>
      <c r="P23" s="197" t="e">
        <f t="shared" si="1"/>
        <v>#DIV/0!</v>
      </c>
      <c r="Q23" s="198"/>
      <c r="S23" s="170" t="str">
        <f ca="1">_xlfn.FORMULATEXT(C23)</f>
        <v>=C7/C22</v>
      </c>
    </row>
    <row r="24" spans="2:20" x14ac:dyDescent="0.45">
      <c r="I24" s="171"/>
    </row>
    <row r="25" spans="2:20" x14ac:dyDescent="0.45">
      <c r="B25" s="170" t="s">
        <v>142</v>
      </c>
      <c r="C25" s="197" t="e">
        <f>C10/C13</f>
        <v>#DIV/0!</v>
      </c>
      <c r="D25" s="197" t="e">
        <f>D10/D13</f>
        <v>#DIV/0!</v>
      </c>
      <c r="E25" s="197" t="e">
        <f>E10/E13</f>
        <v>#DIV/0!</v>
      </c>
      <c r="F25" s="197" t="e">
        <f>F10/F13</f>
        <v>#DIV/0!</v>
      </c>
      <c r="G25" s="198"/>
      <c r="H25" s="197" t="e">
        <f>H10/H13</f>
        <v>#DIV/0!</v>
      </c>
      <c r="I25" s="199"/>
      <c r="J25" s="197" t="e">
        <f t="shared" ref="J25:P25" si="2">J10/J13</f>
        <v>#DIV/0!</v>
      </c>
      <c r="K25" s="197" t="e">
        <f t="shared" si="2"/>
        <v>#DIV/0!</v>
      </c>
      <c r="L25" s="197" t="e">
        <f t="shared" si="2"/>
        <v>#DIV/0!</v>
      </c>
      <c r="M25" s="197" t="e">
        <f t="shared" si="2"/>
        <v>#DIV/0!</v>
      </c>
      <c r="N25" s="197" t="e">
        <f t="shared" si="2"/>
        <v>#DIV/0!</v>
      </c>
      <c r="O25" s="197" t="e">
        <f t="shared" si="2"/>
        <v>#DIV/0!</v>
      </c>
      <c r="P25" s="197" t="e">
        <f t="shared" si="2"/>
        <v>#DIV/0!</v>
      </c>
      <c r="Q25" s="198"/>
      <c r="S25" s="170" t="str">
        <f ca="1">_xlfn.FORMULATEXT(C25)</f>
        <v>=C10/C13</v>
      </c>
    </row>
    <row r="26" spans="2:20" x14ac:dyDescent="0.45">
      <c r="B26" s="170" t="s">
        <v>143</v>
      </c>
      <c r="C26" s="197" t="e">
        <f>C7/C25</f>
        <v>#DIV/0!</v>
      </c>
      <c r="D26" s="197" t="e">
        <f>D7/D25</f>
        <v>#DIV/0!</v>
      </c>
      <c r="E26" s="197" t="e">
        <f>E7/E25</f>
        <v>#DIV/0!</v>
      </c>
      <c r="F26" s="197" t="e">
        <f>F7/F25</f>
        <v>#DIV/0!</v>
      </c>
      <c r="G26" s="198"/>
      <c r="H26" s="197" t="e">
        <f>H7/H25</f>
        <v>#DIV/0!</v>
      </c>
      <c r="I26" s="199"/>
      <c r="J26" s="197" t="e">
        <f t="shared" ref="J26:P26" si="3">J7/J25</f>
        <v>#DIV/0!</v>
      </c>
      <c r="K26" s="197" t="e">
        <f t="shared" si="3"/>
        <v>#DIV/0!</v>
      </c>
      <c r="L26" s="197" t="e">
        <f t="shared" si="3"/>
        <v>#DIV/0!</v>
      </c>
      <c r="M26" s="197" t="e">
        <f t="shared" si="3"/>
        <v>#DIV/0!</v>
      </c>
      <c r="N26" s="197" t="e">
        <f t="shared" si="3"/>
        <v>#DIV/0!</v>
      </c>
      <c r="O26" s="197" t="e">
        <f t="shared" si="3"/>
        <v>#DIV/0!</v>
      </c>
      <c r="P26" s="197" t="e">
        <f t="shared" si="3"/>
        <v>#DIV/0!</v>
      </c>
      <c r="Q26" s="198"/>
      <c r="S26" s="170" t="str">
        <f ca="1">_xlfn.FORMULATEXT(C26)</f>
        <v>=C7/C25</v>
      </c>
    </row>
    <row r="27" spans="2:20" x14ac:dyDescent="0.45">
      <c r="I27" s="171"/>
    </row>
    <row r="28" spans="2:20" x14ac:dyDescent="0.45">
      <c r="B28" s="170" t="s">
        <v>144</v>
      </c>
      <c r="C28" s="197" t="e">
        <f>C15/C14</f>
        <v>#DIV/0!</v>
      </c>
      <c r="D28" s="197" t="e">
        <f>D15/D14</f>
        <v>#DIV/0!</v>
      </c>
      <c r="E28" s="197" t="e">
        <f>E15/E14</f>
        <v>#DIV/0!</v>
      </c>
      <c r="F28" s="197" t="e">
        <f>F15/F14</f>
        <v>#DIV/0!</v>
      </c>
      <c r="G28" s="198"/>
      <c r="H28" s="197" t="e">
        <f>H15/H14</f>
        <v>#DIV/0!</v>
      </c>
      <c r="I28" s="199"/>
      <c r="J28" s="197" t="e">
        <f t="shared" ref="J28:P28" si="4">J15/J14</f>
        <v>#DIV/0!</v>
      </c>
      <c r="K28" s="197" t="e">
        <f t="shared" si="4"/>
        <v>#DIV/0!</v>
      </c>
      <c r="L28" s="197" t="e">
        <f t="shared" si="4"/>
        <v>#DIV/0!</v>
      </c>
      <c r="M28" s="197" t="e">
        <f t="shared" si="4"/>
        <v>#DIV/0!</v>
      </c>
      <c r="N28" s="197" t="e">
        <f t="shared" si="4"/>
        <v>#DIV/0!</v>
      </c>
      <c r="O28" s="197" t="e">
        <f t="shared" si="4"/>
        <v>#DIV/0!</v>
      </c>
      <c r="P28" s="197" t="e">
        <f t="shared" si="4"/>
        <v>#DIV/0!</v>
      </c>
      <c r="Q28" s="198"/>
      <c r="S28" s="170" t="str">
        <f ca="1">_xlfn.FORMULATEXT(C28)</f>
        <v>=C15/C14</v>
      </c>
    </row>
    <row r="29" spans="2:20" x14ac:dyDescent="0.45">
      <c r="B29" s="170" t="s">
        <v>145</v>
      </c>
      <c r="C29" s="197" t="e">
        <f>C7/C28</f>
        <v>#DIV/0!</v>
      </c>
      <c r="D29" s="197" t="e">
        <f>D7/D28</f>
        <v>#DIV/0!</v>
      </c>
      <c r="E29" s="197" t="e">
        <f>E7/E28</f>
        <v>#DIV/0!</v>
      </c>
      <c r="F29" s="197" t="e">
        <f>F7/F28</f>
        <v>#DIV/0!</v>
      </c>
      <c r="G29" s="198"/>
      <c r="H29" s="197" t="e">
        <f>H7/H28</f>
        <v>#DIV/0!</v>
      </c>
      <c r="I29" s="199"/>
      <c r="J29" s="197" t="e">
        <f t="shared" ref="J29:P29" si="5">J7/J28</f>
        <v>#DIV/0!</v>
      </c>
      <c r="K29" s="197" t="e">
        <f t="shared" si="5"/>
        <v>#DIV/0!</v>
      </c>
      <c r="L29" s="197" t="e">
        <f t="shared" si="5"/>
        <v>#DIV/0!</v>
      </c>
      <c r="M29" s="197" t="e">
        <f t="shared" si="5"/>
        <v>#DIV/0!</v>
      </c>
      <c r="N29" s="197" t="e">
        <f t="shared" si="5"/>
        <v>#DIV/0!</v>
      </c>
      <c r="O29" s="197" t="e">
        <f t="shared" si="5"/>
        <v>#DIV/0!</v>
      </c>
      <c r="P29" s="197" t="e">
        <f t="shared" si="5"/>
        <v>#DIV/0!</v>
      </c>
      <c r="Q29" s="198"/>
      <c r="S29" s="170" t="str">
        <f ca="1">_xlfn.FORMULATEXT(C29)</f>
        <v>=C7/C28</v>
      </c>
    </row>
    <row r="30" spans="2:20" x14ac:dyDescent="0.45">
      <c r="I30" s="171"/>
    </row>
    <row r="31" spans="2:20" x14ac:dyDescent="0.45">
      <c r="I31" s="171"/>
    </row>
    <row r="32" spans="2:20" x14ac:dyDescent="0.45">
      <c r="I32" s="171"/>
    </row>
    <row r="33" spans="2:19" x14ac:dyDescent="0.45">
      <c r="B33" s="176" t="s">
        <v>146</v>
      </c>
      <c r="C33" s="200" t="e">
        <f>C23+C26-C29</f>
        <v>#DIV/0!</v>
      </c>
      <c r="D33" s="200" t="e">
        <f>D23+D26-D29</f>
        <v>#DIV/0!</v>
      </c>
      <c r="E33" s="200" t="e">
        <f>E23+E26-E29</f>
        <v>#DIV/0!</v>
      </c>
      <c r="F33" s="200" t="e">
        <f>F23+F26-F29</f>
        <v>#DIV/0!</v>
      </c>
      <c r="G33" s="198"/>
      <c r="H33" s="200" t="e">
        <f>H23+H26-H29</f>
        <v>#DIV/0!</v>
      </c>
      <c r="I33" s="201"/>
      <c r="J33" s="200" t="e">
        <f t="shared" ref="J33:P33" si="6">J23+J26-J29</f>
        <v>#DIV/0!</v>
      </c>
      <c r="K33" s="200" t="e">
        <f t="shared" si="6"/>
        <v>#DIV/0!</v>
      </c>
      <c r="L33" s="200" t="e">
        <f t="shared" si="6"/>
        <v>#DIV/0!</v>
      </c>
      <c r="M33" s="200" t="e">
        <f t="shared" si="6"/>
        <v>#DIV/0!</v>
      </c>
      <c r="N33" s="200" t="e">
        <f t="shared" si="6"/>
        <v>#DIV/0!</v>
      </c>
      <c r="O33" s="202" t="e">
        <f t="shared" si="6"/>
        <v>#DIV/0!</v>
      </c>
      <c r="P33" s="202" t="e">
        <f t="shared" si="6"/>
        <v>#DIV/0!</v>
      </c>
      <c r="Q33" s="198"/>
      <c r="S33" s="170" t="str">
        <f ca="1">_xlfn.FORMULATEXT(C33)</f>
        <v>=C23+C26-C29</v>
      </c>
    </row>
  </sheetData>
  <pageMargins left="0.7" right="0.7" top="0.75" bottom="0.75" header="0.3" footer="0.3"/>
  <pageSetup paperSize="9" scale="3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Cover</vt:lpstr>
      <vt:lpstr>Income Stat_Warehouse</vt:lpstr>
      <vt:lpstr>Income_Producers</vt:lpstr>
      <vt:lpstr>Western Cities</vt:lpstr>
      <vt:lpstr>Eastern Cities</vt:lpstr>
      <vt:lpstr>Income Stmt</vt:lpstr>
      <vt:lpstr>Balance Sheet.</vt:lpstr>
      <vt:lpstr>Cash Flow</vt:lpstr>
      <vt:lpstr>CCC</vt:lpstr>
      <vt:lpstr>Liquidity Position</vt:lpstr>
      <vt:lpstr>Fin_Ratios</vt:lpstr>
      <vt:lpstr>Note_In  Stmt</vt:lpstr>
      <vt:lpstr>NOTE_BS</vt:lpstr>
      <vt:lpstr>Sheet1</vt:lpstr>
      <vt:lpstr>'Balance Sheet.'!Print_Area</vt:lpstr>
      <vt:lpstr>'Cash Flow'!Print_Area</vt:lpstr>
      <vt:lpstr>CCC!Print_Area</vt:lpstr>
      <vt:lpstr>Cover!Print_Area</vt:lpstr>
      <vt:lpstr>'Eastern Cities'!Print_Area</vt:lpstr>
      <vt:lpstr>Fin_Ratios!Print_Area</vt:lpstr>
      <vt:lpstr>'Income Stat_Warehouse'!Print_Area</vt:lpstr>
      <vt:lpstr>'Income Stmt'!Print_Area</vt:lpstr>
      <vt:lpstr>Income_Producers!Print_Area</vt:lpstr>
      <vt:lpstr>'Liquidity Position'!Print_Area</vt:lpstr>
      <vt:lpstr>NOTE_BS!Print_Area</vt:lpstr>
      <vt:lpstr>'Note_In  Stmt'!Print_Area</vt:lpstr>
      <vt:lpstr>'Western Cities'!Print_Area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Amarachi Elekwa</cp:lastModifiedBy>
  <dcterms:created xsi:type="dcterms:W3CDTF">2023-02-16T06:08:17Z</dcterms:created>
  <dcterms:modified xsi:type="dcterms:W3CDTF">2025-07-08T14:42:01Z</dcterms:modified>
</cp:coreProperties>
</file>