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cus1\Dropbox (ASU)\Work in Progress\2021 First Gut Model\versions\revision2\"/>
    </mc:Choice>
  </mc:AlternateContent>
  <xr:revisionPtr revIDLastSave="0" documentId="13_ncr:1_{0124B214-6647-4FE0-8152-6374859D5AA9}" xr6:coauthVersionLast="36" xr6:coauthVersionMax="46" xr10:uidLastSave="{00000000-0000-0000-0000-000000000000}"/>
  <bookViews>
    <workbookView xWindow="-105" yWindow="-105" windowWidth="19425" windowHeight="10425" tabRatio="787" activeTab="1" xr2:uid="{D765338D-813D-4EA7-A159-5A787776C480}"/>
  </bookViews>
  <sheets>
    <sheet name="About" sheetId="9" r:id="rId1"/>
    <sheet name="Parameters" sheetId="1" r:id="rId2"/>
    <sheet name="Dietary Input" sheetId="2" r:id="rId3"/>
    <sheet name="Upper GI" sheetId="4" r:id="rId4"/>
    <sheet name="Lower GI" sheetId="7" r:id="rId5"/>
    <sheet name="Components" sheetId="3" r:id="rId6"/>
    <sheet name="Reactions" sheetId="6" r:id="rId7"/>
    <sheet name="Metabolizable Energy" sheetId="5" r:id="rId8"/>
    <sheet name="Metabolizable COD" sheetId="8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4" l="1"/>
  <c r="E9" i="4"/>
  <c r="E5" i="4"/>
  <c r="E6" i="4"/>
  <c r="E4" i="4"/>
  <c r="G5" i="8" l="1"/>
  <c r="C6" i="8" l="1"/>
  <c r="C5" i="8"/>
  <c r="C3" i="8"/>
  <c r="C4" i="8"/>
  <c r="C2" i="8"/>
  <c r="G3" i="8"/>
  <c r="G2" i="8"/>
  <c r="C7" i="8" l="1"/>
  <c r="G8" i="5" l="1"/>
  <c r="G5" i="5" l="1"/>
  <c r="G3" i="5"/>
  <c r="G2" i="5"/>
  <c r="H16" i="5"/>
  <c r="H15" i="5"/>
  <c r="H14" i="5"/>
  <c r="H13" i="5"/>
  <c r="H11" i="5"/>
  <c r="H10" i="5"/>
  <c r="H3" i="5"/>
  <c r="H4" i="5"/>
  <c r="H2" i="5"/>
  <c r="Q3" i="3" l="1"/>
  <c r="Q4" i="3"/>
  <c r="Q5" i="3"/>
  <c r="Q6" i="3"/>
  <c r="Q7" i="3"/>
  <c r="Q8" i="3"/>
  <c r="Q9" i="3"/>
  <c r="Q2" i="3"/>
  <c r="D49" i="1"/>
  <c r="D47" i="1"/>
  <c r="D48" i="1"/>
  <c r="D46" i="1"/>
  <c r="D45" i="1"/>
  <c r="R17" i="6"/>
  <c r="G15" i="6" l="1"/>
  <c r="I17" i="6"/>
  <c r="J17" i="6"/>
  <c r="K17" i="6"/>
  <c r="L17" i="6"/>
  <c r="H17" i="6"/>
  <c r="B17" i="6"/>
  <c r="H22" i="6" l="1"/>
  <c r="I22" i="6"/>
  <c r="J22" i="6"/>
  <c r="K22" i="6"/>
  <c r="L22" i="6"/>
  <c r="G22" i="6"/>
  <c r="I19" i="6"/>
  <c r="J19" i="6"/>
  <c r="K19" i="6"/>
  <c r="L19" i="6"/>
  <c r="H19" i="6"/>
  <c r="I18" i="6"/>
  <c r="J18" i="6"/>
  <c r="K18" i="6"/>
  <c r="L18" i="6"/>
  <c r="I20" i="6"/>
  <c r="J20" i="6"/>
  <c r="K20" i="6"/>
  <c r="L20" i="6"/>
  <c r="I21" i="6"/>
  <c r="J21" i="6"/>
  <c r="K21" i="6"/>
  <c r="L21" i="6"/>
  <c r="H21" i="6"/>
  <c r="H20" i="6"/>
  <c r="H18" i="6"/>
  <c r="F21" i="6"/>
  <c r="E20" i="6"/>
  <c r="D19" i="6"/>
  <c r="C18" i="6"/>
  <c r="C15" i="6"/>
  <c r="P17" i="6" l="1"/>
  <c r="E15" i="6" s="1"/>
  <c r="B2" i="6"/>
  <c r="C2" i="6" s="1"/>
  <c r="P5" i="6"/>
  <c r="Q5" i="6" s="1"/>
  <c r="O4" i="6" s="1"/>
  <c r="F2" i="6" s="1"/>
  <c r="O5" i="6"/>
  <c r="N5" i="6"/>
  <c r="D40" i="1" l="1"/>
  <c r="Q17" i="6"/>
  <c r="F15" i="6" s="1"/>
  <c r="N4" i="6"/>
  <c r="P4" i="6"/>
  <c r="D2" i="6" l="1"/>
  <c r="D39" i="1"/>
  <c r="E2" i="6"/>
  <c r="D41" i="1"/>
  <c r="O17" i="6"/>
  <c r="D15" i="6" s="1"/>
  <c r="C19" i="4"/>
  <c r="C20" i="4"/>
  <c r="F23" i="6" l="1"/>
  <c r="D23" i="6"/>
  <c r="C23" i="6"/>
  <c r="E23" i="6"/>
  <c r="K23" i="6"/>
  <c r="G23" i="6"/>
  <c r="I23" i="6"/>
  <c r="B23" i="6"/>
  <c r="B25" i="6" s="1"/>
  <c r="H23" i="6"/>
  <c r="L23" i="6"/>
  <c r="J23" i="6"/>
  <c r="D8" i="2"/>
  <c r="C8" i="4" s="1"/>
  <c r="D9" i="2"/>
  <c r="C9" i="4" s="1"/>
  <c r="D5" i="2"/>
  <c r="R5" i="3"/>
  <c r="M3" i="3"/>
  <c r="P3" i="3" s="1"/>
  <c r="M4" i="3"/>
  <c r="P4" i="3" s="1"/>
  <c r="M5" i="3"/>
  <c r="P5" i="3" s="1"/>
  <c r="M6" i="3"/>
  <c r="P6" i="3" s="1"/>
  <c r="M7" i="3"/>
  <c r="P7" i="3" s="1"/>
  <c r="M8" i="3"/>
  <c r="P8" i="3" s="1"/>
  <c r="M9" i="3"/>
  <c r="P9" i="3" s="1"/>
  <c r="M2" i="3"/>
  <c r="P2" i="3" s="1"/>
  <c r="I9" i="3"/>
  <c r="J9" i="3" s="1"/>
  <c r="I3" i="3"/>
  <c r="J3" i="3" s="1"/>
  <c r="I4" i="3"/>
  <c r="J4" i="3" s="1"/>
  <c r="I5" i="3"/>
  <c r="J5" i="3" s="1"/>
  <c r="I6" i="3"/>
  <c r="J6" i="3" s="1"/>
  <c r="I7" i="3"/>
  <c r="J7" i="3" s="1"/>
  <c r="I8" i="3"/>
  <c r="J8" i="3" s="1"/>
  <c r="I2" i="3"/>
  <c r="J2" i="3" s="1"/>
  <c r="H3" i="3"/>
  <c r="K3" i="3" s="1"/>
  <c r="L3" i="3" s="1"/>
  <c r="H4" i="3"/>
  <c r="K4" i="3" s="1"/>
  <c r="L4" i="3" s="1"/>
  <c r="H5" i="3"/>
  <c r="K5" i="3" s="1"/>
  <c r="L5" i="3" s="1"/>
  <c r="H6" i="3"/>
  <c r="K6" i="3" s="1"/>
  <c r="L6" i="3" s="1"/>
  <c r="H7" i="3"/>
  <c r="K7" i="3" s="1"/>
  <c r="L7" i="3" s="1"/>
  <c r="H8" i="3"/>
  <c r="K8" i="3" s="1"/>
  <c r="L8" i="3" s="1"/>
  <c r="H9" i="3"/>
  <c r="K9" i="3" s="1"/>
  <c r="L9" i="3" s="1"/>
  <c r="H2" i="3"/>
  <c r="K2" i="3" s="1"/>
  <c r="L2" i="3" s="1"/>
  <c r="D9" i="1"/>
  <c r="D7" i="2" s="1"/>
  <c r="N9" i="3" l="1"/>
  <c r="O9" i="3" s="1"/>
  <c r="D25" i="3"/>
  <c r="H8" i="6" s="1"/>
  <c r="E25" i="3"/>
  <c r="I8" i="6" s="1"/>
  <c r="F25" i="3"/>
  <c r="J8" i="6" s="1"/>
  <c r="G25" i="3"/>
  <c r="K8" i="6" s="1"/>
  <c r="B25" i="3"/>
  <c r="F8" i="6" s="1"/>
  <c r="F9" i="6" s="1"/>
  <c r="C25" i="3"/>
  <c r="G8" i="6" s="1"/>
  <c r="N4" i="3"/>
  <c r="O4" i="3" s="1"/>
  <c r="C15" i="4" s="1"/>
  <c r="C38" i="4" s="1"/>
  <c r="C13" i="7" s="1"/>
  <c r="C20" i="3"/>
  <c r="E20" i="3"/>
  <c r="B20" i="3"/>
  <c r="D20" i="3"/>
  <c r="G20" i="3"/>
  <c r="F20" i="3"/>
  <c r="N8" i="3"/>
  <c r="O8" i="3" s="1"/>
  <c r="G24" i="3"/>
  <c r="K7" i="6" s="1"/>
  <c r="F24" i="3"/>
  <c r="J7" i="6" s="1"/>
  <c r="B24" i="3"/>
  <c r="E7" i="6" s="1"/>
  <c r="E9" i="6" s="1"/>
  <c r="C24" i="3"/>
  <c r="G7" i="6" s="1"/>
  <c r="E24" i="3"/>
  <c r="I7" i="6" s="1"/>
  <c r="D24" i="3"/>
  <c r="H7" i="6" s="1"/>
  <c r="N6" i="3"/>
  <c r="O6" i="3" s="1"/>
  <c r="B22" i="3"/>
  <c r="D22" i="3"/>
  <c r="E22" i="3"/>
  <c r="G22" i="3"/>
  <c r="C22" i="3"/>
  <c r="F22" i="3"/>
  <c r="C5" i="5"/>
  <c r="C6" i="5"/>
  <c r="D12" i="2"/>
  <c r="F13" i="7" l="1"/>
  <c r="L19" i="7" s="1"/>
  <c r="D9" i="4"/>
  <c r="N3" i="3"/>
  <c r="O3" i="3" s="1"/>
  <c r="B19" i="3"/>
  <c r="C19" i="3"/>
  <c r="E19" i="3"/>
  <c r="D19" i="3"/>
  <c r="G19" i="3"/>
  <c r="F19" i="3"/>
  <c r="N7" i="3"/>
  <c r="O7" i="3" s="1"/>
  <c r="B23" i="3"/>
  <c r="D6" i="6" s="1"/>
  <c r="D9" i="6" s="1"/>
  <c r="G23" i="3"/>
  <c r="K6" i="6" s="1"/>
  <c r="E23" i="3"/>
  <c r="I6" i="6" s="1"/>
  <c r="D23" i="3"/>
  <c r="H6" i="6" s="1"/>
  <c r="C23" i="3"/>
  <c r="G6" i="6" s="1"/>
  <c r="F23" i="3"/>
  <c r="J6" i="6" s="1"/>
  <c r="N5" i="3"/>
  <c r="O5" i="3" s="1"/>
  <c r="D21" i="3"/>
  <c r="H5" i="6" s="1"/>
  <c r="E21" i="3"/>
  <c r="I5" i="6" s="1"/>
  <c r="C21" i="3"/>
  <c r="G5" i="6" s="1"/>
  <c r="B21" i="3"/>
  <c r="C5" i="6" s="1"/>
  <c r="C9" i="6" s="1"/>
  <c r="G21" i="3"/>
  <c r="K5" i="6" s="1"/>
  <c r="F21" i="3"/>
  <c r="J5" i="6" s="1"/>
  <c r="F18" i="3"/>
  <c r="J4" i="6" s="1"/>
  <c r="D13" i="2"/>
  <c r="C4" i="4"/>
  <c r="I22" i="7" l="1"/>
  <c r="O9" i="7" s="1"/>
  <c r="C24" i="4"/>
  <c r="G9" i="8" s="1"/>
  <c r="H6" i="4"/>
  <c r="J9" i="6"/>
  <c r="C14" i="4"/>
  <c r="C35" i="4" s="1"/>
  <c r="C10" i="7" s="1"/>
  <c r="F10" i="7" s="1"/>
  <c r="L13" i="7" s="1"/>
  <c r="D8" i="4"/>
  <c r="E18" i="3"/>
  <c r="I4" i="6" s="1"/>
  <c r="I9" i="6" s="1"/>
  <c r="N2" i="3"/>
  <c r="O2" i="3" s="1"/>
  <c r="C13" i="4" s="1"/>
  <c r="B18" i="3"/>
  <c r="B4" i="6" s="1"/>
  <c r="B9" i="6" s="1"/>
  <c r="C18" i="3"/>
  <c r="G4" i="6" s="1"/>
  <c r="G9" i="6" s="1"/>
  <c r="G18" i="3"/>
  <c r="K4" i="6" s="1"/>
  <c r="K9" i="6" s="1"/>
  <c r="D18" i="3"/>
  <c r="H4" i="6" s="1"/>
  <c r="H9" i="6" s="1"/>
  <c r="D4" i="4"/>
  <c r="C2" i="5"/>
  <c r="D14" i="2"/>
  <c r="C6" i="4" s="1"/>
  <c r="C5" i="4"/>
  <c r="I6" i="4" l="1"/>
  <c r="G10" i="5"/>
  <c r="C23" i="4"/>
  <c r="G7" i="8" s="1"/>
  <c r="C37" i="4"/>
  <c r="E25" i="6"/>
  <c r="L25" i="6"/>
  <c r="K25" i="6"/>
  <c r="J25" i="6"/>
  <c r="G25" i="6"/>
  <c r="F25" i="6"/>
  <c r="I25" i="6"/>
  <c r="D25" i="6"/>
  <c r="C25" i="6"/>
  <c r="H25" i="6"/>
  <c r="H5" i="4"/>
  <c r="K11" i="6"/>
  <c r="B11" i="6"/>
  <c r="C11" i="6"/>
  <c r="D11" i="6"/>
  <c r="F11" i="6"/>
  <c r="E11" i="6"/>
  <c r="G11" i="6"/>
  <c r="I11" i="6"/>
  <c r="H11" i="6"/>
  <c r="C22" i="4"/>
  <c r="C32" i="4" s="1"/>
  <c r="C7" i="7" s="1"/>
  <c r="F7" i="7" s="1"/>
  <c r="L7" i="7" s="1"/>
  <c r="C16" i="4"/>
  <c r="J11" i="6"/>
  <c r="C29" i="4"/>
  <c r="C4" i="7" s="1"/>
  <c r="D6" i="4"/>
  <c r="C4" i="5"/>
  <c r="D5" i="4"/>
  <c r="C30" i="4" s="1"/>
  <c r="C5" i="7" s="1"/>
  <c r="F5" i="7" s="1"/>
  <c r="L5" i="7" s="1"/>
  <c r="C3" i="5"/>
  <c r="C34" i="4" l="1"/>
  <c r="G7" i="5"/>
  <c r="F4" i="7"/>
  <c r="L4" i="7" s="1"/>
  <c r="C12" i="7"/>
  <c r="J6" i="4"/>
  <c r="K6" i="4" s="1"/>
  <c r="C7" i="5"/>
  <c r="I5" i="4"/>
  <c r="H4" i="4"/>
  <c r="D10" i="4"/>
  <c r="C21" i="4"/>
  <c r="G4" i="8" s="1"/>
  <c r="I4" i="4" l="1"/>
  <c r="G4" i="5"/>
  <c r="F12" i="7"/>
  <c r="L18" i="7" s="1"/>
  <c r="J5" i="4"/>
  <c r="K5" i="4" s="1"/>
  <c r="C9" i="7"/>
  <c r="C25" i="4"/>
  <c r="C31" i="4"/>
  <c r="I21" i="7" l="1"/>
  <c r="G10" i="8" s="1"/>
  <c r="F9" i="7"/>
  <c r="J4" i="4"/>
  <c r="K4" i="4" s="1"/>
  <c r="C6" i="7"/>
  <c r="C39" i="4"/>
  <c r="C14" i="7" s="1"/>
  <c r="G11" i="5" l="1"/>
  <c r="O8" i="7"/>
  <c r="F23" i="7"/>
  <c r="I11" i="7" s="1"/>
  <c r="L12" i="7"/>
  <c r="F6" i="7"/>
  <c r="F14" i="7" l="1"/>
  <c r="L6" i="7"/>
  <c r="F20" i="7"/>
  <c r="L31" i="7" s="1"/>
  <c r="I10" i="7"/>
  <c r="I4" i="7"/>
  <c r="F22" i="7"/>
  <c r="I17" i="7" l="1"/>
  <c r="I3" i="7"/>
  <c r="I7" i="7"/>
  <c r="I9" i="7"/>
  <c r="I8" i="7"/>
  <c r="I15" i="7" s="1"/>
  <c r="G13" i="8" s="1"/>
  <c r="O6" i="7" l="1"/>
  <c r="G16" i="5" s="1"/>
  <c r="G15" i="8"/>
  <c r="F17" i="7"/>
  <c r="L28" i="7" s="1"/>
  <c r="O4" i="7"/>
  <c r="G14" i="5" s="1"/>
  <c r="F19" i="7"/>
  <c r="L30" i="7" s="1"/>
  <c r="L24" i="7"/>
  <c r="L14" i="7"/>
  <c r="L15" i="7" s="1"/>
  <c r="L23" i="7"/>
  <c r="L20" i="7"/>
  <c r="L21" i="7" s="1"/>
  <c r="L8" i="7"/>
  <c r="L9" i="7" s="1"/>
  <c r="I16" i="7"/>
  <c r="G14" i="8" s="1"/>
  <c r="I14" i="7"/>
  <c r="G12" i="8" s="1"/>
  <c r="G17" i="8" s="1"/>
  <c r="F18" i="7" l="1"/>
  <c r="L29" i="7" s="1"/>
  <c r="O5" i="7"/>
  <c r="G15" i="5" s="1"/>
  <c r="F16" i="7"/>
  <c r="L27" i="7" s="1"/>
  <c r="L33" i="7" s="1"/>
  <c r="O3" i="7"/>
  <c r="G13" i="5" l="1"/>
  <c r="G18" i="5" s="1"/>
  <c r="O11" i="7"/>
</calcChain>
</file>

<file path=xl/sharedStrings.xml><?xml version="1.0" encoding="utf-8"?>
<sst xmlns="http://schemas.openxmlformats.org/spreadsheetml/2006/main" count="447" uniqueCount="194">
  <si>
    <t>Colonic Transit Time</t>
  </si>
  <si>
    <t>Description</t>
  </si>
  <si>
    <t>Symbol</t>
  </si>
  <si>
    <t>Units</t>
  </si>
  <si>
    <t>q</t>
  </si>
  <si>
    <t>Value</t>
  </si>
  <si>
    <t>Gross Energy Intake</t>
  </si>
  <si>
    <t>GEI</t>
  </si>
  <si>
    <t>kcal/d</t>
  </si>
  <si>
    <t>Protein Fraction in Diet</t>
  </si>
  <si>
    <t>Carbohydrate Fraction in Diet</t>
  </si>
  <si>
    <t>Fat Fraction in Diet</t>
  </si>
  <si>
    <t>Average Daily Fiber Intake</t>
  </si>
  <si>
    <t>g/d</t>
  </si>
  <si>
    <t>kcal/g</t>
  </si>
  <si>
    <t>Composition of Microbial Biomass</t>
  </si>
  <si>
    <t>protein</t>
  </si>
  <si>
    <t>fat</t>
  </si>
  <si>
    <t>carbohydrate</t>
  </si>
  <si>
    <t>fc</t>
  </si>
  <si>
    <t>fp</t>
  </si>
  <si>
    <t>ff</t>
  </si>
  <si>
    <t>Protein</t>
  </si>
  <si>
    <t>Fat</t>
  </si>
  <si>
    <t>Microbial Biomass</t>
  </si>
  <si>
    <t>Carbohydrate</t>
  </si>
  <si>
    <t>Enthalpy of Combustion</t>
  </si>
  <si>
    <t>RNA</t>
  </si>
  <si>
    <t>DNA</t>
  </si>
  <si>
    <t>fr</t>
  </si>
  <si>
    <t>fdna</t>
  </si>
  <si>
    <t>Note</t>
  </si>
  <si>
    <t>Use the enthalpy value of carbohydrate for RNA and DNA</t>
  </si>
  <si>
    <t>Nordgaard et al. (1996)</t>
  </si>
  <si>
    <t>Based on Brock Microbiology of Organism</t>
  </si>
  <si>
    <t>Aromatics</t>
  </si>
  <si>
    <t>C</t>
  </si>
  <si>
    <t>H</t>
  </si>
  <si>
    <t>O</t>
  </si>
  <si>
    <t>N</t>
  </si>
  <si>
    <t>z</t>
  </si>
  <si>
    <t>Compound</t>
  </si>
  <si>
    <t>Propionic Acid</t>
  </si>
  <si>
    <t>Butyric Acid</t>
  </si>
  <si>
    <t>Acetic Acid</t>
  </si>
  <si>
    <t>H2O</t>
  </si>
  <si>
    <t>H+</t>
  </si>
  <si>
    <t>e- eq</t>
  </si>
  <si>
    <t>gCOD</t>
  </si>
  <si>
    <t>MW (g)</t>
  </si>
  <si>
    <t>Carbohydrate Intake</t>
  </si>
  <si>
    <t>Protein Intake</t>
  </si>
  <si>
    <t>Fat Intake</t>
  </si>
  <si>
    <t>CI</t>
  </si>
  <si>
    <t>PI</t>
  </si>
  <si>
    <t>FI</t>
  </si>
  <si>
    <t>Fractions of Carbohydrate</t>
  </si>
  <si>
    <t>Resistant Starch</t>
  </si>
  <si>
    <t>Available Starch and Sugar</t>
  </si>
  <si>
    <t>RS</t>
  </si>
  <si>
    <t>AvSS</t>
  </si>
  <si>
    <t>Non-starch polysaccharides</t>
  </si>
  <si>
    <t>NSP</t>
  </si>
  <si>
    <t>Assume that dietary  is made of equal amounts of NSP and RS</t>
  </si>
  <si>
    <t>Digestivity coefficient for AvSS</t>
  </si>
  <si>
    <t>Digestivity coefficient for protein</t>
  </si>
  <si>
    <t>Digestivity coefficient for fat</t>
  </si>
  <si>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>AvSS</t>
    </r>
  </si>
  <si>
    <t>This work</t>
  </si>
  <si>
    <t>Surgical Inefficiency for AvSS</t>
  </si>
  <si>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>protein</t>
    </r>
  </si>
  <si>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>fat</t>
    </r>
  </si>
  <si>
    <t>Surgical Inefficiency for protein</t>
  </si>
  <si>
    <t>Surgical Inefficiency for fat</t>
  </si>
  <si>
    <t>Anatomical Reserve Length for AvSS</t>
  </si>
  <si>
    <t>Anatomical Reserve Length for protein</t>
  </si>
  <si>
    <t>Anatomical Reserve Length for Fat</t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</si>
  <si>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AvSS</t>
    </r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</si>
  <si>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protein</t>
    </r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</si>
  <si>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fat</t>
    </r>
  </si>
  <si>
    <t>ARL_AvSS</t>
  </si>
  <si>
    <t>ARL_protein</t>
  </si>
  <si>
    <t>ARL_fat</t>
  </si>
  <si>
    <t>Dietary Input</t>
  </si>
  <si>
    <t>Carbohydrates</t>
  </si>
  <si>
    <t>gCOD/g</t>
  </si>
  <si>
    <t>Gastrointestinal Secretion of Carbohydrate</t>
  </si>
  <si>
    <t>Gastrointestinal Secretion of Protein</t>
  </si>
  <si>
    <t>Gastrointestinal Secretion of Fat</t>
  </si>
  <si>
    <t>GIS_carb</t>
  </si>
  <si>
    <t>GIS_protein</t>
  </si>
  <si>
    <t>GIS_fat</t>
  </si>
  <si>
    <t>gCOD/d</t>
  </si>
  <si>
    <t>gN/g-protein</t>
  </si>
  <si>
    <t>This Work</t>
  </si>
  <si>
    <t>According to Atwater</t>
  </si>
  <si>
    <t>Total</t>
  </si>
  <si>
    <t>Conversion (kcal/g)</t>
  </si>
  <si>
    <t>Energy Value (kcal/d)</t>
  </si>
  <si>
    <t>Percentage of Small Intestine Surgically Removed</t>
  </si>
  <si>
    <t>SIR</t>
  </si>
  <si>
    <t>User can adjust this parameter</t>
  </si>
  <si>
    <t>d</t>
  </si>
  <si>
    <t>User can adjust this parameter.  2 d is typical for adults</t>
  </si>
  <si>
    <t>Ileocecal Passage</t>
  </si>
  <si>
    <t>Net Upper GI Absorption</t>
  </si>
  <si>
    <t>dietary</t>
  </si>
  <si>
    <t>endogenous</t>
  </si>
  <si>
    <t>Net COD Balance for the Upper GI</t>
  </si>
  <si>
    <t>UGA</t>
  </si>
  <si>
    <t>ICP</t>
  </si>
  <si>
    <t>Gastrointestinal Secretions</t>
  </si>
  <si>
    <t>error</t>
  </si>
  <si>
    <t>Note:  For the purpose of accounting, we calculate net upper GI Absorption (i.e., UGA - GIS)</t>
  </si>
  <si>
    <t>Component</t>
  </si>
  <si>
    <t>CO2</t>
  </si>
  <si>
    <t>NH3</t>
  </si>
  <si>
    <t>Half Reactions (per eeq)</t>
  </si>
  <si>
    <t>fs0</t>
  </si>
  <si>
    <t>fe0</t>
  </si>
  <si>
    <t>fa (Ac)</t>
  </si>
  <si>
    <t>fa (Pr)</t>
  </si>
  <si>
    <t>fa (Bu)</t>
  </si>
  <si>
    <t>Biomass</t>
  </si>
  <si>
    <t>Acetate</t>
  </si>
  <si>
    <t>Propionate</t>
  </si>
  <si>
    <t>Butyrate</t>
  </si>
  <si>
    <t>Rc (Biomass)</t>
  </si>
  <si>
    <t>Ra (acetate)</t>
  </si>
  <si>
    <t>Ra (propionate)</t>
  </si>
  <si>
    <t>Ra (butyrate)</t>
  </si>
  <si>
    <t>Roverall</t>
  </si>
  <si>
    <t>Molar Ratio</t>
  </si>
  <si>
    <t>Ac</t>
  </si>
  <si>
    <t>But</t>
  </si>
  <si>
    <t>Prop</t>
  </si>
  <si>
    <t>eeq ratio</t>
  </si>
  <si>
    <t>eeq</t>
  </si>
  <si>
    <t>Rd (Carbohydrate)</t>
  </si>
  <si>
    <t>Microbial Reaction Electron Distribution</t>
  </si>
  <si>
    <t>for Carbohydrate Fermentation</t>
  </si>
  <si>
    <t>The e- eq from substrate fractioned to biomass</t>
  </si>
  <si>
    <t>e- eq-X/e- eq-S</t>
  </si>
  <si>
    <t>The e- eq to the acceptor fractioned to acetic acid</t>
  </si>
  <si>
    <t>Ar</t>
  </si>
  <si>
    <t>Ra (aromatics)</t>
  </si>
  <si>
    <t>fa (aro)</t>
  </si>
  <si>
    <t>Rd (protein)</t>
  </si>
  <si>
    <t>Note:  Based on Ramsey et al. (2000) work, assume that about 15% of electrons go to aromatics</t>
  </si>
  <si>
    <t>Fecal Output</t>
  </si>
  <si>
    <t>Hydrolysis Coefficient for Protein in the large intestine</t>
  </si>
  <si>
    <t>khyd</t>
  </si>
  <si>
    <t>1/d</t>
  </si>
  <si>
    <t>Absorption Coefficient of Fats in the large intestine</t>
  </si>
  <si>
    <t>kabs</t>
  </si>
  <si>
    <t>Hydrolysis Coefficient for NSP in the large intestine</t>
  </si>
  <si>
    <t>Hydrolysis Coefficient for RS in the large intestine</t>
  </si>
  <si>
    <t>Carb Hydrolyzed</t>
  </si>
  <si>
    <t xml:space="preserve">Protein Hydrolyzed </t>
  </si>
  <si>
    <t>Carbohydrate Utilizer Synthesized</t>
  </si>
  <si>
    <t>Protein Utilizer Synthesized</t>
  </si>
  <si>
    <t>for protein fermentation/utilization</t>
  </si>
  <si>
    <t>fa (Aro)</t>
  </si>
  <si>
    <t>Acetate Produced</t>
  </si>
  <si>
    <t>Propionate Producted</t>
  </si>
  <si>
    <t>n-Butyrate Produced</t>
  </si>
  <si>
    <t>iso-Butyrate Produced</t>
  </si>
  <si>
    <t>Aromatics Formed</t>
  </si>
  <si>
    <t>Microbial Products formed</t>
  </si>
  <si>
    <t>Microbial Products Absorbed</t>
  </si>
  <si>
    <t>Microbial Biomass Produced</t>
  </si>
  <si>
    <t>Microbial Products in Stool</t>
  </si>
  <si>
    <t>Fat Absorbed</t>
  </si>
  <si>
    <t>Secreted Carbohydrates</t>
  </si>
  <si>
    <t>Energy Balance</t>
  </si>
  <si>
    <t>Microbial Protein</t>
  </si>
  <si>
    <t>Microbial Fat</t>
  </si>
  <si>
    <t>Microbial Carbohydrate</t>
  </si>
  <si>
    <t>Microbial RNA</t>
  </si>
  <si>
    <t>Microbial DNA</t>
  </si>
  <si>
    <t>kcal/gCOD</t>
  </si>
  <si>
    <t>Grand stool total</t>
  </si>
  <si>
    <t>Energy Absorbed</t>
  </si>
  <si>
    <t>n-Butyric Acid</t>
  </si>
  <si>
    <t>iso-butyric Acid</t>
  </si>
  <si>
    <t>According to Our Model</t>
  </si>
  <si>
    <t>upper GI</t>
  </si>
  <si>
    <t>lower GI</t>
  </si>
  <si>
    <t>SCFA</t>
  </si>
  <si>
    <t>Carbohydrate Secretion</t>
  </si>
  <si>
    <t>secretion</t>
  </si>
  <si>
    <t>Total ME</t>
  </si>
  <si>
    <t>COD (gCOD/d)</t>
  </si>
  <si>
    <t>Directions on how to use the Gut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</si>
</sst>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9" fontId="0" fillId="0" borderId="0" xfId="1" applyFont="1"/>
    <xf numFmtId="0" fontId="4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2" fontId="0" fillId="0" borderId="0" xfId="1" applyNumberFormat="1" applyFont="1"/>
    <xf numFmtId="164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left"/>
    </xf>
    <xf numFmtId="165" fontId="0" fillId="0" borderId="0" xfId="1" applyNumberFormat="1" applyFont="1"/>
    <xf numFmtId="0" fontId="0" fillId="2" borderId="0" xfId="0" applyFill="1"/>
    <xf numFmtId="0" fontId="0" fillId="2" borderId="0" xfId="0" applyFill="1" applyAlignment="1">
      <alignment horizontal="right"/>
    </xf>
    <xf numFmtId="165" fontId="0" fillId="2" borderId="0" xfId="0" applyNumberFormat="1" applyFill="1"/>
    <xf numFmtId="0" fontId="0" fillId="2" borderId="0" xfId="0" applyFill="1" applyAlignment="1">
      <alignment horizontal="left"/>
    </xf>
    <xf numFmtId="2" fontId="0" fillId="2" borderId="0" xfId="0" applyNumberFormat="1" applyFill="1"/>
    <xf numFmtId="0" fontId="0" fillId="3" borderId="0" xfId="0" applyFill="1"/>
    <xf numFmtId="165" fontId="0" fillId="3" borderId="0" xfId="0" applyNumberFormat="1" applyFill="1"/>
    <xf numFmtId="166" fontId="0" fillId="0" borderId="0" xfId="0" applyNumberFormat="1"/>
    <xf numFmtId="0" fontId="2" fillId="0" borderId="0" xfId="0" applyFont="1" applyAlignment="1">
      <alignment horizontal="left"/>
    </xf>
    <xf numFmtId="0" fontId="5" fillId="0" borderId="0" xfId="0" applyFont="1" applyBorder="1"/>
    <xf numFmtId="0" fontId="0" fillId="0" borderId="0" xfId="0" applyBorder="1"/>
    <xf numFmtId="0" fontId="0" fillId="4" borderId="0" xfId="0" applyFill="1"/>
    <xf numFmtId="1" fontId="0" fillId="4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2</xdr:row>
      <xdr:rowOff>12700</xdr:rowOff>
    </xdr:from>
    <xdr:ext cx="5181600" cy="12979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E07E4F-EA6D-406E-AFEC-BBD2954A7FDC}"/>
            </a:ext>
          </a:extLst>
        </xdr:cNvPr>
        <xdr:cNvSpPr txBox="1"/>
      </xdr:nvSpPr>
      <xdr:spPr>
        <a:xfrm>
          <a:off x="628650" y="431800"/>
          <a:ext cx="5181600" cy="1297919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Directions:  </a:t>
          </a:r>
          <a:r>
            <a:rPr lang="en-US" sz="1100" b="0"/>
            <a:t>This complementary</a:t>
          </a:r>
          <a:r>
            <a:rPr lang="en-US" sz="1100" b="0" baseline="0"/>
            <a:t> Excel </a:t>
          </a:r>
          <a:r>
            <a:rPr lang="en-US" sz="1100" b="0"/>
            <a:t>workbook</a:t>
          </a:r>
          <a:r>
            <a:rPr lang="en-US" sz="1100" b="0" baseline="0"/>
            <a:t> implements the complete calculations in our work.  While the workbook is set up to consider one scenario at a time, a user can consider other scenarios by adjusting one parameters in the "Parameter" worksheet.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The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parameter SIR (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percentage of small intestine removed) can be adjusted between 0% and 100%.  0% - fully intact small intestine; 100% - completely removed small intestine.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CA509-C14D-4D4A-A679-3184D6CF9652}">
  <dimension ref="A1"/>
  <sheetViews>
    <sheetView showGridLines="0" workbookViewId="0">
      <selection activeCell="F14" sqref="F14"/>
    </sheetView>
  </sheetViews>
  <sheetFormatPr defaultColWidth="8.7109375" defaultRowHeight="15"/>
  <cols>
    <col min="1" max="16384" width="8.7109375" style="26"/>
  </cols>
  <sheetData>
    <row r="1" spans="1:1" ht="18.75">
      <c r="A1" s="25" t="s">
        <v>193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D12FB-9E3F-4E4E-A22A-66D8058F50FA}">
  <dimension ref="B1:F49"/>
  <sheetViews>
    <sheetView tabSelected="1" zoomScale="90" zoomScaleNormal="90" workbookViewId="0">
      <selection activeCell="D3" sqref="D3"/>
    </sheetView>
  </sheetViews>
  <sheetFormatPr defaultRowHeight="15"/>
  <cols>
    <col min="2" max="2" width="45.85546875" bestFit="1" customWidth="1"/>
    <col min="5" max="5" width="14.7109375" bestFit="1" customWidth="1"/>
    <col min="6" max="6" width="49.140625" bestFit="1" customWidth="1"/>
  </cols>
  <sheetData>
    <row r="1" spans="2:6">
      <c r="B1" s="5" t="s">
        <v>1</v>
      </c>
      <c r="C1" s="5" t="s">
        <v>2</v>
      </c>
      <c r="D1" s="5" t="s">
        <v>5</v>
      </c>
      <c r="E1" s="5" t="s">
        <v>3</v>
      </c>
      <c r="F1" s="5" t="s">
        <v>31</v>
      </c>
    </row>
    <row r="2" spans="2:6">
      <c r="B2" t="s">
        <v>0</v>
      </c>
      <c r="C2" s="1" t="s">
        <v>4</v>
      </c>
      <c r="D2">
        <v>2</v>
      </c>
      <c r="E2" t="s">
        <v>102</v>
      </c>
      <c r="F2" t="s">
        <v>103</v>
      </c>
    </row>
    <row r="3" spans="2:6">
      <c r="B3" t="s">
        <v>99</v>
      </c>
      <c r="C3" t="s">
        <v>100</v>
      </c>
      <c r="D3" s="7">
        <v>0</v>
      </c>
      <c r="F3" t="s">
        <v>101</v>
      </c>
    </row>
    <row r="4" spans="2:6">
      <c r="B4" t="s">
        <v>155</v>
      </c>
      <c r="C4" t="s">
        <v>151</v>
      </c>
      <c r="D4" s="13">
        <v>0.8</v>
      </c>
      <c r="E4" t="s">
        <v>152</v>
      </c>
    </row>
    <row r="5" spans="2:6">
      <c r="B5" t="s">
        <v>156</v>
      </c>
      <c r="C5" t="s">
        <v>151</v>
      </c>
      <c r="D5" s="13">
        <v>2.8</v>
      </c>
      <c r="E5" t="s">
        <v>152</v>
      </c>
    </row>
    <row r="6" spans="2:6">
      <c r="B6" t="s">
        <v>150</v>
      </c>
      <c r="C6" t="s">
        <v>151</v>
      </c>
      <c r="D6" s="13">
        <v>2.2000000000000002</v>
      </c>
      <c r="E6" t="s">
        <v>152</v>
      </c>
    </row>
    <row r="7" spans="2:6">
      <c r="B7" t="s">
        <v>153</v>
      </c>
      <c r="C7" t="s">
        <v>154</v>
      </c>
      <c r="D7" s="10">
        <v>0.48</v>
      </c>
      <c r="E7" t="s">
        <v>152</v>
      </c>
    </row>
    <row r="9" spans="2:6">
      <c r="B9" t="s">
        <v>10</v>
      </c>
      <c r="D9" s="2">
        <f>1-D10-D11</f>
        <v>0.5</v>
      </c>
      <c r="F9" t="s">
        <v>33</v>
      </c>
    </row>
    <row r="10" spans="2:6">
      <c r="B10" t="s">
        <v>9</v>
      </c>
      <c r="D10" s="2">
        <v>0.2</v>
      </c>
      <c r="F10" t="s">
        <v>33</v>
      </c>
    </row>
    <row r="11" spans="2:6">
      <c r="B11" t="s">
        <v>11</v>
      </c>
      <c r="D11" s="2">
        <v>0.3</v>
      </c>
      <c r="F11" t="s">
        <v>33</v>
      </c>
    </row>
    <row r="12" spans="2:6">
      <c r="D12" s="2"/>
    </row>
    <row r="13" spans="2:6">
      <c r="B13" t="s">
        <v>86</v>
      </c>
      <c r="C13" t="s">
        <v>89</v>
      </c>
      <c r="D13" s="13">
        <v>3</v>
      </c>
      <c r="E13" t="s">
        <v>13</v>
      </c>
    </row>
    <row r="14" spans="2:6">
      <c r="B14" t="s">
        <v>87</v>
      </c>
      <c r="C14" t="s">
        <v>90</v>
      </c>
      <c r="D14" s="15">
        <v>5</v>
      </c>
      <c r="E14" t="s">
        <v>13</v>
      </c>
    </row>
    <row r="15" spans="2:6">
      <c r="B15" t="s">
        <v>88</v>
      </c>
      <c r="C15" t="s">
        <v>91</v>
      </c>
      <c r="D15" s="15">
        <v>1.1000000000000001</v>
      </c>
      <c r="E15" t="s">
        <v>13</v>
      </c>
      <c r="F15" t="s">
        <v>94</v>
      </c>
    </row>
    <row r="17" spans="2:6">
      <c r="B17" t="s">
        <v>64</v>
      </c>
      <c r="C17" s="3" t="s">
        <v>67</v>
      </c>
      <c r="D17" s="10">
        <v>0.9</v>
      </c>
      <c r="F17" t="s">
        <v>68</v>
      </c>
    </row>
    <row r="18" spans="2:6">
      <c r="B18" t="s">
        <v>65</v>
      </c>
      <c r="C18" s="3" t="s">
        <v>70</v>
      </c>
      <c r="D18" s="11">
        <v>0.9</v>
      </c>
      <c r="F18" t="s">
        <v>68</v>
      </c>
    </row>
    <row r="19" spans="2:6">
      <c r="B19" t="s">
        <v>66</v>
      </c>
      <c r="C19" s="3" t="s">
        <v>71</v>
      </c>
      <c r="D19" s="11">
        <v>0.96</v>
      </c>
      <c r="F19" t="s">
        <v>68</v>
      </c>
    </row>
    <row r="21" spans="2:6">
      <c r="B21" t="s">
        <v>69</v>
      </c>
      <c r="C21" s="3" t="s">
        <v>77</v>
      </c>
      <c r="D21" s="12">
        <v>1.0409999999999999</v>
      </c>
      <c r="F21" t="s">
        <v>68</v>
      </c>
    </row>
    <row r="22" spans="2:6">
      <c r="B22" t="s">
        <v>72</v>
      </c>
      <c r="C22" s="3" t="s">
        <v>78</v>
      </c>
      <c r="D22" s="12">
        <v>1.147</v>
      </c>
      <c r="F22" t="s">
        <v>68</v>
      </c>
    </row>
    <row r="23" spans="2:6">
      <c r="B23" t="s">
        <v>73</v>
      </c>
      <c r="C23" s="3" t="s">
        <v>79</v>
      </c>
      <c r="D23" s="12">
        <v>0.93</v>
      </c>
      <c r="F23" t="s">
        <v>68</v>
      </c>
    </row>
    <row r="24" spans="2:6">
      <c r="C24" s="3"/>
      <c r="D24" s="12"/>
    </row>
    <row r="25" spans="2:6">
      <c r="B25" t="s">
        <v>74</v>
      </c>
      <c r="C25" s="3" t="s">
        <v>80</v>
      </c>
      <c r="D25" s="12">
        <v>0.43</v>
      </c>
    </row>
    <row r="26" spans="2:6">
      <c r="B26" t="s">
        <v>75</v>
      </c>
      <c r="C26" s="3" t="s">
        <v>81</v>
      </c>
      <c r="D26" s="12">
        <v>0.12</v>
      </c>
    </row>
    <row r="27" spans="2:6">
      <c r="B27" t="s">
        <v>76</v>
      </c>
      <c r="C27" s="3" t="s">
        <v>82</v>
      </c>
      <c r="D27" s="12">
        <v>0</v>
      </c>
    </row>
    <row r="29" spans="2:6">
      <c r="B29" s="5" t="s">
        <v>15</v>
      </c>
      <c r="C29" s="5" t="s">
        <v>2</v>
      </c>
      <c r="D29" s="5" t="s">
        <v>5</v>
      </c>
      <c r="E29" s="5"/>
      <c r="F29" s="5" t="s">
        <v>31</v>
      </c>
    </row>
    <row r="30" spans="2:6">
      <c r="B30" s="4" t="s">
        <v>18</v>
      </c>
      <c r="C30" s="4" t="s">
        <v>19</v>
      </c>
      <c r="D30" s="2">
        <v>0.104</v>
      </c>
      <c r="E30" s="8"/>
      <c r="F30" t="s">
        <v>34</v>
      </c>
    </row>
    <row r="31" spans="2:6">
      <c r="B31" s="4" t="s">
        <v>16</v>
      </c>
      <c r="C31" s="4" t="s">
        <v>20</v>
      </c>
      <c r="D31" s="2">
        <v>0.55000000000000004</v>
      </c>
      <c r="E31" s="8"/>
      <c r="F31" t="s">
        <v>34</v>
      </c>
    </row>
    <row r="32" spans="2:6">
      <c r="B32" s="4" t="s">
        <v>17</v>
      </c>
      <c r="C32" s="4" t="s">
        <v>21</v>
      </c>
      <c r="D32" s="2">
        <v>9.0999999999999998E-2</v>
      </c>
      <c r="E32" s="8"/>
      <c r="F32" t="s">
        <v>34</v>
      </c>
    </row>
    <row r="33" spans="2:6">
      <c r="B33" s="4" t="s">
        <v>27</v>
      </c>
      <c r="C33" s="4" t="s">
        <v>29</v>
      </c>
      <c r="D33" s="7">
        <v>0.21</v>
      </c>
      <c r="E33" s="8"/>
      <c r="F33" t="s">
        <v>34</v>
      </c>
    </row>
    <row r="34" spans="2:6">
      <c r="B34" s="4" t="s">
        <v>28</v>
      </c>
      <c r="C34" s="4" t="s">
        <v>30</v>
      </c>
      <c r="D34" s="7">
        <v>0.03</v>
      </c>
      <c r="E34" s="8"/>
      <c r="F34" t="s">
        <v>34</v>
      </c>
    </row>
    <row r="35" spans="2:6">
      <c r="B35" s="5"/>
      <c r="C35" s="5"/>
      <c r="D35" s="5"/>
      <c r="E35" s="5"/>
      <c r="F35" s="5"/>
    </row>
    <row r="36" spans="2:6">
      <c r="B36" s="24" t="s">
        <v>139</v>
      </c>
      <c r="C36" s="5" t="s">
        <v>2</v>
      </c>
      <c r="D36" s="5" t="s">
        <v>5</v>
      </c>
      <c r="E36" s="5" t="s">
        <v>3</v>
      </c>
      <c r="F36" s="5" t="s">
        <v>31</v>
      </c>
    </row>
    <row r="37" spans="2:6">
      <c r="B37" s="14" t="s">
        <v>140</v>
      </c>
    </row>
    <row r="38" spans="2:6">
      <c r="B38" t="s">
        <v>141</v>
      </c>
      <c r="C38" t="s">
        <v>118</v>
      </c>
      <c r="D38">
        <v>0.21</v>
      </c>
      <c r="E38" t="s">
        <v>142</v>
      </c>
    </row>
    <row r="39" spans="2:6">
      <c r="B39" t="s">
        <v>143</v>
      </c>
      <c r="C39" t="s">
        <v>120</v>
      </c>
      <c r="D39">
        <f>Reactions!N4</f>
        <v>0.5215123859191656</v>
      </c>
    </row>
    <row r="40" spans="2:6">
      <c r="C40" t="s">
        <v>121</v>
      </c>
      <c r="D40">
        <f>Reactions!O4</f>
        <v>0.19556714471968709</v>
      </c>
    </row>
    <row r="41" spans="2:6">
      <c r="C41" t="s">
        <v>122</v>
      </c>
      <c r="D41">
        <f>Reactions!P4</f>
        <v>0.28292046936114734</v>
      </c>
    </row>
    <row r="43" spans="2:6">
      <c r="B43" s="24" t="s">
        <v>139</v>
      </c>
      <c r="C43" s="5" t="s">
        <v>2</v>
      </c>
      <c r="D43" s="5" t="s">
        <v>5</v>
      </c>
      <c r="E43" s="5" t="s">
        <v>3</v>
      </c>
      <c r="F43" s="5" t="s">
        <v>31</v>
      </c>
    </row>
    <row r="44" spans="2:6">
      <c r="B44" s="14" t="s">
        <v>161</v>
      </c>
    </row>
    <row r="45" spans="2:6">
      <c r="B45" t="s">
        <v>141</v>
      </c>
      <c r="C45" t="s">
        <v>118</v>
      </c>
      <c r="D45">
        <f>Reactions!B15</f>
        <v>0.1</v>
      </c>
      <c r="E45" t="s">
        <v>142</v>
      </c>
    </row>
    <row r="46" spans="2:6">
      <c r="B46" t="s">
        <v>143</v>
      </c>
      <c r="C46" t="s">
        <v>120</v>
      </c>
      <c r="D46">
        <f>Reactions!D15</f>
        <v>0.44291067045250904</v>
      </c>
    </row>
    <row r="47" spans="2:6">
      <c r="C47" t="s">
        <v>121</v>
      </c>
      <c r="D47">
        <f>Reactions!E15</f>
        <v>0.16609150141969087</v>
      </c>
    </row>
    <row r="48" spans="2:6">
      <c r="C48" t="s">
        <v>122</v>
      </c>
      <c r="D48">
        <f>Reactions!F15</f>
        <v>0.24027903872048614</v>
      </c>
    </row>
    <row r="49" spans="3:4">
      <c r="C49" t="s">
        <v>162</v>
      </c>
      <c r="D49">
        <f>Reactions!G15</f>
        <v>0.15071878940731401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1811E-8A79-437E-BF30-C56AA5051D64}">
  <dimension ref="B1:F14"/>
  <sheetViews>
    <sheetView workbookViewId="0">
      <selection activeCell="B21" sqref="B21"/>
    </sheetView>
  </sheetViews>
  <sheetFormatPr defaultRowHeight="15"/>
  <cols>
    <col min="2" max="2" width="30.5703125" customWidth="1"/>
    <col min="6" max="6" width="52.7109375" bestFit="1" customWidth="1"/>
  </cols>
  <sheetData>
    <row r="1" spans="2:6">
      <c r="B1" s="5" t="s">
        <v>1</v>
      </c>
      <c r="C1" s="5" t="s">
        <v>2</v>
      </c>
      <c r="D1" s="5" t="s">
        <v>5</v>
      </c>
      <c r="E1" s="5" t="s">
        <v>3</v>
      </c>
    </row>
    <row r="2" spans="2:6">
      <c r="B2" t="s">
        <v>6</v>
      </c>
      <c r="C2" t="s">
        <v>7</v>
      </c>
      <c r="D2">
        <v>2370</v>
      </c>
      <c r="E2" t="s">
        <v>8</v>
      </c>
    </row>
    <row r="4" spans="2:6">
      <c r="B4" t="s">
        <v>12</v>
      </c>
      <c r="D4">
        <v>22.9</v>
      </c>
      <c r="E4" t="s">
        <v>13</v>
      </c>
    </row>
    <row r="5" spans="2:6">
      <c r="D5">
        <f>D4*Components!R2</f>
        <v>93.889999999999986</v>
      </c>
      <c r="E5" t="s">
        <v>8</v>
      </c>
    </row>
    <row r="7" spans="2:6">
      <c r="B7" t="s">
        <v>50</v>
      </c>
      <c r="C7" t="s">
        <v>53</v>
      </c>
      <c r="D7">
        <f>Parameters!D9*$D$2</f>
        <v>1185</v>
      </c>
      <c r="E7" t="s">
        <v>8</v>
      </c>
    </row>
    <row r="8" spans="2:6">
      <c r="B8" t="s">
        <v>51</v>
      </c>
      <c r="C8" t="s">
        <v>54</v>
      </c>
      <c r="D8">
        <f>Parameters!D10*$D$2</f>
        <v>474</v>
      </c>
      <c r="E8" t="s">
        <v>8</v>
      </c>
    </row>
    <row r="9" spans="2:6">
      <c r="B9" t="s">
        <v>52</v>
      </c>
      <c r="C9" t="s">
        <v>55</v>
      </c>
      <c r="D9">
        <f>Parameters!D11*$D$2</f>
        <v>711</v>
      </c>
      <c r="E9" t="s">
        <v>8</v>
      </c>
    </row>
    <row r="11" spans="2:6">
      <c r="B11" s="5" t="s">
        <v>56</v>
      </c>
      <c r="C11" s="5" t="s">
        <v>2</v>
      </c>
      <c r="D11" s="5" t="s">
        <v>5</v>
      </c>
      <c r="F11" s="5" t="s">
        <v>31</v>
      </c>
    </row>
    <row r="12" spans="2:6">
      <c r="B12" s="4" t="s">
        <v>61</v>
      </c>
      <c r="C12" t="s">
        <v>62</v>
      </c>
      <c r="D12" s="9">
        <f>(D5/D7)/2</f>
        <v>3.9616033755274255E-2</v>
      </c>
      <c r="F12" t="s">
        <v>63</v>
      </c>
    </row>
    <row r="13" spans="2:6">
      <c r="B13" s="4" t="s">
        <v>57</v>
      </c>
      <c r="C13" t="s">
        <v>59</v>
      </c>
      <c r="D13" s="9">
        <f>D12</f>
        <v>3.9616033755274255E-2</v>
      </c>
    </row>
    <row r="14" spans="2:6">
      <c r="B14" s="4" t="s">
        <v>58</v>
      </c>
      <c r="C14" t="s">
        <v>60</v>
      </c>
      <c r="D14" s="2">
        <f>1-D13-D12</f>
        <v>0.92076793248945155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61925-AAB7-4D02-BD45-B509615975D1}">
  <dimension ref="B2:K39"/>
  <sheetViews>
    <sheetView workbookViewId="0">
      <selection activeCell="H10" sqref="H10"/>
    </sheetView>
  </sheetViews>
  <sheetFormatPr defaultRowHeight="15"/>
  <cols>
    <col min="2" max="2" width="25.28515625" bestFit="1" customWidth="1"/>
  </cols>
  <sheetData>
    <row r="2" spans="2:11">
      <c r="B2" s="16" t="s">
        <v>83</v>
      </c>
      <c r="C2" s="16" t="s">
        <v>13</v>
      </c>
      <c r="D2" s="16" t="s">
        <v>92</v>
      </c>
      <c r="E2" s="16" t="s">
        <v>8</v>
      </c>
      <c r="G2" s="21"/>
      <c r="H2" s="21" t="s">
        <v>108</v>
      </c>
      <c r="I2" s="21"/>
      <c r="J2" s="21"/>
      <c r="K2" s="21"/>
    </row>
    <row r="3" spans="2:11">
      <c r="B3" s="16" t="s">
        <v>84</v>
      </c>
      <c r="C3" s="16"/>
      <c r="D3" s="16"/>
      <c r="E3" s="16"/>
      <c r="G3" s="21"/>
      <c r="H3" s="21" t="s">
        <v>7</v>
      </c>
      <c r="I3" s="21" t="s">
        <v>109</v>
      </c>
      <c r="J3" s="21" t="s">
        <v>110</v>
      </c>
      <c r="K3" s="21" t="s">
        <v>112</v>
      </c>
    </row>
    <row r="4" spans="2:11">
      <c r="B4" s="17" t="s">
        <v>62</v>
      </c>
      <c r="C4" s="18">
        <f>'Dietary Input'!$D$7*'Dietary Input'!D12/Components!$R$2</f>
        <v>11.45</v>
      </c>
      <c r="D4" s="18">
        <f>C4*Components!$O$2</f>
        <v>12.885981571358231</v>
      </c>
      <c r="E4" s="18">
        <f>Components!$R$2*'Upper GI'!C4</f>
        <v>46.944999999999993</v>
      </c>
      <c r="G4" s="21" t="s">
        <v>25</v>
      </c>
      <c r="H4" s="22">
        <f>SUM(D4:D6)</f>
        <v>325.27187479091504</v>
      </c>
      <c r="I4" s="22">
        <f>-SUM(C21:C22)</f>
        <v>-266.17368077035911</v>
      </c>
      <c r="J4" s="22">
        <f>-SUM(C29:C32)</f>
        <v>-59.098194020555916</v>
      </c>
      <c r="K4" s="22">
        <f>SUM(H4:J4)</f>
        <v>0</v>
      </c>
    </row>
    <row r="5" spans="2:11">
      <c r="B5" s="17" t="s">
        <v>59</v>
      </c>
      <c r="C5" s="18">
        <f>'Dietary Input'!$D$7*'Dietary Input'!D13/Components!$R$2</f>
        <v>11.45</v>
      </c>
      <c r="D5" s="18">
        <f>C5*Components!$O$2</f>
        <v>12.885981571358231</v>
      </c>
      <c r="E5" s="18">
        <f>Components!$R$2*'Upper GI'!C5</f>
        <v>46.944999999999993</v>
      </c>
      <c r="G5" s="21" t="s">
        <v>22</v>
      </c>
      <c r="H5" s="22">
        <f>D8</f>
        <v>94.948139452127549</v>
      </c>
      <c r="I5" s="22">
        <f>-C23</f>
        <v>-79.794496520580182</v>
      </c>
      <c r="J5" s="22">
        <f>-SUM(C34:C35)</f>
        <v>-15.153642931547367</v>
      </c>
      <c r="K5" s="22">
        <f>SUM(H5:J5)</f>
        <v>0</v>
      </c>
    </row>
    <row r="6" spans="2:11">
      <c r="B6" s="17" t="s">
        <v>60</v>
      </c>
      <c r="C6" s="18">
        <f>'Dietary Input'!$D$7*'Dietary Input'!D14/Components!$R$2</f>
        <v>266.1243902439025</v>
      </c>
      <c r="D6" s="18">
        <f>C6*Components!$O$2</f>
        <v>299.49991164819858</v>
      </c>
      <c r="E6" s="18">
        <f>Components!$R$2*'Upper GI'!C6</f>
        <v>1091.1100000000001</v>
      </c>
      <c r="G6" s="21" t="s">
        <v>23</v>
      </c>
      <c r="H6" s="22">
        <f>D9</f>
        <v>217.87202619044683</v>
      </c>
      <c r="I6" s="22">
        <f>-C24</f>
        <v>-206.02236198118581</v>
      </c>
      <c r="J6" s="22">
        <f>-(C37+C38)</f>
        <v>-11.849664209261022</v>
      </c>
      <c r="K6" s="22">
        <f>SUM(H6:J6)</f>
        <v>0</v>
      </c>
    </row>
    <row r="7" spans="2:11">
      <c r="B7" s="17"/>
      <c r="C7" s="16"/>
      <c r="D7" s="16"/>
      <c r="E7" s="16"/>
    </row>
    <row r="8" spans="2:11">
      <c r="B8" s="19" t="s">
        <v>22</v>
      </c>
      <c r="C8" s="20">
        <f>'Dietary Input'!D8/Components!R3</f>
        <v>83.893805309734503</v>
      </c>
      <c r="D8" s="18">
        <f>C8*Components!O3</f>
        <v>94.948139452127549</v>
      </c>
      <c r="E8" s="16">
        <f>C8*Components!R3</f>
        <v>474</v>
      </c>
    </row>
    <row r="9" spans="2:11">
      <c r="B9" s="19" t="s">
        <v>23</v>
      </c>
      <c r="C9" s="20">
        <f>'Dietary Input'!D9/Components!R4</f>
        <v>76.451612903225794</v>
      </c>
      <c r="D9" s="18">
        <f>Components!O4*'Upper GI'!C9</f>
        <v>217.87202619044683</v>
      </c>
      <c r="E9" s="16">
        <f>C9*Components!R4</f>
        <v>710.99999999999989</v>
      </c>
    </row>
    <row r="10" spans="2:11">
      <c r="B10" s="17" t="s">
        <v>96</v>
      </c>
      <c r="C10" s="16"/>
      <c r="D10" s="18">
        <f>SUM(D4:D9)</f>
        <v>638.09204043348939</v>
      </c>
      <c r="E10" s="16"/>
    </row>
    <row r="12" spans="2:11">
      <c r="B12" s="16" t="s">
        <v>111</v>
      </c>
      <c r="C12" s="16" t="s">
        <v>92</v>
      </c>
    </row>
    <row r="13" spans="2:11">
      <c r="B13" s="16" t="s">
        <v>84</v>
      </c>
      <c r="C13" s="20">
        <f>Parameters!D13*Components!O2</f>
        <v>3.3762397130196238</v>
      </c>
    </row>
    <row r="14" spans="2:11">
      <c r="B14" s="19" t="s">
        <v>22</v>
      </c>
      <c r="C14" s="20">
        <f>Parameters!D14*Components!O3</f>
        <v>5.6588289863346066</v>
      </c>
    </row>
    <row r="15" spans="2:11">
      <c r="B15" s="19" t="s">
        <v>23</v>
      </c>
      <c r="C15" s="20">
        <f>Parameters!D15*Components!O4</f>
        <v>3.134783161643139</v>
      </c>
    </row>
    <row r="16" spans="2:11">
      <c r="B16" s="16" t="s">
        <v>96</v>
      </c>
      <c r="C16" s="20">
        <f>SUM(C13:C15)</f>
        <v>12.169851860997369</v>
      </c>
    </row>
    <row r="18" spans="2:4">
      <c r="B18" s="16" t="s">
        <v>105</v>
      </c>
      <c r="C18" s="16" t="s">
        <v>92</v>
      </c>
      <c r="D18" t="s">
        <v>113</v>
      </c>
    </row>
    <row r="19" spans="2:4">
      <c r="B19" s="17" t="s">
        <v>62</v>
      </c>
      <c r="C19" s="16">
        <f>0</f>
        <v>0</v>
      </c>
    </row>
    <row r="20" spans="2:4">
      <c r="B20" s="17" t="s">
        <v>59</v>
      </c>
      <c r="C20" s="16">
        <f>0</f>
        <v>0</v>
      </c>
    </row>
    <row r="21" spans="2:4">
      <c r="B21" s="17" t="s">
        <v>60</v>
      </c>
      <c r="C21" s="18">
        <f>D6*(Parameters!D17-Parameters!D21*MAX(0,Parameters!$D$3-Parameters!D25))</f>
        <v>269.54992048337874</v>
      </c>
    </row>
    <row r="22" spans="2:4">
      <c r="B22" s="17" t="s">
        <v>173</v>
      </c>
      <c r="C22" s="20">
        <f>-C13</f>
        <v>-3.3762397130196238</v>
      </c>
    </row>
    <row r="23" spans="2:4">
      <c r="B23" s="19" t="s">
        <v>22</v>
      </c>
      <c r="C23" s="18">
        <f>D8*(Parameters!D18-Parameters!D22*MAX(0,Parameters!$D$3-Parameters!D26))-C14</f>
        <v>79.794496520580182</v>
      </c>
    </row>
    <row r="24" spans="2:4">
      <c r="B24" s="19" t="s">
        <v>23</v>
      </c>
      <c r="C24" s="18">
        <f>D9*(Parameters!D19-Parameters!D23*MAX(0,Parameters!$D$3-Parameters!D27))-C15</f>
        <v>206.02236198118581</v>
      </c>
    </row>
    <row r="25" spans="2:4">
      <c r="B25" s="17" t="s">
        <v>96</v>
      </c>
      <c r="C25" s="18">
        <f>SUM(C19:C24)</f>
        <v>551.99053927212515</v>
      </c>
    </row>
    <row r="27" spans="2:4">
      <c r="B27" s="16" t="s">
        <v>104</v>
      </c>
      <c r="C27" s="16" t="s">
        <v>92</v>
      </c>
    </row>
    <row r="28" spans="2:4">
      <c r="B28" s="16" t="s">
        <v>84</v>
      </c>
      <c r="C28" s="16"/>
    </row>
    <row r="29" spans="2:4">
      <c r="B29" s="17" t="s">
        <v>62</v>
      </c>
      <c r="C29" s="18">
        <f>D4-C19</f>
        <v>12.885981571358231</v>
      </c>
    </row>
    <row r="30" spans="2:4">
      <c r="B30" s="17" t="s">
        <v>59</v>
      </c>
      <c r="C30" s="18">
        <f>D5-C20</f>
        <v>12.885981571358231</v>
      </c>
    </row>
    <row r="31" spans="2:4">
      <c r="B31" s="17" t="s">
        <v>60</v>
      </c>
      <c r="C31" s="18">
        <f>D6-C21</f>
        <v>29.949991164819835</v>
      </c>
    </row>
    <row r="32" spans="2:4">
      <c r="B32" s="17" t="s">
        <v>173</v>
      </c>
      <c r="C32" s="18">
        <f>D7-C22</f>
        <v>3.3762397130196238</v>
      </c>
    </row>
    <row r="33" spans="2:3">
      <c r="B33" s="19" t="s">
        <v>22</v>
      </c>
      <c r="C33" s="16"/>
    </row>
    <row r="34" spans="2:3">
      <c r="B34" s="17" t="s">
        <v>106</v>
      </c>
      <c r="C34" s="18">
        <f>D8-C23-C14</f>
        <v>9.4948139452127602</v>
      </c>
    </row>
    <row r="35" spans="2:3">
      <c r="B35" s="17" t="s">
        <v>107</v>
      </c>
      <c r="C35" s="20">
        <f>C14</f>
        <v>5.6588289863346066</v>
      </c>
    </row>
    <row r="36" spans="2:3">
      <c r="B36" s="19" t="s">
        <v>23</v>
      </c>
      <c r="C36" s="16"/>
    </row>
    <row r="37" spans="2:3">
      <c r="B37" s="17" t="s">
        <v>106</v>
      </c>
      <c r="C37" s="18">
        <f>D9-C24-C15</f>
        <v>8.7148810476178831</v>
      </c>
    </row>
    <row r="38" spans="2:3">
      <c r="B38" s="17" t="s">
        <v>107</v>
      </c>
      <c r="C38" s="20">
        <f>C15</f>
        <v>3.134783161643139</v>
      </c>
    </row>
    <row r="39" spans="2:3">
      <c r="B39" s="17" t="s">
        <v>96</v>
      </c>
      <c r="C39" s="18">
        <f>SUM(C29:C37)</f>
        <v>82.966717999721169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66585-DDC5-4D24-B617-E51514488AC9}">
  <dimension ref="B2:O33"/>
  <sheetViews>
    <sheetView topLeftCell="D1" zoomScale="80" zoomScaleNormal="80" workbookViewId="0">
      <selection activeCell="K20" sqref="K20"/>
    </sheetView>
  </sheetViews>
  <sheetFormatPr defaultRowHeight="15"/>
  <cols>
    <col min="2" max="2" width="20.85546875" bestFit="1" customWidth="1"/>
    <col min="5" max="5" width="29.28515625" bestFit="1" customWidth="1"/>
    <col min="8" max="8" width="29.28515625" bestFit="1" customWidth="1"/>
    <col min="11" max="11" width="24" bestFit="1" customWidth="1"/>
    <col min="14" max="14" width="15.42578125" bestFit="1" customWidth="1"/>
  </cols>
  <sheetData>
    <row r="2" spans="2:15">
      <c r="B2" s="16" t="s">
        <v>104</v>
      </c>
      <c r="C2" s="16" t="s">
        <v>92</v>
      </c>
      <c r="E2" s="16" t="s">
        <v>149</v>
      </c>
      <c r="F2" s="16" t="s">
        <v>92</v>
      </c>
      <c r="H2" s="16" t="s">
        <v>170</v>
      </c>
      <c r="I2" s="16" t="s">
        <v>92</v>
      </c>
      <c r="K2" s="16" t="s">
        <v>174</v>
      </c>
      <c r="L2" s="16" t="s">
        <v>8</v>
      </c>
      <c r="N2" s="16" t="s">
        <v>182</v>
      </c>
      <c r="O2" s="16" t="s">
        <v>8</v>
      </c>
    </row>
    <row r="3" spans="2:15">
      <c r="B3" s="16" t="s">
        <v>84</v>
      </c>
      <c r="C3" s="16"/>
      <c r="E3" s="16" t="s">
        <v>84</v>
      </c>
      <c r="F3" s="16"/>
      <c r="H3" s="17" t="s">
        <v>159</v>
      </c>
      <c r="I3" s="18">
        <f>F22*Parameters!D38</f>
        <v>9.8994413471626377</v>
      </c>
      <c r="K3" s="19" t="s">
        <v>84</v>
      </c>
      <c r="L3" s="16"/>
      <c r="N3" s="17" t="s">
        <v>44</v>
      </c>
      <c r="O3" s="16">
        <f>I14*Components!Q7</f>
        <v>75.449437120930639</v>
      </c>
    </row>
    <row r="4" spans="2:15">
      <c r="B4" s="17" t="s">
        <v>62</v>
      </c>
      <c r="C4" s="18">
        <f>'Upper GI'!C29</f>
        <v>12.885981571358231</v>
      </c>
      <c r="E4" s="17" t="s">
        <v>62</v>
      </c>
      <c r="F4" s="18">
        <f>C4/(1+Parameters!$D$2*Parameters!$D$4)</f>
        <v>4.9561467582147039</v>
      </c>
      <c r="H4" s="17" t="s">
        <v>160</v>
      </c>
      <c r="I4" s="20">
        <f>F23*Parameters!D45</f>
        <v>1.2347412759038596</v>
      </c>
      <c r="K4" s="17" t="s">
        <v>62</v>
      </c>
      <c r="L4" s="16">
        <f>F4/Components!$O$2*Components!$R$2</f>
        <v>18.055769230769226</v>
      </c>
      <c r="N4" s="17" t="s">
        <v>42</v>
      </c>
      <c r="O4" s="16">
        <f>I15*Components!Q8</f>
        <v>28.219978816423612</v>
      </c>
    </row>
    <row r="5" spans="2:15">
      <c r="B5" s="17" t="s">
        <v>59</v>
      </c>
      <c r="C5" s="18">
        <f>'Upper GI'!C30</f>
        <v>12.885981571358231</v>
      </c>
      <c r="E5" s="17" t="s">
        <v>59</v>
      </c>
      <c r="F5" s="18">
        <f>C5/(1+Parameters!$D$2*Parameters!$D$5)</f>
        <v>1.9524214502057926</v>
      </c>
      <c r="K5" s="17" t="s">
        <v>59</v>
      </c>
      <c r="L5" s="16">
        <f>F5/Components!$O$2*Components!$R$2</f>
        <v>7.1128787878787874</v>
      </c>
      <c r="N5" s="17" t="s">
        <v>183</v>
      </c>
      <c r="O5" s="16">
        <f>I16*Components!$Q$9</f>
        <v>32.562961598174397</v>
      </c>
    </row>
    <row r="6" spans="2:15">
      <c r="B6" s="17" t="s">
        <v>60</v>
      </c>
      <c r="C6" s="18">
        <f>'Upper GI'!C31</f>
        <v>29.949991164819835</v>
      </c>
      <c r="E6" s="17" t="s">
        <v>60</v>
      </c>
      <c r="F6" s="18">
        <f>C6/(1+Parameters!$D$2*Parameters!$D$5)</f>
        <v>4.5378774492151264</v>
      </c>
      <c r="H6" s="16" t="s">
        <v>168</v>
      </c>
      <c r="I6" s="16" t="s">
        <v>92</v>
      </c>
      <c r="K6" s="17" t="s">
        <v>60</v>
      </c>
      <c r="L6" s="16">
        <f>F6/Components!$O$2*Components!$R$2</f>
        <v>16.531969696969686</v>
      </c>
      <c r="N6" s="17" t="s">
        <v>184</v>
      </c>
      <c r="O6" s="16">
        <f>I17*Components!$Q$9</f>
        <v>8.2523075551327754</v>
      </c>
    </row>
    <row r="7" spans="2:15">
      <c r="B7" s="17" t="s">
        <v>173</v>
      </c>
      <c r="C7" s="18">
        <f>'Upper GI'!C32</f>
        <v>3.3762397130196238</v>
      </c>
      <c r="E7" s="17" t="s">
        <v>173</v>
      </c>
      <c r="F7" s="18">
        <f>C7/(1+Parameters!$D$2*Parameters!$D$5)</f>
        <v>0.51155147166963999</v>
      </c>
      <c r="H7" s="17" t="s">
        <v>163</v>
      </c>
      <c r="I7" s="20">
        <f>$F$22*(1-Parameters!$D$38)*Parameters!D39+'Lower GI'!$F$23*(1-Parameters!$D$45)*Parameters!D46</f>
        <v>24.343436054343421</v>
      </c>
      <c r="K7" s="17" t="s">
        <v>173</v>
      </c>
      <c r="L7" s="16">
        <f>F7/Components!$O$2*Components!$R$2</f>
        <v>1.8636363636363633</v>
      </c>
      <c r="N7" s="19" t="s">
        <v>23</v>
      </c>
      <c r="O7" s="16"/>
    </row>
    <row r="8" spans="2:15">
      <c r="B8" s="19" t="s">
        <v>22</v>
      </c>
      <c r="C8" s="18"/>
      <c r="E8" s="19" t="s">
        <v>22</v>
      </c>
      <c r="F8" s="18"/>
      <c r="H8" s="17" t="s">
        <v>164</v>
      </c>
      <c r="I8" s="20">
        <f>$F$22*(1-Parameters!$D$38)*Parameters!D40+'Lower GI'!$F$23*(1-Parameters!$D$45)*Parameters!D47</f>
        <v>9.128788520378782</v>
      </c>
      <c r="K8" s="17" t="s">
        <v>177</v>
      </c>
      <c r="L8" s="18">
        <f>($I$3+$I$4)*Parameters!D30/Components!O5*Components!R2</f>
        <v>3.3530034260233599</v>
      </c>
      <c r="N8" s="17" t="s">
        <v>106</v>
      </c>
      <c r="O8" s="16">
        <f>I21*Components!$Q$4</f>
        <v>13.929795918367359</v>
      </c>
    </row>
    <row r="9" spans="2:15">
      <c r="B9" s="17" t="s">
        <v>106</v>
      </c>
      <c r="C9" s="18">
        <f>'Upper GI'!C34</f>
        <v>9.4948139452127602</v>
      </c>
      <c r="E9" s="17" t="s">
        <v>106</v>
      </c>
      <c r="F9" s="18">
        <f>C9/(1+Parameters!$D$2*Parameters!$D$6)</f>
        <v>1.7582988787431035</v>
      </c>
      <c r="H9" s="17" t="s">
        <v>165</v>
      </c>
      <c r="I9" s="20">
        <f>$F$22*(1-Parameters!$D$38)*Parameters!D41</f>
        <v>10.536172037897131</v>
      </c>
      <c r="K9" s="17" t="s">
        <v>96</v>
      </c>
      <c r="L9" s="16">
        <f>SUM(L4:L8)</f>
        <v>46.917257505277419</v>
      </c>
      <c r="N9" s="17" t="s">
        <v>107</v>
      </c>
      <c r="O9" s="16">
        <f>I22*Components!$Q$4</f>
        <v>5.0106122448979598</v>
      </c>
    </row>
    <row r="10" spans="2:15">
      <c r="B10" s="17" t="s">
        <v>107</v>
      </c>
      <c r="C10" s="18">
        <f>'Upper GI'!C35</f>
        <v>5.6588289863346066</v>
      </c>
      <c r="E10" s="17" t="s">
        <v>107</v>
      </c>
      <c r="F10" s="18">
        <f>C10/(1+Parameters!$D$2*Parameters!$D$6)</f>
        <v>1.0479312937656677</v>
      </c>
      <c r="H10" s="17" t="s">
        <v>166</v>
      </c>
      <c r="I10" s="20">
        <f>'Lower GI'!$F$23*(1-Parameters!$D$45)*Parameters!D48</f>
        <v>2.6701420215841734</v>
      </c>
      <c r="N10" s="16"/>
      <c r="O10" s="16"/>
    </row>
    <row r="11" spans="2:15">
      <c r="B11" s="19" t="s">
        <v>23</v>
      </c>
      <c r="C11" s="18"/>
      <c r="E11" s="19" t="s">
        <v>23</v>
      </c>
      <c r="F11" s="18"/>
      <c r="H11" s="17" t="s">
        <v>167</v>
      </c>
      <c r="I11" s="20">
        <f>F23*(1-Parameters!D45)*Parameters!D49</f>
        <v>1.6748883930192482</v>
      </c>
      <c r="K11" s="19" t="s">
        <v>22</v>
      </c>
      <c r="L11" s="16"/>
      <c r="N11" s="17" t="s">
        <v>96</v>
      </c>
      <c r="O11" s="16">
        <f>SUM(O3:O9)</f>
        <v>163.42509325392675</v>
      </c>
    </row>
    <row r="12" spans="2:15">
      <c r="B12" s="17" t="s">
        <v>106</v>
      </c>
      <c r="C12" s="18">
        <f>'Upper GI'!C37</f>
        <v>8.7148810476178831</v>
      </c>
      <c r="E12" s="17" t="s">
        <v>106</v>
      </c>
      <c r="F12" s="18">
        <f>C12/(1+Parameters!$D$2*Parameters!$D$7)</f>
        <v>4.4463678814376957</v>
      </c>
      <c r="K12" s="17" t="s">
        <v>106</v>
      </c>
      <c r="L12" s="16">
        <f>F9/Components!$O$3*Components!$R$3</f>
        <v>8.7777777777777821</v>
      </c>
    </row>
    <row r="13" spans="2:15">
      <c r="B13" s="17" t="s">
        <v>107</v>
      </c>
      <c r="C13" s="18">
        <f>'Upper GI'!C38</f>
        <v>3.134783161643139</v>
      </c>
      <c r="E13" s="17" t="s">
        <v>107</v>
      </c>
      <c r="F13" s="18">
        <f>C13/(1+Parameters!$D$2*Parameters!$D$7)</f>
        <v>1.5993791641036423</v>
      </c>
      <c r="H13" s="16" t="s">
        <v>169</v>
      </c>
      <c r="I13" s="16" t="s">
        <v>92</v>
      </c>
      <c r="K13" s="17" t="s">
        <v>107</v>
      </c>
      <c r="L13" s="16">
        <f>F10/Components!$O$3*Components!$R$3</f>
        <v>5.231481481481481</v>
      </c>
    </row>
    <row r="14" spans="2:15">
      <c r="B14" s="17" t="s">
        <v>96</v>
      </c>
      <c r="C14" s="18">
        <f>'Upper GI'!C39</f>
        <v>82.966717999721169</v>
      </c>
      <c r="E14" s="17" t="s">
        <v>96</v>
      </c>
      <c r="F14" s="18">
        <f>SUM(F4:F13)</f>
        <v>20.809974347355372</v>
      </c>
      <c r="H14" s="17" t="s">
        <v>44</v>
      </c>
      <c r="I14" s="20">
        <f>I7*0.95</f>
        <v>23.12626425162625</v>
      </c>
      <c r="K14" s="17" t="s">
        <v>175</v>
      </c>
      <c r="L14" s="18">
        <f>SUM(I3:I4)/Components!O5*Components!R3*Parameters!D31</f>
        <v>24.435877453957772</v>
      </c>
    </row>
    <row r="15" spans="2:15">
      <c r="E15" s="16" t="s">
        <v>171</v>
      </c>
      <c r="F15" s="16"/>
      <c r="H15" s="17" t="s">
        <v>42</v>
      </c>
      <c r="I15" s="20">
        <f t="shared" ref="I15:I17" si="0">I8*0.95</f>
        <v>8.6723490943598431</v>
      </c>
      <c r="K15" s="17" t="s">
        <v>96</v>
      </c>
      <c r="L15" s="16">
        <f>SUM(L12:L14)</f>
        <v>38.445136713217039</v>
      </c>
    </row>
    <row r="16" spans="2:15">
      <c r="E16" s="17" t="s">
        <v>163</v>
      </c>
      <c r="F16" s="20">
        <f>I7-I14</f>
        <v>1.2171718027171714</v>
      </c>
      <c r="H16" s="17" t="s">
        <v>183</v>
      </c>
      <c r="I16" s="20">
        <f t="shared" si="0"/>
        <v>10.009363436002275</v>
      </c>
    </row>
    <row r="17" spans="5:12">
      <c r="E17" s="17" t="s">
        <v>164</v>
      </c>
      <c r="F17" s="20">
        <f t="shared" ref="F17:F20" si="1">I8-I15</f>
        <v>0.45643942601893883</v>
      </c>
      <c r="H17" s="17" t="s">
        <v>184</v>
      </c>
      <c r="I17" s="20">
        <f t="shared" si="0"/>
        <v>2.5366349205049645</v>
      </c>
      <c r="K17" s="19" t="s">
        <v>23</v>
      </c>
      <c r="L17" s="16"/>
    </row>
    <row r="18" spans="5:12">
      <c r="E18" s="17" t="s">
        <v>165</v>
      </c>
      <c r="F18" s="20">
        <f t="shared" si="1"/>
        <v>0.52680860189485657</v>
      </c>
      <c r="H18" s="17" t="s">
        <v>167</v>
      </c>
      <c r="I18" s="20">
        <v>0</v>
      </c>
      <c r="K18" s="17" t="s">
        <v>106</v>
      </c>
      <c r="L18" s="16">
        <f>F12/Components!O4*Components!R4</f>
        <v>14.510204081632669</v>
      </c>
    </row>
    <row r="19" spans="5:12">
      <c r="E19" s="17" t="s">
        <v>166</v>
      </c>
      <c r="F19" s="20">
        <f t="shared" si="1"/>
        <v>0.13350710107920882</v>
      </c>
      <c r="K19" s="17" t="s">
        <v>107</v>
      </c>
      <c r="L19" s="16">
        <f>F13/Components!O4*Components!R4</f>
        <v>5.2193877551020416</v>
      </c>
    </row>
    <row r="20" spans="5:12">
      <c r="E20" s="17" t="s">
        <v>167</v>
      </c>
      <c r="F20" s="20">
        <f t="shared" si="1"/>
        <v>1.6748883930192482</v>
      </c>
      <c r="H20" s="17" t="s">
        <v>172</v>
      </c>
      <c r="I20" s="16" t="s">
        <v>92</v>
      </c>
      <c r="K20" s="17" t="s">
        <v>176</v>
      </c>
      <c r="L20" s="18">
        <f>SUM(I3:I4)*Parameters!D32/Components!O5*Components!R4</f>
        <v>6.6548939949427073</v>
      </c>
    </row>
    <row r="21" spans="5:12">
      <c r="H21" s="17" t="s">
        <v>106</v>
      </c>
      <c r="I21" s="18">
        <f>C12-F12</f>
        <v>4.2685131661801874</v>
      </c>
      <c r="K21" s="17" t="s">
        <v>96</v>
      </c>
      <c r="L21" s="16">
        <f>SUM(L18:L20)</f>
        <v>26.384485831677416</v>
      </c>
    </row>
    <row r="22" spans="5:12">
      <c r="E22" s="17" t="s">
        <v>157</v>
      </c>
      <c r="F22" s="18">
        <f>SUM(C4:C7)-SUM(F4:F7)</f>
        <v>47.140196891250653</v>
      </c>
      <c r="H22" s="17" t="s">
        <v>107</v>
      </c>
      <c r="I22" s="18">
        <f>C13-F13</f>
        <v>1.5354039975394966</v>
      </c>
    </row>
    <row r="23" spans="5:12">
      <c r="E23" s="17" t="s">
        <v>158</v>
      </c>
      <c r="F23" s="18">
        <f>SUM(C9:C10)-SUM(F9:F10)</f>
        <v>12.347412759038596</v>
      </c>
      <c r="K23" s="17" t="s">
        <v>178</v>
      </c>
      <c r="L23" s="18">
        <f>($I$3+$I$4)*Parameters!D33/Components!O5*Components!R2</f>
        <v>6.7704876871625528</v>
      </c>
    </row>
    <row r="24" spans="5:12">
      <c r="K24" s="17" t="s">
        <v>179</v>
      </c>
      <c r="L24" s="18">
        <f>($I$3+$I$4)*Parameters!D34/Components!O5*Components!R2</f>
        <v>0.96721252673750768</v>
      </c>
    </row>
    <row r="26" spans="5:12">
      <c r="K26" s="16" t="s">
        <v>171</v>
      </c>
      <c r="L26" s="16"/>
    </row>
    <row r="27" spans="5:12">
      <c r="K27" s="17" t="s">
        <v>163</v>
      </c>
      <c r="L27" s="16">
        <f>F16*Components!Q7</f>
        <v>3.971023006364772</v>
      </c>
    </row>
    <row r="28" spans="5:12">
      <c r="K28" s="17" t="s">
        <v>164</v>
      </c>
      <c r="L28" s="16">
        <f>F17*Components!Q8</f>
        <v>1.4852620429696628</v>
      </c>
    </row>
    <row r="29" spans="5:12">
      <c r="K29" s="17" t="s">
        <v>165</v>
      </c>
      <c r="L29" s="16">
        <f>F18*Components!$Q$9</f>
        <v>1.7138400841144421</v>
      </c>
    </row>
    <row r="30" spans="5:12">
      <c r="K30" s="17" t="s">
        <v>166</v>
      </c>
      <c r="L30" s="16">
        <f>F19*Components!$Q$9</f>
        <v>0.43433197658593609</v>
      </c>
    </row>
    <row r="31" spans="5:12">
      <c r="K31" s="17" t="s">
        <v>167</v>
      </c>
      <c r="L31" s="16">
        <f>F20*Components!Q6</f>
        <v>3.9569238285079735</v>
      </c>
    </row>
    <row r="33" spans="11:12">
      <c r="K33" s="17" t="s">
        <v>181</v>
      </c>
      <c r="L33" s="18">
        <f>SUM(L27:L31,L23:L24,L21,L15,L9)</f>
        <v>131.04596120261471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AC261-1614-49C0-A542-8D33DADB27C6}">
  <dimension ref="A1:T25"/>
  <sheetViews>
    <sheetView workbookViewId="0">
      <selection activeCell="L21" sqref="L21"/>
    </sheetView>
  </sheetViews>
  <sheetFormatPr defaultRowHeight="15"/>
  <cols>
    <col min="1" max="1" width="16.140625" bestFit="1" customWidth="1"/>
    <col min="18" max="18" width="21.28515625" bestFit="1" customWidth="1"/>
  </cols>
  <sheetData>
    <row r="1" spans="1:20">
      <c r="A1" t="s">
        <v>41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H1" t="s">
        <v>116</v>
      </c>
      <c r="I1" t="s">
        <v>115</v>
      </c>
      <c r="J1" t="s">
        <v>45</v>
      </c>
      <c r="K1" t="s">
        <v>46</v>
      </c>
      <c r="L1" t="s">
        <v>47</v>
      </c>
      <c r="M1" t="s">
        <v>49</v>
      </c>
      <c r="N1" t="s">
        <v>48</v>
      </c>
      <c r="O1" t="s">
        <v>85</v>
      </c>
      <c r="P1" t="s">
        <v>93</v>
      </c>
      <c r="Q1" t="s">
        <v>180</v>
      </c>
      <c r="R1" s="5" t="s">
        <v>26</v>
      </c>
      <c r="S1" s="5" t="s">
        <v>3</v>
      </c>
      <c r="T1" s="5" t="s">
        <v>31</v>
      </c>
    </row>
    <row r="2" spans="1:20">
      <c r="A2" t="s">
        <v>25</v>
      </c>
      <c r="B2">
        <v>1</v>
      </c>
      <c r="C2">
        <v>1.8260000000000001</v>
      </c>
      <c r="D2">
        <v>0.91300000000000003</v>
      </c>
      <c r="E2">
        <v>0</v>
      </c>
      <c r="F2">
        <v>0</v>
      </c>
      <c r="H2">
        <f>E2</f>
        <v>0</v>
      </c>
      <c r="I2">
        <f>B2</f>
        <v>1</v>
      </c>
      <c r="J2">
        <f>D2-2*I2</f>
        <v>-1.087</v>
      </c>
      <c r="K2">
        <f>C2-H2*3-J2*2</f>
        <v>4</v>
      </c>
      <c r="L2">
        <f>K2-F2</f>
        <v>4</v>
      </c>
      <c r="M2">
        <f>B2*12+C2+16*D2+14*E2</f>
        <v>28.434000000000001</v>
      </c>
      <c r="N2">
        <f>L2*8</f>
        <v>32</v>
      </c>
      <c r="O2">
        <f>N2/M2</f>
        <v>1.125413237673208</v>
      </c>
      <c r="P2">
        <f>E2*14/M2</f>
        <v>0</v>
      </c>
      <c r="Q2" s="6">
        <f>R2/O2</f>
        <v>3.6431062500000002</v>
      </c>
      <c r="R2">
        <v>4.0999999999999996</v>
      </c>
      <c r="S2" t="s">
        <v>14</v>
      </c>
    </row>
    <row r="3" spans="1:20">
      <c r="A3" t="s">
        <v>22</v>
      </c>
      <c r="B3">
        <v>1</v>
      </c>
      <c r="C3">
        <v>2.0630000000000002</v>
      </c>
      <c r="D3">
        <v>0.626</v>
      </c>
      <c r="E3">
        <v>0.28199999999999997</v>
      </c>
      <c r="F3">
        <v>0</v>
      </c>
      <c r="H3">
        <f t="shared" ref="H3:H9" si="0">E3</f>
        <v>0.28199999999999997</v>
      </c>
      <c r="I3">
        <f t="shared" ref="I3:I8" si="1">B3</f>
        <v>1</v>
      </c>
      <c r="J3">
        <f t="shared" ref="J3:J9" si="2">D3-2*I3</f>
        <v>-1.3740000000000001</v>
      </c>
      <c r="K3">
        <f t="shared" ref="K3:K9" si="3">C3-H3*3-J3*2</f>
        <v>3.9650000000000007</v>
      </c>
      <c r="L3">
        <f t="shared" ref="L3:L9" si="4">K3-F3</f>
        <v>3.9650000000000007</v>
      </c>
      <c r="M3">
        <f t="shared" ref="M3:M9" si="5">B3*12+C3+16*D3+14*E3</f>
        <v>28.027000000000001</v>
      </c>
      <c r="N3">
        <f t="shared" ref="N3:N9" si="6">L3*8</f>
        <v>31.720000000000006</v>
      </c>
      <c r="O3">
        <f t="shared" ref="O3:O9" si="7">N3/M3</f>
        <v>1.1317657972669213</v>
      </c>
      <c r="P3">
        <f t="shared" ref="P3:P9" si="8">E3*14/M3</f>
        <v>0.14086416669639987</v>
      </c>
      <c r="Q3" s="6">
        <f t="shared" ref="Q3:Q9" si="9">R3/O3</f>
        <v>4.9921989281210593</v>
      </c>
      <c r="R3">
        <v>5.65</v>
      </c>
      <c r="S3" t="s">
        <v>14</v>
      </c>
    </row>
    <row r="4" spans="1:20">
      <c r="A4" t="s">
        <v>23</v>
      </c>
      <c r="B4">
        <v>1</v>
      </c>
      <c r="C4">
        <v>1.8380000000000001</v>
      </c>
      <c r="D4">
        <v>0.11799999999999999</v>
      </c>
      <c r="E4">
        <v>0</v>
      </c>
      <c r="F4">
        <v>0</v>
      </c>
      <c r="H4">
        <f t="shared" si="0"/>
        <v>0</v>
      </c>
      <c r="I4">
        <f t="shared" si="1"/>
        <v>1</v>
      </c>
      <c r="J4">
        <f t="shared" si="2"/>
        <v>-1.8820000000000001</v>
      </c>
      <c r="K4">
        <f t="shared" si="3"/>
        <v>5.6020000000000003</v>
      </c>
      <c r="L4">
        <f t="shared" si="4"/>
        <v>5.6020000000000003</v>
      </c>
      <c r="M4">
        <f t="shared" si="5"/>
        <v>15.726000000000001</v>
      </c>
      <c r="N4">
        <f t="shared" si="6"/>
        <v>44.816000000000003</v>
      </c>
      <c r="O4">
        <f t="shared" si="7"/>
        <v>2.8498028742210351</v>
      </c>
      <c r="P4">
        <f t="shared" si="8"/>
        <v>0</v>
      </c>
      <c r="Q4" s="6">
        <f t="shared" si="9"/>
        <v>3.2633836129953591</v>
      </c>
      <c r="R4">
        <v>9.3000000000000007</v>
      </c>
      <c r="S4" t="s">
        <v>14</v>
      </c>
    </row>
    <row r="5" spans="1:20">
      <c r="A5" t="s">
        <v>24</v>
      </c>
      <c r="B5">
        <v>5</v>
      </c>
      <c r="C5">
        <v>7</v>
      </c>
      <c r="D5">
        <v>2</v>
      </c>
      <c r="E5">
        <v>1</v>
      </c>
      <c r="F5">
        <v>0</v>
      </c>
      <c r="H5">
        <f t="shared" si="0"/>
        <v>1</v>
      </c>
      <c r="I5">
        <f t="shared" si="1"/>
        <v>5</v>
      </c>
      <c r="J5">
        <f t="shared" si="2"/>
        <v>-8</v>
      </c>
      <c r="K5">
        <f t="shared" si="3"/>
        <v>20</v>
      </c>
      <c r="L5">
        <f t="shared" si="4"/>
        <v>20</v>
      </c>
      <c r="M5">
        <f t="shared" si="5"/>
        <v>113</v>
      </c>
      <c r="N5">
        <f t="shared" si="6"/>
        <v>160</v>
      </c>
      <c r="O5">
        <f t="shared" si="7"/>
        <v>1.415929203539823</v>
      </c>
      <c r="P5">
        <f t="shared" si="8"/>
        <v>0.12389380530973451</v>
      </c>
      <c r="Q5" s="6">
        <f t="shared" si="9"/>
        <v>3.7884662500000004</v>
      </c>
      <c r="R5" s="6">
        <f>R2*Parameters!D30+R3*Parameters!D31+R4*Parameters!D32+(Parameters!D33+Parameters!D34)*R2</f>
        <v>5.3642000000000003</v>
      </c>
      <c r="S5" t="s">
        <v>14</v>
      </c>
      <c r="T5" t="s">
        <v>32</v>
      </c>
    </row>
    <row r="6" spans="1:20">
      <c r="A6" t="s">
        <v>35</v>
      </c>
      <c r="B6">
        <v>7.25</v>
      </c>
      <c r="C6">
        <v>7.2</v>
      </c>
      <c r="D6">
        <v>1.2</v>
      </c>
      <c r="E6">
        <v>0.2</v>
      </c>
      <c r="F6">
        <v>0</v>
      </c>
      <c r="H6">
        <f t="shared" si="0"/>
        <v>0.2</v>
      </c>
      <c r="I6">
        <f t="shared" si="1"/>
        <v>7.25</v>
      </c>
      <c r="J6">
        <f t="shared" si="2"/>
        <v>-13.3</v>
      </c>
      <c r="K6">
        <f t="shared" si="3"/>
        <v>33.200000000000003</v>
      </c>
      <c r="L6">
        <f t="shared" si="4"/>
        <v>33.200000000000003</v>
      </c>
      <c r="M6">
        <f t="shared" si="5"/>
        <v>116.2</v>
      </c>
      <c r="N6">
        <f t="shared" si="6"/>
        <v>265.60000000000002</v>
      </c>
      <c r="O6">
        <f t="shared" si="7"/>
        <v>2.285714285714286</v>
      </c>
      <c r="P6">
        <f t="shared" si="8"/>
        <v>2.4096385542168676E-2</v>
      </c>
      <c r="Q6" s="6">
        <f t="shared" si="9"/>
        <v>2.3624999999999998</v>
      </c>
      <c r="R6">
        <v>5.4</v>
      </c>
      <c r="S6" t="s">
        <v>14</v>
      </c>
    </row>
    <row r="7" spans="1:20">
      <c r="A7" t="s">
        <v>44</v>
      </c>
      <c r="B7">
        <v>2</v>
      </c>
      <c r="C7">
        <v>4</v>
      </c>
      <c r="D7">
        <v>2</v>
      </c>
      <c r="E7">
        <v>0</v>
      </c>
      <c r="F7">
        <v>0</v>
      </c>
      <c r="H7">
        <f t="shared" si="0"/>
        <v>0</v>
      </c>
      <c r="I7">
        <f t="shared" si="1"/>
        <v>2</v>
      </c>
      <c r="J7">
        <f t="shared" si="2"/>
        <v>-2</v>
      </c>
      <c r="K7">
        <f t="shared" si="3"/>
        <v>8</v>
      </c>
      <c r="L7">
        <f t="shared" si="4"/>
        <v>8</v>
      </c>
      <c r="M7">
        <f t="shared" si="5"/>
        <v>60</v>
      </c>
      <c r="N7">
        <f t="shared" si="6"/>
        <v>64</v>
      </c>
      <c r="O7">
        <f t="shared" si="7"/>
        <v>1.0666666666666667</v>
      </c>
      <c r="P7">
        <f t="shared" si="8"/>
        <v>0</v>
      </c>
      <c r="Q7" s="6">
        <f t="shared" si="9"/>
        <v>3.2625000000000002</v>
      </c>
      <c r="R7">
        <v>3.48</v>
      </c>
      <c r="S7" t="s">
        <v>14</v>
      </c>
    </row>
    <row r="8" spans="1:20">
      <c r="A8" t="s">
        <v>42</v>
      </c>
      <c r="B8">
        <v>3</v>
      </c>
      <c r="C8">
        <v>6</v>
      </c>
      <c r="D8">
        <v>2</v>
      </c>
      <c r="E8">
        <v>0</v>
      </c>
      <c r="F8">
        <v>0</v>
      </c>
      <c r="H8">
        <f t="shared" si="0"/>
        <v>0</v>
      </c>
      <c r="I8">
        <f t="shared" si="1"/>
        <v>3</v>
      </c>
      <c r="J8">
        <f t="shared" si="2"/>
        <v>-4</v>
      </c>
      <c r="K8">
        <f t="shared" si="3"/>
        <v>14</v>
      </c>
      <c r="L8">
        <f t="shared" si="4"/>
        <v>14</v>
      </c>
      <c r="M8">
        <f t="shared" si="5"/>
        <v>74</v>
      </c>
      <c r="N8">
        <f t="shared" si="6"/>
        <v>112</v>
      </c>
      <c r="O8">
        <f t="shared" si="7"/>
        <v>1.5135135135135136</v>
      </c>
      <c r="P8">
        <f t="shared" si="8"/>
        <v>0</v>
      </c>
      <c r="Q8" s="6">
        <f t="shared" si="9"/>
        <v>3.2540178571428569</v>
      </c>
      <c r="R8">
        <v>4.9249999999999998</v>
      </c>
      <c r="S8" t="s">
        <v>14</v>
      </c>
    </row>
    <row r="9" spans="1:20">
      <c r="A9" t="s">
        <v>43</v>
      </c>
      <c r="B9">
        <v>4</v>
      </c>
      <c r="C9">
        <v>8</v>
      </c>
      <c r="D9">
        <v>2</v>
      </c>
      <c r="E9">
        <v>0</v>
      </c>
      <c r="F9">
        <v>0</v>
      </c>
      <c r="H9">
        <f t="shared" si="0"/>
        <v>0</v>
      </c>
      <c r="I9">
        <f>B9</f>
        <v>4</v>
      </c>
      <c r="J9">
        <f t="shared" si="2"/>
        <v>-6</v>
      </c>
      <c r="K9">
        <f t="shared" si="3"/>
        <v>20</v>
      </c>
      <c r="L9">
        <f t="shared" si="4"/>
        <v>20</v>
      </c>
      <c r="M9">
        <f t="shared" si="5"/>
        <v>88</v>
      </c>
      <c r="N9">
        <f t="shared" si="6"/>
        <v>160</v>
      </c>
      <c r="O9">
        <f t="shared" si="7"/>
        <v>1.8181818181818181</v>
      </c>
      <c r="P9">
        <f t="shared" si="8"/>
        <v>0</v>
      </c>
      <c r="Q9" s="6">
        <f t="shared" si="9"/>
        <v>3.25325</v>
      </c>
      <c r="R9">
        <v>5.915</v>
      </c>
      <c r="S9" t="s">
        <v>14</v>
      </c>
    </row>
    <row r="16" spans="1:20">
      <c r="A16" t="s">
        <v>117</v>
      </c>
    </row>
    <row r="17" spans="1:7">
      <c r="B17" t="s">
        <v>114</v>
      </c>
      <c r="C17" t="s">
        <v>116</v>
      </c>
      <c r="D17" t="s">
        <v>115</v>
      </c>
      <c r="E17" t="s">
        <v>45</v>
      </c>
      <c r="F17" t="s">
        <v>46</v>
      </c>
      <c r="G17" t="s">
        <v>47</v>
      </c>
    </row>
    <row r="18" spans="1:7">
      <c r="A18" t="s">
        <v>25</v>
      </c>
      <c r="B18">
        <f>-1/L2</f>
        <v>-0.25</v>
      </c>
      <c r="C18">
        <f>H2/$L2</f>
        <v>0</v>
      </c>
      <c r="D18">
        <f t="shared" ref="D18:G25" si="10">I2/$L2</f>
        <v>0.25</v>
      </c>
      <c r="E18">
        <f t="shared" si="10"/>
        <v>-0.27174999999999999</v>
      </c>
      <c r="F18">
        <f t="shared" si="10"/>
        <v>1</v>
      </c>
      <c r="G18">
        <f t="shared" si="10"/>
        <v>1</v>
      </c>
    </row>
    <row r="19" spans="1:7">
      <c r="A19" t="s">
        <v>22</v>
      </c>
      <c r="B19">
        <f t="shared" ref="B19:B25" si="11">-1/L3</f>
        <v>-0.25220680958385872</v>
      </c>
      <c r="C19">
        <f t="shared" ref="C19:C25" si="12">H3/$L3</f>
        <v>7.1122320302648145E-2</v>
      </c>
      <c r="D19">
        <f t="shared" si="10"/>
        <v>0.25220680958385872</v>
      </c>
      <c r="E19">
        <f t="shared" si="10"/>
        <v>-0.34653215636822188</v>
      </c>
      <c r="F19">
        <f t="shared" si="10"/>
        <v>1</v>
      </c>
      <c r="G19">
        <f t="shared" si="10"/>
        <v>1</v>
      </c>
    </row>
    <row r="20" spans="1:7">
      <c r="A20" t="s">
        <v>23</v>
      </c>
      <c r="B20">
        <f t="shared" si="11"/>
        <v>-0.17850767583006069</v>
      </c>
      <c r="C20">
        <f t="shared" si="12"/>
        <v>0</v>
      </c>
      <c r="D20">
        <f t="shared" si="10"/>
        <v>0.17850767583006069</v>
      </c>
      <c r="E20">
        <f t="shared" si="10"/>
        <v>-0.33595144591217424</v>
      </c>
      <c r="F20">
        <f t="shared" si="10"/>
        <v>1</v>
      </c>
      <c r="G20">
        <f t="shared" si="10"/>
        <v>1</v>
      </c>
    </row>
    <row r="21" spans="1:7">
      <c r="A21" t="s">
        <v>24</v>
      </c>
      <c r="B21">
        <f t="shared" si="11"/>
        <v>-0.05</v>
      </c>
      <c r="C21">
        <f t="shared" si="12"/>
        <v>0.05</v>
      </c>
      <c r="D21">
        <f t="shared" si="10"/>
        <v>0.25</v>
      </c>
      <c r="E21">
        <f t="shared" si="10"/>
        <v>-0.4</v>
      </c>
      <c r="F21">
        <f t="shared" si="10"/>
        <v>1</v>
      </c>
      <c r="G21">
        <f t="shared" si="10"/>
        <v>1</v>
      </c>
    </row>
    <row r="22" spans="1:7">
      <c r="A22" t="s">
        <v>35</v>
      </c>
      <c r="B22">
        <f t="shared" si="11"/>
        <v>-3.012048192771084E-2</v>
      </c>
      <c r="C22">
        <f t="shared" si="12"/>
        <v>6.0240963855421681E-3</v>
      </c>
      <c r="D22">
        <f t="shared" si="10"/>
        <v>0.21837349397590358</v>
      </c>
      <c r="E22">
        <f t="shared" si="10"/>
        <v>-0.4006024096385542</v>
      </c>
      <c r="F22">
        <f t="shared" si="10"/>
        <v>1</v>
      </c>
      <c r="G22">
        <f t="shared" si="10"/>
        <v>1</v>
      </c>
    </row>
    <row r="23" spans="1:7">
      <c r="A23" t="s">
        <v>44</v>
      </c>
      <c r="B23">
        <f t="shared" si="11"/>
        <v>-0.125</v>
      </c>
      <c r="C23">
        <f t="shared" si="12"/>
        <v>0</v>
      </c>
      <c r="D23">
        <f t="shared" si="10"/>
        <v>0.25</v>
      </c>
      <c r="E23">
        <f t="shared" si="10"/>
        <v>-0.25</v>
      </c>
      <c r="F23">
        <f t="shared" si="10"/>
        <v>1</v>
      </c>
      <c r="G23">
        <f t="shared" si="10"/>
        <v>1</v>
      </c>
    </row>
    <row r="24" spans="1:7">
      <c r="A24" t="s">
        <v>42</v>
      </c>
      <c r="B24">
        <f t="shared" si="11"/>
        <v>-7.1428571428571425E-2</v>
      </c>
      <c r="C24">
        <f t="shared" si="12"/>
        <v>0</v>
      </c>
      <c r="D24">
        <f t="shared" si="10"/>
        <v>0.21428571428571427</v>
      </c>
      <c r="E24">
        <f t="shared" si="10"/>
        <v>-0.2857142857142857</v>
      </c>
      <c r="F24">
        <f t="shared" si="10"/>
        <v>1</v>
      </c>
      <c r="G24">
        <f t="shared" si="10"/>
        <v>1</v>
      </c>
    </row>
    <row r="25" spans="1:7">
      <c r="A25" t="s">
        <v>43</v>
      </c>
      <c r="B25">
        <f t="shared" si="11"/>
        <v>-0.05</v>
      </c>
      <c r="C25">
        <f t="shared" si="12"/>
        <v>0</v>
      </c>
      <c r="D25">
        <f t="shared" si="10"/>
        <v>0.2</v>
      </c>
      <c r="E25">
        <f t="shared" si="10"/>
        <v>-0.3</v>
      </c>
      <c r="F25">
        <f t="shared" si="10"/>
        <v>1</v>
      </c>
      <c r="G25">
        <f t="shared" si="10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7D0CD-002F-4CF4-8F69-635F48314E4F}">
  <dimension ref="A1:S25"/>
  <sheetViews>
    <sheetView workbookViewId="0">
      <selection activeCell="J25" sqref="J25"/>
    </sheetView>
  </sheetViews>
  <sheetFormatPr defaultRowHeight="15"/>
  <cols>
    <col min="1" max="1" width="15" bestFit="1" customWidth="1"/>
    <col min="2" max="2" width="13.140625" bestFit="1" customWidth="1"/>
    <col min="13" max="13" width="11.140625" bestFit="1" customWidth="1"/>
  </cols>
  <sheetData>
    <row r="1" spans="1:18">
      <c r="B1" t="s">
        <v>118</v>
      </c>
      <c r="C1" t="s">
        <v>119</v>
      </c>
      <c r="D1" t="s">
        <v>120</v>
      </c>
      <c r="E1" t="s">
        <v>121</v>
      </c>
      <c r="F1" t="s">
        <v>122</v>
      </c>
    </row>
    <row r="2" spans="1:18">
      <c r="B2">
        <f>Parameters!D38</f>
        <v>0.21</v>
      </c>
      <c r="C2">
        <f>1-B2</f>
        <v>0.79</v>
      </c>
      <c r="D2" s="23">
        <f>N4</f>
        <v>0.5215123859191656</v>
      </c>
      <c r="E2" s="23">
        <f>P4</f>
        <v>0.28292046936114734</v>
      </c>
      <c r="F2" s="23">
        <f>O4</f>
        <v>0.19556714471968709</v>
      </c>
      <c r="G2" s="23"/>
      <c r="N2" t="s">
        <v>133</v>
      </c>
      <c r="O2" t="s">
        <v>134</v>
      </c>
      <c r="P2" t="s">
        <v>135</v>
      </c>
    </row>
    <row r="3" spans="1:18">
      <c r="B3" t="s">
        <v>25</v>
      </c>
      <c r="C3" t="s">
        <v>123</v>
      </c>
      <c r="D3" t="s">
        <v>124</v>
      </c>
      <c r="E3" t="s">
        <v>125</v>
      </c>
      <c r="F3" t="s">
        <v>126</v>
      </c>
      <c r="G3" t="s">
        <v>116</v>
      </c>
      <c r="H3" t="s">
        <v>115</v>
      </c>
      <c r="I3" t="s">
        <v>45</v>
      </c>
      <c r="J3" t="s">
        <v>46</v>
      </c>
      <c r="K3" t="s">
        <v>47</v>
      </c>
      <c r="M3" t="s">
        <v>132</v>
      </c>
      <c r="N3">
        <v>1</v>
      </c>
      <c r="O3">
        <v>0.15</v>
      </c>
      <c r="P3">
        <v>0.31</v>
      </c>
    </row>
    <row r="4" spans="1:18">
      <c r="A4" t="s">
        <v>138</v>
      </c>
      <c r="B4" s="23">
        <f>Components!B18</f>
        <v>-0.25</v>
      </c>
      <c r="C4" s="23"/>
      <c r="D4" s="23"/>
      <c r="E4" s="23"/>
      <c r="F4" s="23"/>
      <c r="G4" s="6">
        <f>Components!C18</f>
        <v>0</v>
      </c>
      <c r="H4" s="6">
        <f>Components!D18</f>
        <v>0.25</v>
      </c>
      <c r="I4" s="6">
        <f>Components!E18</f>
        <v>-0.27174999999999999</v>
      </c>
      <c r="J4" s="6">
        <f>Components!F18</f>
        <v>1</v>
      </c>
      <c r="K4" s="6">
        <f>Components!G18</f>
        <v>1</v>
      </c>
      <c r="L4" s="23"/>
      <c r="M4" t="s">
        <v>136</v>
      </c>
      <c r="N4">
        <f>N5/$Q$5</f>
        <v>0.5215123859191656</v>
      </c>
      <c r="O4">
        <f t="shared" ref="O4:P4" si="0">O5/$Q$5</f>
        <v>0.19556714471968709</v>
      </c>
      <c r="P4">
        <f t="shared" si="0"/>
        <v>0.28292046936114734</v>
      </c>
    </row>
    <row r="5" spans="1:18">
      <c r="A5" t="s">
        <v>127</v>
      </c>
      <c r="C5">
        <f>Components!B21</f>
        <v>-0.05</v>
      </c>
      <c r="G5" s="6">
        <f>Components!C21</f>
        <v>0.05</v>
      </c>
      <c r="H5" s="6">
        <f>Components!D21</f>
        <v>0.25</v>
      </c>
      <c r="I5" s="6">
        <f>Components!E21</f>
        <v>-0.4</v>
      </c>
      <c r="J5" s="6">
        <f>Components!F21</f>
        <v>1</v>
      </c>
      <c r="K5" s="6">
        <f>Components!G21</f>
        <v>1</v>
      </c>
      <c r="M5" t="s">
        <v>137</v>
      </c>
      <c r="N5">
        <f>8*N3</f>
        <v>8</v>
      </c>
      <c r="O5">
        <f>20*O3</f>
        <v>3</v>
      </c>
      <c r="P5">
        <f>P3*14</f>
        <v>4.34</v>
      </c>
      <c r="Q5">
        <f>SUM(N5:P5)</f>
        <v>15.34</v>
      </c>
    </row>
    <row r="6" spans="1:18">
      <c r="A6" t="s">
        <v>128</v>
      </c>
      <c r="D6">
        <f>Components!B23</f>
        <v>-0.125</v>
      </c>
      <c r="G6" s="6">
        <f>Components!C23</f>
        <v>0</v>
      </c>
      <c r="H6" s="6">
        <f>Components!D23</f>
        <v>0.25</v>
      </c>
      <c r="I6" s="6">
        <f>Components!E23</f>
        <v>-0.25</v>
      </c>
      <c r="J6" s="6">
        <f>Components!F23</f>
        <v>1</v>
      </c>
      <c r="K6" s="6">
        <f>Components!G23</f>
        <v>1</v>
      </c>
    </row>
    <row r="7" spans="1:18">
      <c r="A7" t="s">
        <v>129</v>
      </c>
      <c r="E7">
        <f>Components!B24</f>
        <v>-7.1428571428571425E-2</v>
      </c>
      <c r="G7" s="6">
        <f>Components!C24</f>
        <v>0</v>
      </c>
      <c r="H7" s="6">
        <f>Components!D24</f>
        <v>0.21428571428571427</v>
      </c>
      <c r="I7" s="6">
        <f>Components!E24</f>
        <v>-0.2857142857142857</v>
      </c>
      <c r="J7" s="6">
        <f>Components!F24</f>
        <v>1</v>
      </c>
      <c r="K7" s="6">
        <f>Components!G24</f>
        <v>1</v>
      </c>
    </row>
    <row r="8" spans="1:18">
      <c r="A8" t="s">
        <v>130</v>
      </c>
      <c r="F8">
        <f>Components!B25</f>
        <v>-0.05</v>
      </c>
      <c r="G8" s="6">
        <f>Components!C25</f>
        <v>0</v>
      </c>
      <c r="H8" s="6">
        <f>Components!D25</f>
        <v>0.2</v>
      </c>
      <c r="I8" s="6">
        <f>Components!E25</f>
        <v>-0.3</v>
      </c>
      <c r="J8" s="6">
        <f>Components!F25</f>
        <v>1</v>
      </c>
      <c r="K8" s="6">
        <f>Components!G25</f>
        <v>1</v>
      </c>
    </row>
    <row r="9" spans="1:18">
      <c r="A9" t="s">
        <v>131</v>
      </c>
      <c r="B9" s="23">
        <f t="shared" ref="B9:K9" si="1">B4-B5*$B$2-$C$2*(B6*$D$2+B7*$E$2+B8*$F$2)</f>
        <v>-0.25</v>
      </c>
      <c r="C9" s="23">
        <f t="shared" si="1"/>
        <v>1.0500000000000001E-2</v>
      </c>
      <c r="D9" s="23">
        <f t="shared" si="1"/>
        <v>5.1499348109517604E-2</v>
      </c>
      <c r="E9" s="23">
        <f t="shared" si="1"/>
        <v>1.5964797913950456E-2</v>
      </c>
      <c r="F9" s="23">
        <f t="shared" si="1"/>
        <v>7.7249022164276411E-3</v>
      </c>
      <c r="G9" s="23">
        <f t="shared" si="1"/>
        <v>-1.0500000000000001E-2</v>
      </c>
      <c r="H9" s="23">
        <f t="shared" si="1"/>
        <v>1.5707301173402854E-2</v>
      </c>
      <c r="I9" s="23">
        <f t="shared" si="1"/>
        <v>2.5457301173402891E-2</v>
      </c>
      <c r="J9" s="23">
        <f t="shared" si="1"/>
        <v>0</v>
      </c>
      <c r="K9" s="23">
        <f t="shared" si="1"/>
        <v>0</v>
      </c>
      <c r="L9" s="23"/>
    </row>
    <row r="11" spans="1:18">
      <c r="B11">
        <f>B9/ABS($B$9)</f>
        <v>-1</v>
      </c>
      <c r="C11" s="6">
        <f t="shared" ref="C11:K11" si="2">C9/ABS($B$9)</f>
        <v>4.2000000000000003E-2</v>
      </c>
      <c r="D11" s="6">
        <f t="shared" si="2"/>
        <v>0.20599739243807041</v>
      </c>
      <c r="E11" s="6">
        <f t="shared" si="2"/>
        <v>6.3859191655801825E-2</v>
      </c>
      <c r="F11" s="6">
        <f t="shared" si="2"/>
        <v>3.0899608865710564E-2</v>
      </c>
      <c r="G11" s="6">
        <f t="shared" si="2"/>
        <v>-4.2000000000000003E-2</v>
      </c>
      <c r="H11" s="6">
        <f t="shared" si="2"/>
        <v>6.2829204693611418E-2</v>
      </c>
      <c r="I11" s="6">
        <f t="shared" si="2"/>
        <v>0.10182920469361156</v>
      </c>
      <c r="J11" s="6">
        <f t="shared" si="2"/>
        <v>0</v>
      </c>
      <c r="K11">
        <f t="shared" si="2"/>
        <v>0</v>
      </c>
    </row>
    <row r="14" spans="1:18">
      <c r="B14" t="s">
        <v>118</v>
      </c>
      <c r="C14" t="s">
        <v>119</v>
      </c>
      <c r="D14" t="s">
        <v>120</v>
      </c>
      <c r="E14" t="s">
        <v>121</v>
      </c>
      <c r="F14" t="s">
        <v>122</v>
      </c>
      <c r="G14" t="s">
        <v>146</v>
      </c>
    </row>
    <row r="15" spans="1:18">
      <c r="B15">
        <v>0.1</v>
      </c>
      <c r="C15">
        <f>1-B15</f>
        <v>0.9</v>
      </c>
      <c r="D15" s="23">
        <f>O17</f>
        <v>0.44291067045250904</v>
      </c>
      <c r="E15" s="23">
        <f t="shared" ref="E15:G15" si="3">P17</f>
        <v>0.16609150141969087</v>
      </c>
      <c r="F15" s="23">
        <f t="shared" si="3"/>
        <v>0.24027903872048614</v>
      </c>
      <c r="G15" s="23">
        <f t="shared" si="3"/>
        <v>0.15071878940731401</v>
      </c>
      <c r="O15" t="s">
        <v>133</v>
      </c>
      <c r="P15" t="s">
        <v>134</v>
      </c>
      <c r="Q15" t="s">
        <v>135</v>
      </c>
      <c r="R15" t="s">
        <v>144</v>
      </c>
    </row>
    <row r="16" spans="1:18">
      <c r="B16" t="s">
        <v>22</v>
      </c>
      <c r="C16" t="s">
        <v>123</v>
      </c>
      <c r="D16" t="s">
        <v>124</v>
      </c>
      <c r="E16" t="s">
        <v>125</v>
      </c>
      <c r="F16" t="s">
        <v>126</v>
      </c>
      <c r="G16" t="s">
        <v>35</v>
      </c>
      <c r="H16" t="s">
        <v>116</v>
      </c>
      <c r="I16" t="s">
        <v>115</v>
      </c>
      <c r="J16" t="s">
        <v>45</v>
      </c>
      <c r="K16" t="s">
        <v>46</v>
      </c>
      <c r="L16" t="s">
        <v>47</v>
      </c>
      <c r="N16" t="s">
        <v>132</v>
      </c>
      <c r="O16">
        <v>1</v>
      </c>
      <c r="P16">
        <v>0.15</v>
      </c>
      <c r="Q16">
        <v>0.31</v>
      </c>
    </row>
    <row r="17" spans="1:19">
      <c r="A17" t="s">
        <v>147</v>
      </c>
      <c r="B17" s="23">
        <f>Components!B19</f>
        <v>-0.25220680958385872</v>
      </c>
      <c r="C17" s="23"/>
      <c r="D17" s="23"/>
      <c r="E17" s="23"/>
      <c r="F17" s="23"/>
      <c r="H17" s="6">
        <f>Components!C19</f>
        <v>7.1122320302648145E-2</v>
      </c>
      <c r="I17" s="6">
        <f>Components!D19</f>
        <v>0.25220680958385872</v>
      </c>
      <c r="J17" s="6">
        <f>Components!E19</f>
        <v>-0.34653215636822188</v>
      </c>
      <c r="K17" s="6">
        <f>Components!F19</f>
        <v>1</v>
      </c>
      <c r="L17" s="6">
        <f>Components!G19</f>
        <v>1</v>
      </c>
      <c r="N17" t="s">
        <v>136</v>
      </c>
      <c r="O17" s="10">
        <f>(1-$R$17)*N4</f>
        <v>0.44291067045250904</v>
      </c>
      <c r="P17" s="10">
        <f>(1-$R$17)*O4</f>
        <v>0.16609150141969087</v>
      </c>
      <c r="Q17" s="10">
        <f>(1-$R$17)*P4</f>
        <v>0.24027903872048614</v>
      </c>
      <c r="R17">
        <f>0.018*33.2/3.965</f>
        <v>0.15071878940731401</v>
      </c>
      <c r="S17" t="s">
        <v>148</v>
      </c>
    </row>
    <row r="18" spans="1:19">
      <c r="A18" t="s">
        <v>127</v>
      </c>
      <c r="C18">
        <f>Components!B21</f>
        <v>-0.05</v>
      </c>
      <c r="H18" s="6">
        <f>Components!C21</f>
        <v>0.05</v>
      </c>
      <c r="I18" s="6">
        <f>Components!D21</f>
        <v>0.25</v>
      </c>
      <c r="J18" s="6">
        <f>Components!E21</f>
        <v>-0.4</v>
      </c>
      <c r="K18" s="6">
        <f>Components!F21</f>
        <v>1</v>
      </c>
      <c r="L18" s="6">
        <f>Components!G21</f>
        <v>1</v>
      </c>
    </row>
    <row r="19" spans="1:19">
      <c r="A19" t="s">
        <v>128</v>
      </c>
      <c r="D19">
        <f>Components!B23</f>
        <v>-0.125</v>
      </c>
      <c r="H19" s="6">
        <f>Components!C23</f>
        <v>0</v>
      </c>
      <c r="I19" s="6">
        <f>Components!D23</f>
        <v>0.25</v>
      </c>
      <c r="J19" s="6">
        <f>Components!E23</f>
        <v>-0.25</v>
      </c>
      <c r="K19" s="6">
        <f>Components!F23</f>
        <v>1</v>
      </c>
      <c r="L19" s="6">
        <f>Components!G23</f>
        <v>1</v>
      </c>
    </row>
    <row r="20" spans="1:19">
      <c r="A20" t="s">
        <v>129</v>
      </c>
      <c r="E20">
        <f>Components!B24</f>
        <v>-7.1428571428571425E-2</v>
      </c>
      <c r="H20" s="6">
        <f>Components!C24</f>
        <v>0</v>
      </c>
      <c r="I20" s="6">
        <f>Components!D24</f>
        <v>0.21428571428571427</v>
      </c>
      <c r="J20" s="6">
        <f>Components!E24</f>
        <v>-0.2857142857142857</v>
      </c>
      <c r="K20" s="6">
        <f>Components!F24</f>
        <v>1</v>
      </c>
      <c r="L20" s="6">
        <f>Components!G24</f>
        <v>1</v>
      </c>
    </row>
    <row r="21" spans="1:19">
      <c r="A21" t="s">
        <v>130</v>
      </c>
      <c r="F21">
        <f>Components!B25</f>
        <v>-0.05</v>
      </c>
      <c r="H21" s="6">
        <f>Components!C25</f>
        <v>0</v>
      </c>
      <c r="I21" s="6">
        <f>Components!D25</f>
        <v>0.2</v>
      </c>
      <c r="J21" s="6">
        <f>Components!E25</f>
        <v>-0.3</v>
      </c>
      <c r="K21" s="6">
        <f>Components!F25</f>
        <v>1</v>
      </c>
      <c r="L21" s="6">
        <f>Components!G25</f>
        <v>1</v>
      </c>
    </row>
    <row r="22" spans="1:19">
      <c r="A22" t="s">
        <v>145</v>
      </c>
      <c r="G22">
        <f>Components!B22</f>
        <v>-3.012048192771084E-2</v>
      </c>
      <c r="H22" s="6">
        <f>Components!C22</f>
        <v>6.0240963855421681E-3</v>
      </c>
      <c r="I22" s="6">
        <f>Components!D22</f>
        <v>0.21837349397590358</v>
      </c>
      <c r="J22" s="6">
        <f>Components!E22</f>
        <v>-0.4006024096385542</v>
      </c>
      <c r="K22" s="6">
        <f>Components!F22</f>
        <v>1</v>
      </c>
      <c r="L22" s="6">
        <f>Components!G22</f>
        <v>1</v>
      </c>
    </row>
    <row r="23" spans="1:19">
      <c r="A23" t="s">
        <v>131</v>
      </c>
      <c r="B23" s="23">
        <f>B17-B18*$B$15-$C$15*(B19*$D$15+B20*$E$15+B21*$F$15+$G$15*B22)</f>
        <v>-0.25220680958385872</v>
      </c>
      <c r="C23" s="23">
        <f t="shared" ref="C23:L23" si="4">C17-C18*$B$15-$C$15*(C19*$D$15+C20*$E$15+C21*$F$15+$G$15*C22)</f>
        <v>5.000000000000001E-3</v>
      </c>
      <c r="D23" s="23">
        <f t="shared" si="4"/>
        <v>4.982745042590727E-2</v>
      </c>
      <c r="E23" s="23">
        <f t="shared" si="4"/>
        <v>1.0677310805551555E-2</v>
      </c>
      <c r="F23" s="23">
        <f t="shared" si="4"/>
        <v>1.0812556742421878E-2</v>
      </c>
      <c r="G23" s="23">
        <f t="shared" si="4"/>
        <v>4.085750315258512E-3</v>
      </c>
      <c r="H23" s="23">
        <f t="shared" si="4"/>
        <v>6.5305170239596436E-2</v>
      </c>
      <c r="I23" s="23">
        <f t="shared" si="4"/>
        <v>2.2648059560077816E-2</v>
      </c>
      <c r="J23" s="23">
        <f t="shared" si="4"/>
        <v>-4.4952192646731615E-2</v>
      </c>
      <c r="K23" s="23">
        <f t="shared" si="4"/>
        <v>0</v>
      </c>
      <c r="L23" s="23">
        <f t="shared" si="4"/>
        <v>0</v>
      </c>
    </row>
    <row r="25" spans="1:19">
      <c r="B25">
        <f>B23/ABS($B$23)</f>
        <v>-1</v>
      </c>
      <c r="C25" s="6">
        <f t="shared" ref="C25:G25" si="5">C23/ABS($B$9)</f>
        <v>2.0000000000000004E-2</v>
      </c>
      <c r="D25" s="6">
        <f t="shared" si="5"/>
        <v>0.19930980170362908</v>
      </c>
      <c r="E25" s="6">
        <f t="shared" si="5"/>
        <v>4.270924322220622E-2</v>
      </c>
      <c r="F25" s="6">
        <f t="shared" si="5"/>
        <v>4.3250226969687514E-2</v>
      </c>
      <c r="G25" s="6">
        <f t="shared" si="5"/>
        <v>1.6343001261034048E-2</v>
      </c>
      <c r="H25" s="6">
        <f>H23/ABS($B$9)</f>
        <v>0.26122068095838574</v>
      </c>
      <c r="I25" s="6">
        <f>I23/ABS($B$9)</f>
        <v>9.0592238240311262E-2</v>
      </c>
      <c r="J25" s="6">
        <f>J23/ABS($B$9)</f>
        <v>-0.17980877058692646</v>
      </c>
      <c r="K25" s="6">
        <f>K23/ABS($B$9)</f>
        <v>0</v>
      </c>
      <c r="L25">
        <f>L23/ABS($B$9)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38066-67A4-4787-BCA0-940D12B19A8C}">
  <dimension ref="B1:H18"/>
  <sheetViews>
    <sheetView workbookViewId="0">
      <selection activeCell="D7" sqref="B1:D7"/>
    </sheetView>
  </sheetViews>
  <sheetFormatPr defaultRowHeight="15"/>
  <cols>
    <col min="2" max="2" width="20.85546875" bestFit="1" customWidth="1"/>
    <col min="3" max="3" width="18.5703125" bestFit="1" customWidth="1"/>
    <col min="4" max="4" width="17" bestFit="1" customWidth="1"/>
    <col min="6" max="6" width="20.85546875" bestFit="1" customWidth="1"/>
  </cols>
  <sheetData>
    <row r="1" spans="2:8">
      <c r="B1" s="27" t="s">
        <v>95</v>
      </c>
      <c r="C1" s="27" t="s">
        <v>98</v>
      </c>
      <c r="D1" s="27" t="s">
        <v>97</v>
      </c>
      <c r="F1" s="16" t="s">
        <v>185</v>
      </c>
      <c r="G1" s="16"/>
      <c r="H1" s="16"/>
    </row>
    <row r="2" spans="2:8">
      <c r="B2" s="27" t="s">
        <v>62</v>
      </c>
      <c r="C2" s="28">
        <f>'Upper GI'!C4*'Metabolizable Energy'!D2</f>
        <v>45.8</v>
      </c>
      <c r="D2" s="27">
        <v>4</v>
      </c>
      <c r="F2" s="16" t="s">
        <v>62</v>
      </c>
      <c r="G2" s="18">
        <f>'Upper GI'!C19</f>
        <v>0</v>
      </c>
      <c r="H2" s="16">
        <f>Components!$R$2</f>
        <v>4.0999999999999996</v>
      </c>
    </row>
    <row r="3" spans="2:8">
      <c r="B3" s="27" t="s">
        <v>59</v>
      </c>
      <c r="C3" s="28">
        <f>'Upper GI'!C5*'Metabolizable Energy'!D3</f>
        <v>45.8</v>
      </c>
      <c r="D3" s="27">
        <v>4</v>
      </c>
      <c r="F3" s="16" t="s">
        <v>59</v>
      </c>
      <c r="G3" s="18">
        <f>'Upper GI'!C20</f>
        <v>0</v>
      </c>
      <c r="H3" s="16">
        <f>Components!$R$2</f>
        <v>4.0999999999999996</v>
      </c>
    </row>
    <row r="4" spans="2:8">
      <c r="B4" s="27" t="s">
        <v>60</v>
      </c>
      <c r="C4" s="28">
        <f>'Upper GI'!C6*'Metabolizable Energy'!D4</f>
        <v>1064.49756097561</v>
      </c>
      <c r="D4" s="27">
        <v>4</v>
      </c>
      <c r="F4" s="16" t="s">
        <v>60</v>
      </c>
      <c r="G4" s="18">
        <f>'Upper GI'!C21*Components!Q2</f>
        <v>981.99900000000014</v>
      </c>
      <c r="H4" s="16">
        <f>Components!$R$2</f>
        <v>4.0999999999999996</v>
      </c>
    </row>
    <row r="5" spans="2:8">
      <c r="B5" s="27" t="s">
        <v>22</v>
      </c>
      <c r="C5" s="28">
        <f>'Upper GI'!C8*'Metabolizable Energy'!D5</f>
        <v>335.57522123893801</v>
      </c>
      <c r="D5" s="27">
        <v>4</v>
      </c>
      <c r="F5" s="16" t="s">
        <v>189</v>
      </c>
      <c r="G5" s="18">
        <f>'Upper GI'!C22*Components!Q2</f>
        <v>-12.299999999999999</v>
      </c>
      <c r="H5" s="16">
        <v>4.0999999999999996</v>
      </c>
    </row>
    <row r="6" spans="2:8">
      <c r="B6" s="27" t="s">
        <v>23</v>
      </c>
      <c r="C6" s="28">
        <f>D6*'Upper GI'!C9</f>
        <v>688.0645161290322</v>
      </c>
      <c r="D6" s="27">
        <v>9</v>
      </c>
      <c r="F6" s="16" t="s">
        <v>22</v>
      </c>
      <c r="G6" s="18"/>
      <c r="H6" s="16"/>
    </row>
    <row r="7" spans="2:8">
      <c r="B7" s="27" t="s">
        <v>96</v>
      </c>
      <c r="C7" s="28">
        <f>SUM(C2:C6)</f>
        <v>2179.7372983435798</v>
      </c>
      <c r="D7" s="27"/>
      <c r="F7" s="17" t="s">
        <v>106</v>
      </c>
      <c r="G7" s="18">
        <f>'Upper GI'!C23/Components!O3*H7</f>
        <v>309.514424778761</v>
      </c>
      <c r="H7" s="16">
        <v>4.3899999999999997</v>
      </c>
    </row>
    <row r="8" spans="2:8">
      <c r="F8" s="17" t="s">
        <v>190</v>
      </c>
      <c r="G8" s="18">
        <f>-'Upper GI'!C35/Components!O3*H7</f>
        <v>-21.95</v>
      </c>
      <c r="H8" s="16">
        <v>4.3899999999999997</v>
      </c>
    </row>
    <row r="9" spans="2:8">
      <c r="F9" s="16" t="s">
        <v>23</v>
      </c>
      <c r="G9" s="18"/>
      <c r="H9" s="16"/>
    </row>
    <row r="10" spans="2:8">
      <c r="F10" s="17" t="s">
        <v>186</v>
      </c>
      <c r="G10" s="18">
        <f>'Upper GI'!C24*Components!Q4</f>
        <v>672.32999999999981</v>
      </c>
      <c r="H10" s="16">
        <f>Components!$R$4</f>
        <v>9.3000000000000007</v>
      </c>
    </row>
    <row r="11" spans="2:8">
      <c r="F11" s="17" t="s">
        <v>187</v>
      </c>
      <c r="G11" s="18">
        <f>SUM('Lower GI'!I21:I22)*Components!Q4</f>
        <v>18.940408163265321</v>
      </c>
      <c r="H11" s="16">
        <f>Components!$R$4</f>
        <v>9.3000000000000007</v>
      </c>
    </row>
    <row r="12" spans="2:8">
      <c r="F12" s="16" t="s">
        <v>188</v>
      </c>
      <c r="G12" s="18"/>
      <c r="H12" s="16"/>
    </row>
    <row r="13" spans="2:8">
      <c r="F13" s="17" t="s">
        <v>44</v>
      </c>
      <c r="G13" s="18">
        <f>'Lower GI'!O3</f>
        <v>75.449437120930639</v>
      </c>
      <c r="H13" s="16">
        <f>Components!R7</f>
        <v>3.48</v>
      </c>
    </row>
    <row r="14" spans="2:8">
      <c r="F14" s="17" t="s">
        <v>42</v>
      </c>
      <c r="G14" s="18">
        <f>'Lower GI'!O4</f>
        <v>28.219978816423612</v>
      </c>
      <c r="H14" s="16">
        <f>Components!R8</f>
        <v>4.9249999999999998</v>
      </c>
    </row>
    <row r="15" spans="2:8">
      <c r="F15" s="17" t="s">
        <v>183</v>
      </c>
      <c r="G15" s="18">
        <f>'Lower GI'!O5</f>
        <v>32.562961598174397</v>
      </c>
      <c r="H15" s="16">
        <f>Components!$R$9</f>
        <v>5.915</v>
      </c>
    </row>
    <row r="16" spans="2:8">
      <c r="F16" s="17" t="s">
        <v>184</v>
      </c>
      <c r="G16" s="18">
        <f>'Lower GI'!O6</f>
        <v>8.2523075551327754</v>
      </c>
      <c r="H16" s="16">
        <f>Components!$R$9</f>
        <v>5.915</v>
      </c>
    </row>
    <row r="18" spans="6:8">
      <c r="F18" s="17" t="s">
        <v>191</v>
      </c>
      <c r="G18" s="18">
        <f>SUM(G2:G16)</f>
        <v>2093.0185180326876</v>
      </c>
      <c r="H18" s="16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33D9-B4D1-454D-BB52-324D35555065}">
  <dimension ref="B1:G17"/>
  <sheetViews>
    <sheetView workbookViewId="0">
      <selection activeCell="F8" sqref="F8:G8"/>
    </sheetView>
  </sheetViews>
  <sheetFormatPr defaultRowHeight="15"/>
  <cols>
    <col min="2" max="2" width="18.42578125" bestFit="1" customWidth="1"/>
    <col min="3" max="3" width="12.85546875" bestFit="1" customWidth="1"/>
    <col min="6" max="6" width="20.85546875" bestFit="1" customWidth="1"/>
    <col min="7" max="7" width="12.85546875" bestFit="1" customWidth="1"/>
  </cols>
  <sheetData>
    <row r="1" spans="2:7">
      <c r="B1" s="27" t="s">
        <v>95</v>
      </c>
      <c r="C1" s="27" t="s">
        <v>192</v>
      </c>
      <c r="F1" s="16" t="s">
        <v>185</v>
      </c>
      <c r="G1" s="16" t="s">
        <v>192</v>
      </c>
    </row>
    <row r="2" spans="2:7">
      <c r="B2" s="27" t="s">
        <v>62</v>
      </c>
      <c r="C2" s="28">
        <f>'Upper GI'!D4*4/Components!$R$2</f>
        <v>12.57168933791047</v>
      </c>
      <c r="F2" s="16" t="s">
        <v>62</v>
      </c>
      <c r="G2" s="18">
        <f>'Upper GI'!C19</f>
        <v>0</v>
      </c>
    </row>
    <row r="3" spans="2:7">
      <c r="B3" s="27" t="s">
        <v>59</v>
      </c>
      <c r="C3" s="28">
        <f>'Upper GI'!D5*4/Components!$R$2</f>
        <v>12.57168933791047</v>
      </c>
      <c r="F3" s="16" t="s">
        <v>59</v>
      </c>
      <c r="G3" s="18">
        <f>'Upper GI'!C20</f>
        <v>0</v>
      </c>
    </row>
    <row r="4" spans="2:7">
      <c r="B4" s="27" t="s">
        <v>60</v>
      </c>
      <c r="C4" s="28">
        <f>'Upper GI'!D6*4/Components!$R$2</f>
        <v>292.1950357543401</v>
      </c>
      <c r="F4" s="16" t="s">
        <v>60</v>
      </c>
      <c r="G4" s="18">
        <f>'Upper GI'!C21</f>
        <v>269.54992048337874</v>
      </c>
    </row>
    <row r="5" spans="2:7">
      <c r="B5" s="27" t="s">
        <v>22</v>
      </c>
      <c r="C5" s="28">
        <f>'Upper GI'!D8*4/Components!R3</f>
        <v>67.219921736019501</v>
      </c>
      <c r="F5" s="16" t="s">
        <v>189</v>
      </c>
      <c r="G5" s="18">
        <f>'Upper GI'!C22</f>
        <v>-3.3762397130196238</v>
      </c>
    </row>
    <row r="6" spans="2:7">
      <c r="B6" s="27" t="s">
        <v>23</v>
      </c>
      <c r="C6" s="28">
        <f>'Upper GI'!D9*9/Components!R4</f>
        <v>210.84389631333562</v>
      </c>
      <c r="F6" s="16" t="s">
        <v>22</v>
      </c>
      <c r="G6" s="18"/>
    </row>
    <row r="7" spans="2:7">
      <c r="B7" s="27" t="s">
        <v>96</v>
      </c>
      <c r="C7" s="28">
        <f>SUM(C2:C6)</f>
        <v>595.40223247951621</v>
      </c>
      <c r="F7" s="17" t="s">
        <v>106</v>
      </c>
      <c r="G7" s="20">
        <f>'Upper GI'!C23</f>
        <v>79.794496520580182</v>
      </c>
    </row>
    <row r="8" spans="2:7">
      <c r="F8" s="16" t="s">
        <v>23</v>
      </c>
      <c r="G8" s="18"/>
    </row>
    <row r="9" spans="2:7">
      <c r="F9" s="17" t="s">
        <v>186</v>
      </c>
      <c r="G9" s="18">
        <f>'Upper GI'!C24</f>
        <v>206.02236198118581</v>
      </c>
    </row>
    <row r="10" spans="2:7">
      <c r="F10" s="17" t="s">
        <v>187</v>
      </c>
      <c r="G10" s="18">
        <f>'Lower GI'!I21+'Lower GI'!I22</f>
        <v>5.8039171637196842</v>
      </c>
    </row>
    <row r="11" spans="2:7">
      <c r="F11" s="16" t="s">
        <v>188</v>
      </c>
      <c r="G11" s="18"/>
    </row>
    <row r="12" spans="2:7">
      <c r="F12" s="17" t="s">
        <v>44</v>
      </c>
      <c r="G12" s="18">
        <f>'Lower GI'!I14</f>
        <v>23.12626425162625</v>
      </c>
    </row>
    <row r="13" spans="2:7">
      <c r="F13" s="17" t="s">
        <v>42</v>
      </c>
      <c r="G13" s="18">
        <f>'Lower GI'!I15</f>
        <v>8.6723490943598431</v>
      </c>
    </row>
    <row r="14" spans="2:7">
      <c r="F14" s="17" t="s">
        <v>183</v>
      </c>
      <c r="G14" s="18">
        <f>'Lower GI'!I16</f>
        <v>10.009363436002275</v>
      </c>
    </row>
    <row r="15" spans="2:7">
      <c r="F15" s="17" t="s">
        <v>184</v>
      </c>
      <c r="G15" s="18">
        <f>'Lower GI'!I17</f>
        <v>2.5366349205049645</v>
      </c>
    </row>
    <row r="17" spans="6:7">
      <c r="F17" s="17" t="s">
        <v>191</v>
      </c>
      <c r="G17" s="18">
        <f>SUM(G2:G15)</f>
        <v>602.13906813833808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Parameters</vt:lpstr>
      <vt:lpstr>Dietary Input</vt:lpstr>
      <vt:lpstr>Upper GI</vt:lpstr>
      <vt:lpstr>Lower GI</vt:lpstr>
      <vt:lpstr>Components</vt:lpstr>
      <vt:lpstr>Reactions</vt:lpstr>
      <vt:lpstr>Metabolizable Energy</vt:lpstr>
      <vt:lpstr>Metabolizable COD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marcus</dc:creator>
  <cp:lastModifiedBy>Andrew Marcus</cp:lastModifiedBy>
  <dcterms:created xsi:type="dcterms:W3CDTF">2020-11-20T17:49:03Z</dcterms:created>
  <dcterms:modified xsi:type="dcterms:W3CDTF">2021-05-10T21:20:30Z</dcterms:modified>
</cp:coreProperties>
</file>