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AADB4FF6-A3C4-4DCC-96A2-DC211A1B04F8}" xr6:coauthVersionLast="47" xr6:coauthVersionMax="47" xr10:uidLastSave="{00000000-0000-0000-0000-000000000000}"/>
  <bookViews>
    <workbookView xWindow="5385" yWindow="-16320" windowWidth="29040" windowHeight="15720" activeTab="3" xr2:uid="{00000000-000D-0000-FFFF-FFFF00000000}"/>
  </bookViews>
  <sheets>
    <sheet name="General_Data_Assumption" sheetId="4" r:id="rId1"/>
    <sheet name="Input" sheetId="1" r:id="rId2"/>
    <sheet name="Transformation" sheetId="3" r:id="rId3"/>
    <sheet name="_capex" sheetId="2" r:id="rId4"/>
  </sheets>
  <definedNames>
    <definedName name="_xlnm._FilterDatabase" localSheetId="1" hidden="1">Input!$A$2:$K$78</definedName>
    <definedName name="_xlnm._FilterDatabase" localSheetId="2" hidden="1">Transformation!$A$1:$G$1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2" l="1"/>
  <c r="C182" i="2"/>
  <c r="C181" i="2"/>
  <c r="C180" i="2"/>
  <c r="C179" i="2"/>
  <c r="C25" i="2"/>
  <c r="D82" i="3" l="1"/>
  <c r="D76" i="3"/>
  <c r="D75" i="3"/>
  <c r="D74" i="3"/>
  <c r="D73" i="3"/>
  <c r="D72" i="3"/>
  <c r="D71" i="3"/>
  <c r="D66" i="3"/>
  <c r="D67" i="3"/>
  <c r="D68" i="3"/>
  <c r="D69" i="3"/>
  <c r="D70" i="3"/>
  <c r="D65" i="3"/>
  <c r="D64" i="3"/>
  <c r="D63" i="3"/>
  <c r="D62" i="3"/>
  <c r="D61" i="3"/>
  <c r="D60" i="3"/>
  <c r="D59" i="3"/>
  <c r="D54" i="3"/>
  <c r="D55" i="3"/>
  <c r="D56" i="3"/>
  <c r="D57" i="3"/>
  <c r="D58" i="3"/>
  <c r="D53" i="3"/>
  <c r="D52" i="3"/>
  <c r="D51" i="3"/>
  <c r="D50" i="3"/>
  <c r="D49" i="3"/>
  <c r="D48" i="3"/>
  <c r="C174" i="2"/>
  <c r="C175" i="2"/>
  <c r="C176" i="2"/>
  <c r="C177" i="2"/>
  <c r="C173" i="2"/>
  <c r="E106" i="1"/>
  <c r="E111" i="1"/>
  <c r="B35" i="2" l="1"/>
  <c r="B33" i="2"/>
  <c r="B30" i="2"/>
  <c r="B28" i="2"/>
  <c r="B5" i="2"/>
  <c r="B3" i="2"/>
  <c r="D119" i="3"/>
  <c r="D121" i="3" s="1"/>
  <c r="D118" i="3"/>
  <c r="D107" i="3"/>
  <c r="D108" i="3"/>
  <c r="D109" i="3"/>
  <c r="D110" i="3"/>
  <c r="D111" i="3"/>
  <c r="D112" i="3"/>
  <c r="D113" i="3"/>
  <c r="D114" i="3"/>
  <c r="D115" i="3"/>
  <c r="D116" i="3"/>
  <c r="D117" i="3"/>
  <c r="D106" i="3"/>
  <c r="E117" i="1"/>
  <c r="E100" i="1"/>
  <c r="E122" i="1"/>
  <c r="E116" i="1"/>
  <c r="E105" i="1"/>
  <c r="E119" i="1" l="1"/>
  <c r="D84" i="3" s="1"/>
  <c r="D123" i="3"/>
  <c r="D122" i="3" s="1"/>
  <c r="D120" i="3"/>
  <c r="D87" i="3"/>
  <c r="E120" i="1"/>
  <c r="D85" i="3" s="1"/>
  <c r="D81" i="3"/>
  <c r="E118" i="1"/>
  <c r="D83" i="3" s="1"/>
  <c r="E121" i="1"/>
  <c r="D86" i="3" s="1"/>
  <c r="E104" i="1"/>
  <c r="E115" i="1"/>
  <c r="D80" i="3" s="1"/>
  <c r="E113" i="1"/>
  <c r="D78" i="3" s="1"/>
  <c r="E114" i="1"/>
  <c r="D79" i="3" s="1"/>
  <c r="E112" i="1"/>
  <c r="E101" i="1"/>
  <c r="E102" i="1"/>
  <c r="E103" i="1"/>
  <c r="E93" i="1"/>
  <c r="D22" i="3" s="1"/>
  <c r="D24" i="3" s="1"/>
  <c r="D17" i="3"/>
  <c r="D21" i="3" s="1"/>
  <c r="F3" i="4"/>
  <c r="D46" i="3" s="1"/>
  <c r="D39" i="3"/>
  <c r="D38" i="3"/>
  <c r="D37" i="3"/>
  <c r="D36" i="3"/>
  <c r="E70" i="1"/>
  <c r="E68" i="1"/>
  <c r="E66" i="1"/>
  <c r="E65" i="1"/>
  <c r="D35" i="3" s="1"/>
  <c r="E63" i="1"/>
  <c r="D33" i="3" s="1"/>
  <c r="E61" i="1"/>
  <c r="D31" i="3" s="1"/>
  <c r="D28" i="3"/>
  <c r="D30" i="3"/>
  <c r="D26" i="3"/>
  <c r="B29" i="3"/>
  <c r="B27" i="3"/>
  <c r="F22" i="4"/>
  <c r="D16" i="3"/>
  <c r="D14" i="3"/>
  <c r="D12" i="3"/>
  <c r="D6" i="3"/>
  <c r="D4" i="3"/>
  <c r="D2" i="3"/>
  <c r="F11" i="4"/>
  <c r="F7" i="4"/>
  <c r="D9" i="3" s="1"/>
  <c r="D77" i="3" l="1"/>
  <c r="E107" i="1"/>
  <c r="E108" i="1" s="1"/>
  <c r="E109" i="1" s="1"/>
  <c r="E110" i="1" s="1"/>
  <c r="D23" i="3"/>
  <c r="D25" i="3"/>
  <c r="D47" i="3"/>
  <c r="D40" i="3"/>
  <c r="D41" i="3"/>
  <c r="D42" i="3"/>
  <c r="D43" i="3"/>
  <c r="D44" i="3"/>
  <c r="D45" i="3"/>
  <c r="D20" i="3"/>
  <c r="D19" i="3"/>
  <c r="D18" i="3"/>
  <c r="E69" i="1"/>
  <c r="D7" i="3"/>
  <c r="D11" i="3"/>
  <c r="E64" i="1"/>
  <c r="D34" i="3" s="1"/>
  <c r="E62" i="1"/>
  <c r="D32" i="3" s="1"/>
  <c r="E67" i="1"/>
  <c r="D3" i="3"/>
  <c r="D5" i="3"/>
  <c r="B34" i="3"/>
  <c r="B32" i="3"/>
  <c r="B5" i="3"/>
  <c r="B3" i="3"/>
  <c r="B69" i="1"/>
  <c r="B67" i="1"/>
  <c r="B64" i="1"/>
  <c r="B62" i="1"/>
  <c r="E35" i="1"/>
  <c r="D15" i="3" s="1"/>
  <c r="E33" i="1"/>
  <c r="D13" i="3" s="1"/>
  <c r="E59" i="1"/>
  <c r="D29" i="3" s="1"/>
  <c r="E57" i="1"/>
  <c r="D27" i="3" s="1"/>
  <c r="B59" i="1"/>
  <c r="B57" i="1"/>
  <c r="E54" i="1"/>
  <c r="E52" i="1"/>
  <c r="B54" i="1"/>
  <c r="B52" i="1"/>
  <c r="E30" i="1" l="1"/>
  <c r="D10" i="3" s="1"/>
  <c r="E28" i="1"/>
  <c r="D8" i="3" s="1"/>
  <c r="B49" i="1"/>
  <c r="B47" i="1"/>
  <c r="E49" i="1"/>
  <c r="E47" i="1"/>
  <c r="E44" i="1"/>
  <c r="E42" i="1"/>
  <c r="E25" i="1"/>
  <c r="E23" i="1"/>
</calcChain>
</file>

<file path=xl/sharedStrings.xml><?xml version="1.0" encoding="utf-8"?>
<sst xmlns="http://schemas.openxmlformats.org/spreadsheetml/2006/main" count="1380" uniqueCount="175">
  <si>
    <t>process</t>
  </si>
  <si>
    <t>year</t>
  </si>
  <si>
    <t>parameter</t>
  </si>
  <si>
    <t>Fichtner_Value</t>
  </si>
  <si>
    <t>Other_Value</t>
  </si>
  <si>
    <t>unit</t>
  </si>
  <si>
    <t>source</t>
  </si>
  <si>
    <t>further description</t>
  </si>
  <si>
    <t>Ft</t>
  </si>
  <si>
    <t>capex</t>
  </si>
  <si>
    <t>EUR/MW_FT</t>
  </si>
  <si>
    <t>Agora Energiewende (2018): The Future Cost of Electricity-Based Synthetic Fuels (https://www.agora-energiewende.de/en/publications/the-future-cost-of-electricity-based-synthetic-fuels-1/), table 8: “Reference scenario”.</t>
  </si>
  <si>
    <t>Well developed technology, no significant learning expected.</t>
  </si>
  <si>
    <t>Hb</t>
  </si>
  <si>
    <t>Danish Energy Agency, data_sheets_for_renewable_fuels.xlsx</t>
  </si>
  <si>
    <t>Smrcc</t>
  </si>
  <si>
    <t>Smr</t>
  </si>
  <si>
    <t>Dri</t>
  </si>
  <si>
    <t>488.34 EUR/t_HBI output/a. MPP steel tool uses CAPEX/OPEX for technology ‘DRI-EAF_100% green H2’, substract ‘EAF’ CAPEX here to estimate DRI furnace cost.</t>
  </si>
  <si>
    <t>Eaf</t>
  </si>
  <si>
    <t>210 EUR/t_steel output/a. MPP steel tool uses CAPEX/OPEX for technology ‘EAF’.</t>
  </si>
  <si>
    <t>Mtk</t>
  </si>
  <si>
    <t>EUR/MW_kerosene</t>
  </si>
  <si>
    <t>Concawe (2022): E-Fuels: A technoeconomic assessment of European domestic production and imports towards 2050 (https://www.concawe.eu/wp-content/uploads/Rpt_22-17.pdf), table 94.</t>
  </si>
  <si>
    <t>Mto/a</t>
  </si>
  <si>
    <t>EUR/(t_HVC/a)</t>
  </si>
  <si>
    <t>DECHEMA 2017: DECHEMA: Low carbon energy and feedstock for the European chemical industry (https://dechema.de/dechema_media/Downloads/Positionspapiere/Technology_study_Low_carbon_energy_and_feedstock_for_the_European_chemical_industry.pdf), Table 35</t>
  </si>
  <si>
    <t>Assuming CAPEX of 1200 €/t actually given in €/(t/a).</t>
  </si>
  <si>
    <t>El</t>
  </si>
  <si>
    <t>EUR/kW_e</t>
  </si>
  <si>
    <t>private communications; IEA https://iea.blob.core.windows.net/assets/9e0c82d4-06d2-496b-9542-f184ba803645/TheRoleofE-fuelsinDecarbonisingTransport.pdf</t>
  </si>
  <si>
    <t>Btm</t>
  </si>
  <si>
    <t>EUR/kW_MeOH</t>
  </si>
  <si>
    <t>Dac</t>
  </si>
  <si>
    <t>EUR/(tCO2/h)</t>
  </si>
  <si>
    <t>Danish Energy Agency, technology_data_for_carbon_capture_transport_storage.xlsx</t>
  </si>
  <si>
    <t>Asu</t>
  </si>
  <si>
    <t>EUR/t_N2/h</t>
  </si>
  <si>
    <t>EUR/kW_NH3</t>
  </si>
  <si>
    <t>Offwind</t>
  </si>
  <si>
    <t>Onwind</t>
  </si>
  <si>
    <t>Pv</t>
  </si>
  <si>
    <t>EUR/MW_e, 2020</t>
  </si>
  <si>
    <t>Danish Energy Agency, technology_data_for_el_and_dh.xlsx</t>
  </si>
  <si>
    <t>21 Offshore turbines:  Nominal investment [MEUR/MW_e, 2020] grid connection costs substracted from investment costs</t>
  </si>
  <si>
    <t>EUR/MW</t>
  </si>
  <si>
    <t xml:space="preserve">20 Onshore turbines:  Nominal investment </t>
  </si>
  <si>
    <t>EUR/MW_e</t>
  </si>
  <si>
    <t>22 Utility-scale PV:  Nominal investment [2020-MEUR/MW_e]</t>
  </si>
  <si>
    <t>MeOHSyn1</t>
  </si>
  <si>
    <t>EUR/MW_MeOH</t>
  </si>
  <si>
    <t>MeOHSyn2</t>
  </si>
  <si>
    <t>Unit</t>
  </si>
  <si>
    <t>Value</t>
  </si>
  <si>
    <t>General Assumption</t>
  </si>
  <si>
    <t>Process</t>
  </si>
  <si>
    <t>Output Parameter</t>
  </si>
  <si>
    <t>Comment</t>
  </si>
  <si>
    <t>Lower Heating Value of hydrogen</t>
  </si>
  <si>
    <t>kWh/kg</t>
  </si>
  <si>
    <t>Lower Heating Value of methanol</t>
  </si>
  <si>
    <t>MJ/kg</t>
  </si>
  <si>
    <t>NH3lP</t>
  </si>
  <si>
    <t>Average ASU Capacity</t>
  </si>
  <si>
    <t>ASU</t>
  </si>
  <si>
    <t>Capex</t>
  </si>
  <si>
    <t>tN/d</t>
  </si>
  <si>
    <t>tN/h</t>
  </si>
  <si>
    <t>h</t>
  </si>
  <si>
    <t>Lifetime</t>
  </si>
  <si>
    <t>years</t>
  </si>
  <si>
    <t>kWh MeOH/kg MeOH</t>
  </si>
  <si>
    <t>Electricity Consumption</t>
  </si>
  <si>
    <t>EL</t>
  </si>
  <si>
    <t>kWh Electricity/kg</t>
  </si>
  <si>
    <t>Efficiency</t>
  </si>
  <si>
    <t>%</t>
  </si>
  <si>
    <t>Average Full Load Hours</t>
  </si>
  <si>
    <t>DAC</t>
  </si>
  <si>
    <t>Hourly Output</t>
  </si>
  <si>
    <t>tCO2/h</t>
  </si>
  <si>
    <t>Capturing CO2 from the atmosphere: Design and analysis of a large-scale DAC facility, https://www.sciencedirect.com/science/article/pii/S2772656822000318</t>
  </si>
  <si>
    <t>Yearly Output</t>
  </si>
  <si>
    <t>ktCO2/y</t>
  </si>
  <si>
    <t>Hydrogen Output Electrolyser</t>
  </si>
  <si>
    <t>kg H2/ kWh</t>
  </si>
  <si>
    <t>EUR/tH2</t>
  </si>
  <si>
    <t xml:space="preserve">Based on €/kW * (1/800h) / ( 1/50 kg/kWh) </t>
  </si>
  <si>
    <t>Lower Heating Value of Ammonia</t>
  </si>
  <si>
    <t>Based on €/kW NH3 * (1/8000 h ) * kWh NH3/kg</t>
  </si>
  <si>
    <t>* tCO2/Year / 136 kt*1000/Year</t>
  </si>
  <si>
    <t>Literature review: Investment costs of methanisation: The Future Cost of Electricity-Based
Synthetic Fuels, Agora</t>
  </si>
  <si>
    <t>https://www.agora-energiewende.de/fileadmin/Projekte/2017/SynKost_2050/Agora_SynKost_Study_EN_WEB.pdf</t>
  </si>
  <si>
    <t xml:space="preserve">US Dollar/ EUR </t>
  </si>
  <si>
    <t>USD/kgH2</t>
  </si>
  <si>
    <t>https://www.sciencedirect.com/science/article/pii/S2666790822001574</t>
  </si>
  <si>
    <t>Analysis of hydrogen production costs in Steam-Methane Reforming considering integration with electrolysis and CO2 capture</t>
  </si>
  <si>
    <t>$/kg H2</t>
  </si>
  <si>
    <t>CTS</t>
  </si>
  <si>
    <t>$/kg H3</t>
  </si>
  <si>
    <t>$/kg H4</t>
  </si>
  <si>
    <t>$/kg H5</t>
  </si>
  <si>
    <t>$/kg H6</t>
  </si>
  <si>
    <t>Lower Heating Value of Fischer-Tropsch</t>
  </si>
  <si>
    <t>EUR</t>
  </si>
  <si>
    <t>Total Costs</t>
  </si>
  <si>
    <t>https://www.sciencedirect.com/science/article/pii/S2212982021000263?via=ihub#bib0190</t>
  </si>
  <si>
    <t>na</t>
  </si>
  <si>
    <t>t</t>
  </si>
  <si>
    <t>EUR/t</t>
  </si>
  <si>
    <t>Total Capacity</t>
  </si>
  <si>
    <t>Based on on the paper by Zang et. al. (2021) and extrapolated with the cost assumptions of PyPsa</t>
  </si>
  <si>
    <t>Year</t>
  </si>
  <si>
    <t>Para,eter</t>
  </si>
  <si>
    <t>Pypsa Technology Database</t>
  </si>
  <si>
    <t>EUR/t/t_HBI</t>
  </si>
  <si>
    <t>EUR/t_Steel</t>
  </si>
  <si>
    <t>EAF</t>
  </si>
  <si>
    <t>t Steel / t HBI</t>
  </si>
  <si>
    <t>Nto/Nta</t>
  </si>
  <si>
    <t>EUR/(t_HVC/year)</t>
  </si>
  <si>
    <t>Ethylene &amp; Propylene production via Naphtha Steam Cracking</t>
  </si>
  <si>
    <t>Conventional ICE</t>
  </si>
  <si>
    <t>EUR/tPaypload</t>
  </si>
  <si>
    <t>MeOH ICE</t>
  </si>
  <si>
    <t>NH3  ICE</t>
  </si>
  <si>
    <t>capacity</t>
  </si>
  <si>
    <t>Technology Data for Sea Transport (2023). Danish Energy Agency</t>
  </si>
  <si>
    <t>EUR per ship / Payload per Ship</t>
  </si>
  <si>
    <t>NH3 ICE</t>
  </si>
  <si>
    <t>Pypsa Technology Database, Danish Energy Agency, inputs/data_sheets_for_maritime_commercial_freight_and_passenger_transport.xlsx</t>
  </si>
  <si>
    <t>Base Costs from DEA Maritime Transport Cost Database, Extrapolated with Pypsa Cost Assumptions/ Learning Curve</t>
  </si>
  <si>
    <t>H2Eva</t>
  </si>
  <si>
    <t>EUR/MW_H2</t>
  </si>
  <si>
    <t>IRENA (2022): Global Hydrogen Trade to Meet the 1.5° Climate Goal: Technology Review of Hydrogen Carriers, https://www.irena.org/publications/2022/Apr/Global-hydrogen-trade-Part-II , pg. 62f.</t>
  </si>
  <si>
    <t>H2Liq</t>
  </si>
  <si>
    <t>Pypsa Technoloyg Database</t>
  </si>
  <si>
    <t>Adjusted with Lower Heating Value</t>
  </si>
  <si>
    <t>H2gP</t>
  </si>
  <si>
    <t>EUR/MW/km</t>
  </si>
  <si>
    <t>H2gPR</t>
  </si>
  <si>
    <t>LH2S</t>
  </si>
  <si>
    <t>Cihlar et al 2020: http://op.europa.eu/en/publication-detail/-/publication/7e4afa7d-d077-11ea-adf7-01aa75ed71a1/language-en , Table 3-B, based on IEA 2019.</t>
  </si>
  <si>
    <t>LNH3S</t>
  </si>
  <si>
    <t>Cihlar et al 2020 based on IEA 2019, Table 3-B</t>
  </si>
  <si>
    <t>MeOHT</t>
  </si>
  <si>
    <t>Assume comparable tanker as for LOHC transport above, c.f. Runge et al 2020, Table 10, https://papers.ssrn.com/abstract=3623514 .</t>
  </si>
  <si>
    <t>t_H2</t>
  </si>
  <si>
    <t>t_MeOH</t>
  </si>
  <si>
    <t>t_NH3</t>
  </si>
  <si>
    <t>any</t>
  </si>
  <si>
    <t>AmCr</t>
  </si>
  <si>
    <t>$/kgH2</t>
  </si>
  <si>
    <t>Assessment of the economic potential: COx-free hydrogen production from renewables via ammonia decomposition for small-sized H2 refueling stations</t>
  </si>
  <si>
    <t>https://www.sciencedirect.com/science/article/pii/S1364032119304708?casa_token=oDPnUeQu5HoAAAAA:yDb462qyP12dfOYvR42JGkkmkXKc0mxK33Hk39fHVzF25xwQJHQT8Uh6eTeE0xrK47JZynt5cpc</t>
  </si>
  <si>
    <t>Bof</t>
  </si>
  <si>
    <t>SmrCCTS</t>
  </si>
  <si>
    <t>MeOHSyn</t>
  </si>
  <si>
    <t>Mto/Mta</t>
  </si>
  <si>
    <t>A zero CO2 emissions large ship fuelled by an ammonia-hydrogen blend: Reaching the decarbonisation goals - ScienceDirect</t>
  </si>
  <si>
    <t>H2 ICE</t>
  </si>
  <si>
    <t>MWh/ 100 Naut. Mile</t>
  </si>
  <si>
    <t>SmrCC</t>
  </si>
  <si>
    <t>Esc</t>
  </si>
  <si>
    <t>EUR/(t_HVC/h)</t>
  </si>
  <si>
    <t>EUR/tMeOH/a</t>
  </si>
  <si>
    <t>EUR/tCO2/a</t>
  </si>
  <si>
    <t>EUR/tH2/a</t>
  </si>
  <si>
    <t>EUR/tNH3/a</t>
  </si>
  <si>
    <t>EUR/t_HVC/a</t>
  </si>
  <si>
    <t>EUR/t Steel/a</t>
  </si>
  <si>
    <t>EUR/tMGO/a</t>
  </si>
  <si>
    <t>EUR/MW Elec</t>
  </si>
  <si>
    <t>EUR/tN/a</t>
  </si>
  <si>
    <t>EUR/tFT/a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</si>
</sst>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8FB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F1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Border="0">
      <alignment horizontal="center"/>
    </xf>
    <xf numFmtId="3" fontId="8" fillId="3" borderId="0" applyBorder="0"/>
    <xf numFmtId="3" fontId="9" fillId="4" borderId="0" applyBorder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vertical="top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0" fontId="6" fillId="0" borderId="0" xfId="3" applyAlignment="1">
      <alignment wrapText="1"/>
    </xf>
    <xf numFmtId="0" fontId="6" fillId="0" borderId="0" xfId="3"/>
    <xf numFmtId="1" fontId="0" fillId="0" borderId="0" xfId="2" applyNumberFormat="1" applyFont="1"/>
    <xf numFmtId="0" fontId="1" fillId="0" borderId="1" xfId="0" applyFont="1" applyBorder="1" applyAlignment="1">
      <alignment horizontal="center" vertical="top"/>
    </xf>
    <xf numFmtId="0" fontId="6" fillId="0" borderId="0" xfId="3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1" fontId="0" fillId="0" borderId="2" xfId="0" applyNumberFormat="1" applyBorder="1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8">
    <cellStyle name="2023 input" xfId="6" xr:uid="{19CFA333-BD69-4F56-8A01-54E7079F682F}"/>
    <cellStyle name="Komma" xfId="2" builtinId="3"/>
    <cellStyle name="Komma 2" xfId="7" xr:uid="{2CAF8E88-91D3-476A-A70D-DE301DB0D519}"/>
    <cellStyle name="Link" xfId="3" builtinId="8"/>
    <cellStyle name="Link 2" xfId="5" xr:uid="{ED33E686-12C0-41C7-A769-93019586EA37}"/>
    <cellStyle name="Normal 3" xfId="4" xr:uid="{5DFC651C-658D-4A7B-B1C5-F6835AD77551}"/>
    <cellStyle name="Standard" xfId="0" builtinId="0"/>
    <cellStyle name="Standard 2" xfId="1" xr:uid="{A68058F9-C4F4-43E5-A22C-665E5275001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90822001574" TargetMode="External"/><Relationship Id="rId2" Type="http://schemas.openxmlformats.org/officeDocument/2006/relationships/hyperlink" Target="https://www.sciencedirect.com/science/article/pii/S2666790822001574" TargetMode="External"/><Relationship Id="rId1" Type="http://schemas.openxmlformats.org/officeDocument/2006/relationships/hyperlink" Target="https://www.agora-energiewende.de/fileadmin/Projekte/2017/SynKost_2050/Agora_SynKost_Study_EN_WEB.pdf" TargetMode="External"/><Relationship Id="rId4" Type="http://schemas.openxmlformats.org/officeDocument/2006/relationships/hyperlink" Target="https://www.sciencedirect.com/science/article/pii/S2666790822001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247-7F92-4F56-8A95-86469D371B88}">
  <dimension ref="A1:G27"/>
  <sheetViews>
    <sheetView zoomScale="115" zoomScaleNormal="115" workbookViewId="0">
      <selection activeCell="B35" sqref="B35"/>
    </sheetView>
  </sheetViews>
  <sheetFormatPr baseColWidth="10" defaultRowHeight="14.25" x14ac:dyDescent="0.45"/>
  <cols>
    <col min="1" max="1" width="27.265625" bestFit="1" customWidth="1"/>
    <col min="3" max="3" width="17.265625" bestFit="1" customWidth="1"/>
    <col min="4" max="4" width="18.59765625" bestFit="1" customWidth="1"/>
    <col min="5" max="5" width="6.3984375" customWidth="1"/>
  </cols>
  <sheetData>
    <row r="1" spans="1:7" x14ac:dyDescent="0.45">
      <c r="B1" s="18" t="s">
        <v>54</v>
      </c>
      <c r="C1" s="18"/>
      <c r="D1" s="18"/>
      <c r="E1" s="18"/>
      <c r="F1" s="18"/>
      <c r="G1" s="18"/>
    </row>
    <row r="2" spans="1:7" x14ac:dyDescent="0.45">
      <c r="A2" s="4" t="s">
        <v>113</v>
      </c>
      <c r="B2" s="4" t="s">
        <v>55</v>
      </c>
      <c r="C2" s="4" t="s">
        <v>56</v>
      </c>
      <c r="D2" s="4" t="s">
        <v>52</v>
      </c>
      <c r="E2" s="4" t="s">
        <v>112</v>
      </c>
      <c r="F2" s="4" t="s">
        <v>53</v>
      </c>
      <c r="G2" s="4" t="s">
        <v>57</v>
      </c>
    </row>
    <row r="3" spans="1:7" x14ac:dyDescent="0.45">
      <c r="A3" t="s">
        <v>93</v>
      </c>
      <c r="F3">
        <f>1.11</f>
        <v>1.1100000000000001</v>
      </c>
    </row>
    <row r="4" spans="1:7" x14ac:dyDescent="0.45">
      <c r="A4" t="s">
        <v>58</v>
      </c>
      <c r="C4" t="s">
        <v>65</v>
      </c>
      <c r="D4" t="s">
        <v>59</v>
      </c>
      <c r="F4">
        <v>33.6</v>
      </c>
    </row>
    <row r="5" spans="1:7" x14ac:dyDescent="0.45">
      <c r="A5" t="s">
        <v>58</v>
      </c>
      <c r="C5" t="s">
        <v>65</v>
      </c>
      <c r="D5" t="s">
        <v>59</v>
      </c>
      <c r="F5">
        <v>5.3</v>
      </c>
    </row>
    <row r="6" spans="1:7" x14ac:dyDescent="0.45">
      <c r="A6" t="s">
        <v>60</v>
      </c>
      <c r="C6" t="s">
        <v>65</v>
      </c>
      <c r="D6" t="s">
        <v>61</v>
      </c>
      <c r="F6">
        <v>22.7</v>
      </c>
    </row>
    <row r="7" spans="1:7" x14ac:dyDescent="0.45">
      <c r="A7" t="s">
        <v>60</v>
      </c>
      <c r="C7" t="s">
        <v>65</v>
      </c>
      <c r="D7" t="s">
        <v>71</v>
      </c>
      <c r="F7">
        <f>ROUND(F6/3600*1000,2)</f>
        <v>6.31</v>
      </c>
    </row>
    <row r="8" spans="1:7" x14ac:dyDescent="0.45">
      <c r="A8" t="s">
        <v>88</v>
      </c>
      <c r="C8" t="s">
        <v>65</v>
      </c>
      <c r="D8" t="s">
        <v>59</v>
      </c>
      <c r="F8">
        <v>5.2</v>
      </c>
    </row>
    <row r="9" spans="1:7" x14ac:dyDescent="0.45">
      <c r="A9" t="s">
        <v>103</v>
      </c>
      <c r="C9" t="s">
        <v>65</v>
      </c>
      <c r="D9" t="s">
        <v>61</v>
      </c>
      <c r="F9">
        <v>44</v>
      </c>
    </row>
    <row r="10" spans="1:7" x14ac:dyDescent="0.45">
      <c r="A10" t="s">
        <v>63</v>
      </c>
      <c r="B10" t="s">
        <v>64</v>
      </c>
      <c r="C10" t="s">
        <v>65</v>
      </c>
      <c r="D10" t="s">
        <v>66</v>
      </c>
      <c r="F10">
        <v>5500</v>
      </c>
    </row>
    <row r="11" spans="1:7" x14ac:dyDescent="0.45">
      <c r="A11" t="s">
        <v>63</v>
      </c>
      <c r="B11" t="s">
        <v>64</v>
      </c>
      <c r="C11" t="s">
        <v>65</v>
      </c>
      <c r="D11" t="s">
        <v>67</v>
      </c>
      <c r="F11">
        <f>ROUND(F10/24,0)</f>
        <v>229</v>
      </c>
    </row>
    <row r="12" spans="1:7" x14ac:dyDescent="0.45">
      <c r="A12" t="s">
        <v>77</v>
      </c>
      <c r="B12" t="s">
        <v>64</v>
      </c>
      <c r="C12" t="s">
        <v>65</v>
      </c>
      <c r="D12" t="s">
        <v>68</v>
      </c>
      <c r="F12">
        <v>8000</v>
      </c>
    </row>
    <row r="13" spans="1:7" x14ac:dyDescent="0.45">
      <c r="A13" t="s">
        <v>77</v>
      </c>
      <c r="B13" t="s">
        <v>78</v>
      </c>
      <c r="C13" t="s">
        <v>65</v>
      </c>
      <c r="D13" t="s">
        <v>68</v>
      </c>
      <c r="F13">
        <v>8000</v>
      </c>
    </row>
    <row r="14" spans="1:7" x14ac:dyDescent="0.45">
      <c r="A14" t="s">
        <v>77</v>
      </c>
      <c r="B14" t="s">
        <v>73</v>
      </c>
      <c r="C14" t="s">
        <v>65</v>
      </c>
      <c r="D14" t="s">
        <v>68</v>
      </c>
      <c r="F14">
        <v>8200</v>
      </c>
    </row>
    <row r="15" spans="1:7" x14ac:dyDescent="0.45">
      <c r="A15" t="s">
        <v>79</v>
      </c>
      <c r="B15" t="s">
        <v>78</v>
      </c>
      <c r="C15" t="s">
        <v>65</v>
      </c>
      <c r="D15" t="s">
        <v>80</v>
      </c>
      <c r="F15">
        <v>16</v>
      </c>
      <c r="G15" t="s">
        <v>81</v>
      </c>
    </row>
    <row r="16" spans="1:7" x14ac:dyDescent="0.45">
      <c r="A16" t="s">
        <v>82</v>
      </c>
      <c r="B16" t="s">
        <v>78</v>
      </c>
      <c r="C16" t="s">
        <v>65</v>
      </c>
      <c r="D16" t="s">
        <v>83</v>
      </c>
      <c r="F16">
        <v>137</v>
      </c>
    </row>
    <row r="17" spans="1:7" x14ac:dyDescent="0.45">
      <c r="A17" t="s">
        <v>63</v>
      </c>
      <c r="B17" t="s">
        <v>64</v>
      </c>
      <c r="C17" t="s">
        <v>69</v>
      </c>
      <c r="D17" t="s">
        <v>70</v>
      </c>
      <c r="F17">
        <v>20</v>
      </c>
    </row>
    <row r="18" spans="1:7" x14ac:dyDescent="0.45">
      <c r="A18" t="s">
        <v>72</v>
      </c>
      <c r="B18" t="s">
        <v>73</v>
      </c>
      <c r="C18" t="s">
        <v>65</v>
      </c>
      <c r="D18" t="s">
        <v>74</v>
      </c>
      <c r="F18">
        <v>53</v>
      </c>
    </row>
    <row r="19" spans="1:7" x14ac:dyDescent="0.45">
      <c r="A19" t="s">
        <v>72</v>
      </c>
      <c r="B19" t="s">
        <v>13</v>
      </c>
      <c r="C19" t="s">
        <v>65</v>
      </c>
      <c r="D19" t="s">
        <v>74</v>
      </c>
      <c r="F19">
        <v>11.7</v>
      </c>
    </row>
    <row r="20" spans="1:7" x14ac:dyDescent="0.45">
      <c r="A20" t="s">
        <v>75</v>
      </c>
      <c r="B20" t="s">
        <v>28</v>
      </c>
      <c r="C20" t="s">
        <v>65</v>
      </c>
      <c r="D20" t="s">
        <v>76</v>
      </c>
      <c r="E20">
        <v>2030</v>
      </c>
      <c r="F20">
        <v>0.65</v>
      </c>
    </row>
    <row r="21" spans="1:7" x14ac:dyDescent="0.45">
      <c r="A21" t="s">
        <v>75</v>
      </c>
      <c r="B21" t="s">
        <v>117</v>
      </c>
      <c r="C21" t="s">
        <v>65</v>
      </c>
      <c r="D21" t="s">
        <v>118</v>
      </c>
      <c r="E21">
        <v>2050</v>
      </c>
      <c r="F21">
        <v>0.95</v>
      </c>
    </row>
    <row r="22" spans="1:7" ht="17.25" customHeight="1" x14ac:dyDescent="0.45">
      <c r="A22" t="s">
        <v>84</v>
      </c>
      <c r="B22" t="s">
        <v>28</v>
      </c>
      <c r="C22" t="s">
        <v>65</v>
      </c>
      <c r="D22" t="s">
        <v>85</v>
      </c>
      <c r="F22">
        <f>1/32.95</f>
        <v>3.0349013657056143E-2</v>
      </c>
    </row>
    <row r="23" spans="1:7" x14ac:dyDescent="0.45">
      <c r="A23" t="s">
        <v>62</v>
      </c>
      <c r="C23" t="s">
        <v>65</v>
      </c>
      <c r="D23" t="s">
        <v>59</v>
      </c>
      <c r="F23">
        <v>0.7</v>
      </c>
    </row>
    <row r="24" spans="1:7" x14ac:dyDescent="0.45">
      <c r="A24" t="s">
        <v>145</v>
      </c>
      <c r="B24">
        <v>2050</v>
      </c>
      <c r="C24" t="s">
        <v>9</v>
      </c>
      <c r="E24">
        <v>35000000</v>
      </c>
      <c r="F24" t="s">
        <v>104</v>
      </c>
      <c r="G24" t="s">
        <v>146</v>
      </c>
    </row>
    <row r="25" spans="1:7" x14ac:dyDescent="0.45">
      <c r="A25" t="s">
        <v>141</v>
      </c>
      <c r="B25" t="s">
        <v>150</v>
      </c>
      <c r="C25" t="s">
        <v>126</v>
      </c>
      <c r="E25">
        <v>11000</v>
      </c>
      <c r="F25" t="s">
        <v>147</v>
      </c>
      <c r="G25" t="s">
        <v>142</v>
      </c>
    </row>
    <row r="26" spans="1:7" x14ac:dyDescent="0.45">
      <c r="A26" t="s">
        <v>143</v>
      </c>
      <c r="B26" t="s">
        <v>150</v>
      </c>
      <c r="C26" t="s">
        <v>126</v>
      </c>
      <c r="E26">
        <v>53000</v>
      </c>
      <c r="F26" t="s">
        <v>149</v>
      </c>
      <c r="G26" t="s">
        <v>144</v>
      </c>
    </row>
    <row r="27" spans="1:7" x14ac:dyDescent="0.45">
      <c r="A27" t="s">
        <v>145</v>
      </c>
      <c r="B27" t="s">
        <v>150</v>
      </c>
      <c r="C27" t="s">
        <v>126</v>
      </c>
      <c r="E27">
        <v>75000</v>
      </c>
      <c r="F27" t="s">
        <v>148</v>
      </c>
      <c r="G27" t="s">
        <v>146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zoomScaleNormal="100" workbookViewId="0">
      <selection activeCell="F15" sqref="F15"/>
    </sheetView>
  </sheetViews>
  <sheetFormatPr baseColWidth="10" defaultColWidth="9.1328125" defaultRowHeight="14.25" x14ac:dyDescent="0.45"/>
  <cols>
    <col min="1" max="1" width="16.1328125" bestFit="1" customWidth="1"/>
    <col min="2" max="2" width="7.1328125" bestFit="1" customWidth="1"/>
    <col min="3" max="3" width="13.86328125" bestFit="1" customWidth="1"/>
    <col min="4" max="4" width="19.86328125" bestFit="1" customWidth="1"/>
    <col min="5" max="5" width="14.86328125" bestFit="1" customWidth="1"/>
    <col min="6" max="6" width="51.3984375" customWidth="1"/>
    <col min="7" max="7" width="100.1328125" customWidth="1"/>
    <col min="8" max="8" width="12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2020</v>
      </c>
      <c r="C2" t="s">
        <v>9</v>
      </c>
      <c r="E2">
        <v>793471.74763531797</v>
      </c>
      <c r="F2" t="s">
        <v>10</v>
      </c>
      <c r="G2" t="s">
        <v>11</v>
      </c>
      <c r="H2" t="s">
        <v>12</v>
      </c>
    </row>
    <row r="3" spans="1:8" x14ac:dyDescent="0.45">
      <c r="A3" t="s">
        <v>8</v>
      </c>
      <c r="B3">
        <v>2030</v>
      </c>
      <c r="C3" t="s">
        <v>9</v>
      </c>
      <c r="E3">
        <v>681700.98115320154</v>
      </c>
      <c r="F3" t="s">
        <v>10</v>
      </c>
      <c r="G3" t="s">
        <v>11</v>
      </c>
      <c r="H3" t="s">
        <v>12</v>
      </c>
    </row>
    <row r="4" spans="1:8" x14ac:dyDescent="0.45">
      <c r="A4" t="s">
        <v>8</v>
      </c>
      <c r="B4">
        <v>2040</v>
      </c>
      <c r="C4" t="s">
        <v>9</v>
      </c>
      <c r="E4">
        <v>592586.45113063522</v>
      </c>
      <c r="F4" t="s">
        <v>10</v>
      </c>
      <c r="G4" t="s">
        <v>11</v>
      </c>
      <c r="H4" t="s">
        <v>12</v>
      </c>
    </row>
    <row r="5" spans="1:8" x14ac:dyDescent="0.45">
      <c r="A5" t="s">
        <v>8</v>
      </c>
      <c r="B5">
        <v>2050</v>
      </c>
      <c r="C5" t="s">
        <v>9</v>
      </c>
      <c r="E5">
        <v>503471.92110806878</v>
      </c>
      <c r="F5" t="s">
        <v>10</v>
      </c>
      <c r="G5" t="s">
        <v>11</v>
      </c>
      <c r="H5" t="s">
        <v>12</v>
      </c>
    </row>
    <row r="6" spans="1:8" x14ac:dyDescent="0.45">
      <c r="A6" t="s">
        <v>21</v>
      </c>
      <c r="B6">
        <v>2020</v>
      </c>
      <c r="C6" t="s">
        <v>9</v>
      </c>
      <c r="E6">
        <v>307000</v>
      </c>
      <c r="F6" t="s">
        <v>22</v>
      </c>
      <c r="G6" t="s">
        <v>23</v>
      </c>
    </row>
    <row r="7" spans="1:8" x14ac:dyDescent="0.45">
      <c r="A7" t="s">
        <v>21</v>
      </c>
      <c r="B7">
        <v>2030</v>
      </c>
      <c r="C7" t="s">
        <v>9</v>
      </c>
      <c r="E7">
        <v>269000</v>
      </c>
      <c r="F7" t="s">
        <v>22</v>
      </c>
      <c r="G7" t="s">
        <v>23</v>
      </c>
    </row>
    <row r="8" spans="1:8" x14ac:dyDescent="0.45">
      <c r="A8" t="s">
        <v>21</v>
      </c>
      <c r="B8">
        <v>2040</v>
      </c>
      <c r="C8" t="s">
        <v>9</v>
      </c>
      <c r="E8">
        <v>234500</v>
      </c>
      <c r="F8" t="s">
        <v>22</v>
      </c>
      <c r="G8" t="s">
        <v>23</v>
      </c>
    </row>
    <row r="9" spans="1:8" x14ac:dyDescent="0.45">
      <c r="A9" t="s">
        <v>21</v>
      </c>
      <c r="B9">
        <v>2050</v>
      </c>
      <c r="C9" t="s">
        <v>9</v>
      </c>
      <c r="E9">
        <v>200000</v>
      </c>
      <c r="F9" t="s">
        <v>22</v>
      </c>
      <c r="G9" t="s">
        <v>23</v>
      </c>
    </row>
    <row r="10" spans="1:8" x14ac:dyDescent="0.45">
      <c r="A10" t="s">
        <v>16</v>
      </c>
      <c r="B10">
        <v>2020</v>
      </c>
      <c r="C10" t="s">
        <v>9</v>
      </c>
      <c r="E10">
        <v>0.15</v>
      </c>
      <c r="F10" t="s">
        <v>94</v>
      </c>
      <c r="G10" s="9" t="s">
        <v>95</v>
      </c>
      <c r="H10" t="s">
        <v>96</v>
      </c>
    </row>
    <row r="11" spans="1:8" x14ac:dyDescent="0.45">
      <c r="A11" t="s">
        <v>16</v>
      </c>
      <c r="B11">
        <v>2030</v>
      </c>
      <c r="C11" t="s">
        <v>9</v>
      </c>
      <c r="E11">
        <v>0.15</v>
      </c>
      <c r="F11" t="s">
        <v>94</v>
      </c>
    </row>
    <row r="12" spans="1:8" x14ac:dyDescent="0.45">
      <c r="A12" t="s">
        <v>16</v>
      </c>
      <c r="B12">
        <v>2040</v>
      </c>
      <c r="C12" t="s">
        <v>9</v>
      </c>
      <c r="E12">
        <v>0.15</v>
      </c>
      <c r="F12" t="s">
        <v>94</v>
      </c>
    </row>
    <row r="13" spans="1:8" x14ac:dyDescent="0.45">
      <c r="A13" t="s">
        <v>16</v>
      </c>
      <c r="B13">
        <v>2050</v>
      </c>
      <c r="C13" t="s">
        <v>9</v>
      </c>
      <c r="E13">
        <v>0.15</v>
      </c>
      <c r="F13" t="s">
        <v>94</v>
      </c>
    </row>
    <row r="14" spans="1:8" x14ac:dyDescent="0.45">
      <c r="A14" t="s">
        <v>15</v>
      </c>
      <c r="B14">
        <v>2020</v>
      </c>
      <c r="C14" t="s">
        <v>9</v>
      </c>
      <c r="E14">
        <v>0.28000000000000003</v>
      </c>
      <c r="F14" t="s">
        <v>97</v>
      </c>
      <c r="G14" s="9" t="s">
        <v>95</v>
      </c>
      <c r="H14" t="s">
        <v>96</v>
      </c>
    </row>
    <row r="15" spans="1:8" x14ac:dyDescent="0.45">
      <c r="A15" t="s">
        <v>15</v>
      </c>
      <c r="B15">
        <v>2030</v>
      </c>
      <c r="C15" t="s">
        <v>9</v>
      </c>
      <c r="E15">
        <v>0.28000000000000003</v>
      </c>
      <c r="F15" t="s">
        <v>97</v>
      </c>
    </row>
    <row r="16" spans="1:8" x14ac:dyDescent="0.45">
      <c r="A16" t="s">
        <v>15</v>
      </c>
      <c r="B16">
        <v>2040</v>
      </c>
      <c r="C16" t="s">
        <v>9</v>
      </c>
      <c r="E16">
        <v>0.28000000000000003</v>
      </c>
      <c r="F16" t="s">
        <v>97</v>
      </c>
    </row>
    <row r="17" spans="1:8" x14ac:dyDescent="0.45">
      <c r="A17" t="s">
        <v>15</v>
      </c>
      <c r="B17">
        <v>2050</v>
      </c>
      <c r="C17" t="s">
        <v>9</v>
      </c>
      <c r="E17">
        <v>0.28000000000000003</v>
      </c>
      <c r="F17" t="s">
        <v>97</v>
      </c>
    </row>
    <row r="18" spans="1:8" x14ac:dyDescent="0.45">
      <c r="A18" t="s">
        <v>98</v>
      </c>
      <c r="B18">
        <v>2020</v>
      </c>
      <c r="C18" t="s">
        <v>9</v>
      </c>
      <c r="E18">
        <v>0.28000000000000003</v>
      </c>
      <c r="F18" t="s">
        <v>99</v>
      </c>
      <c r="G18" s="9" t="s">
        <v>95</v>
      </c>
      <c r="H18" t="s">
        <v>96</v>
      </c>
    </row>
    <row r="19" spans="1:8" x14ac:dyDescent="0.45">
      <c r="A19" t="s">
        <v>98</v>
      </c>
      <c r="B19">
        <v>2030</v>
      </c>
      <c r="C19" t="s">
        <v>9</v>
      </c>
      <c r="E19">
        <v>0.28000000000000003</v>
      </c>
      <c r="F19" t="s">
        <v>100</v>
      </c>
    </row>
    <row r="20" spans="1:8" x14ac:dyDescent="0.45">
      <c r="A20" t="s">
        <v>98</v>
      </c>
      <c r="B20">
        <v>2040</v>
      </c>
      <c r="C20" t="s">
        <v>9</v>
      </c>
      <c r="E20">
        <v>0.28000000000000003</v>
      </c>
      <c r="F20" t="s">
        <v>101</v>
      </c>
    </row>
    <row r="21" spans="1:8" x14ac:dyDescent="0.45">
      <c r="A21" t="s">
        <v>98</v>
      </c>
      <c r="B21">
        <v>2050</v>
      </c>
      <c r="C21" t="s">
        <v>9</v>
      </c>
      <c r="E21">
        <v>0.28000000000000003</v>
      </c>
      <c r="F21" t="s">
        <v>102</v>
      </c>
    </row>
    <row r="22" spans="1:8" x14ac:dyDescent="0.45">
      <c r="A22" t="s">
        <v>28</v>
      </c>
      <c r="B22">
        <v>2030</v>
      </c>
      <c r="C22" t="s">
        <v>9</v>
      </c>
      <c r="E22">
        <v>2000</v>
      </c>
      <c r="F22" t="s">
        <v>29</v>
      </c>
      <c r="G22" t="s">
        <v>30</v>
      </c>
    </row>
    <row r="23" spans="1:8" x14ac:dyDescent="0.45">
      <c r="A23" t="s">
        <v>28</v>
      </c>
      <c r="B23">
        <v>2035</v>
      </c>
      <c r="C23" t="s">
        <v>9</v>
      </c>
      <c r="E23">
        <f>(E22+E24)/2</f>
        <v>1600</v>
      </c>
      <c r="F23" t="s">
        <v>29</v>
      </c>
      <c r="G23" t="s">
        <v>30</v>
      </c>
    </row>
    <row r="24" spans="1:8" x14ac:dyDescent="0.45">
      <c r="A24" t="s">
        <v>28</v>
      </c>
      <c r="B24">
        <v>2040</v>
      </c>
      <c r="C24" t="s">
        <v>9</v>
      </c>
      <c r="E24">
        <v>1200</v>
      </c>
      <c r="F24" t="s">
        <v>29</v>
      </c>
      <c r="G24" t="s">
        <v>30</v>
      </c>
    </row>
    <row r="25" spans="1:8" x14ac:dyDescent="0.45">
      <c r="A25" t="s">
        <v>28</v>
      </c>
      <c r="B25">
        <v>2045</v>
      </c>
      <c r="C25" t="s">
        <v>9</v>
      </c>
      <c r="E25">
        <f>(E26+E24)/2</f>
        <v>1100</v>
      </c>
      <c r="F25" t="s">
        <v>29</v>
      </c>
      <c r="G25" t="s">
        <v>30</v>
      </c>
    </row>
    <row r="26" spans="1:8" x14ac:dyDescent="0.45">
      <c r="A26" t="s">
        <v>28</v>
      </c>
      <c r="B26">
        <v>2050</v>
      </c>
      <c r="C26" t="s">
        <v>9</v>
      </c>
      <c r="E26">
        <v>1000</v>
      </c>
      <c r="F26" t="s">
        <v>29</v>
      </c>
      <c r="G26" t="s">
        <v>30</v>
      </c>
    </row>
    <row r="27" spans="1:8" x14ac:dyDescent="0.45">
      <c r="A27" t="s">
        <v>31</v>
      </c>
      <c r="B27">
        <v>2030</v>
      </c>
      <c r="C27" t="s">
        <v>9</v>
      </c>
      <c r="E27" s="2">
        <v>3106.3290999999999</v>
      </c>
      <c r="F27" t="s">
        <v>32</v>
      </c>
      <c r="G27" t="s">
        <v>14</v>
      </c>
    </row>
    <row r="28" spans="1:8" x14ac:dyDescent="0.45">
      <c r="A28" t="s">
        <v>31</v>
      </c>
      <c r="B28">
        <v>2035</v>
      </c>
      <c r="C28" t="s">
        <v>9</v>
      </c>
      <c r="E28" s="2">
        <f>(E27+E29)/2</f>
        <v>2681.01305</v>
      </c>
      <c r="F28" t="s">
        <v>32</v>
      </c>
      <c r="G28" t="s">
        <v>14</v>
      </c>
    </row>
    <row r="29" spans="1:8" x14ac:dyDescent="0.45">
      <c r="A29" t="s">
        <v>31</v>
      </c>
      <c r="B29">
        <v>2040</v>
      </c>
      <c r="C29" t="s">
        <v>9</v>
      </c>
      <c r="E29" s="2">
        <v>2255.6970000000001</v>
      </c>
      <c r="F29" t="s">
        <v>32</v>
      </c>
      <c r="G29" t="s">
        <v>14</v>
      </c>
    </row>
    <row r="30" spans="1:8" x14ac:dyDescent="0.45">
      <c r="A30" t="s">
        <v>31</v>
      </c>
      <c r="B30">
        <v>2045</v>
      </c>
      <c r="C30" t="s">
        <v>9</v>
      </c>
      <c r="E30" s="2">
        <f>(E29+E31)/2</f>
        <v>1904.4308000000001</v>
      </c>
      <c r="F30" t="s">
        <v>32</v>
      </c>
      <c r="G30" t="s">
        <v>14</v>
      </c>
    </row>
    <row r="31" spans="1:8" x14ac:dyDescent="0.45">
      <c r="A31" t="s">
        <v>31</v>
      </c>
      <c r="B31">
        <v>2050</v>
      </c>
      <c r="C31" t="s">
        <v>9</v>
      </c>
      <c r="E31" s="2">
        <v>1553.1646000000001</v>
      </c>
      <c r="F31" t="s">
        <v>32</v>
      </c>
      <c r="G31" t="s">
        <v>14</v>
      </c>
    </row>
    <row r="32" spans="1:8" x14ac:dyDescent="0.45">
      <c r="A32" t="s">
        <v>33</v>
      </c>
      <c r="B32">
        <v>2030</v>
      </c>
      <c r="C32" t="s">
        <v>9</v>
      </c>
      <c r="E32">
        <v>7000000</v>
      </c>
      <c r="F32" t="s">
        <v>34</v>
      </c>
      <c r="G32" t="s">
        <v>35</v>
      </c>
    </row>
    <row r="33" spans="1:8" x14ac:dyDescent="0.45">
      <c r="A33" t="s">
        <v>33</v>
      </c>
      <c r="B33">
        <v>2035</v>
      </c>
      <c r="C33" t="s">
        <v>9</v>
      </c>
      <c r="E33">
        <f>(E32+E34)/2</f>
        <v>6500000</v>
      </c>
      <c r="F33" t="s">
        <v>34</v>
      </c>
    </row>
    <row r="34" spans="1:8" x14ac:dyDescent="0.45">
      <c r="A34" t="s">
        <v>33</v>
      </c>
      <c r="B34">
        <v>2040</v>
      </c>
      <c r="C34" t="s">
        <v>9</v>
      </c>
      <c r="E34">
        <v>6000000</v>
      </c>
      <c r="F34" t="s">
        <v>34</v>
      </c>
    </row>
    <row r="35" spans="1:8" x14ac:dyDescent="0.45">
      <c r="A35" t="s">
        <v>33</v>
      </c>
      <c r="B35">
        <v>2045</v>
      </c>
      <c r="C35" t="s">
        <v>9</v>
      </c>
      <c r="E35">
        <f>(E34+E36)/2</f>
        <v>5000000</v>
      </c>
      <c r="F35" t="s">
        <v>34</v>
      </c>
    </row>
    <row r="36" spans="1:8" x14ac:dyDescent="0.45">
      <c r="A36" t="s">
        <v>33</v>
      </c>
      <c r="B36">
        <v>2050</v>
      </c>
      <c r="C36" t="s">
        <v>9</v>
      </c>
      <c r="E36">
        <v>4000000</v>
      </c>
      <c r="F36" t="s">
        <v>34</v>
      </c>
    </row>
    <row r="37" spans="1:8" x14ac:dyDescent="0.45">
      <c r="A37" t="s">
        <v>24</v>
      </c>
      <c r="B37">
        <v>2020</v>
      </c>
      <c r="C37" t="s">
        <v>9</v>
      </c>
      <c r="E37">
        <v>300</v>
      </c>
      <c r="F37" t="s">
        <v>25</v>
      </c>
      <c r="G37" t="s">
        <v>26</v>
      </c>
      <c r="H37" t="s">
        <v>27</v>
      </c>
    </row>
    <row r="38" spans="1:8" x14ac:dyDescent="0.45">
      <c r="A38" t="s">
        <v>24</v>
      </c>
      <c r="B38">
        <v>2030</v>
      </c>
      <c r="C38" t="s">
        <v>9</v>
      </c>
      <c r="E38">
        <v>300</v>
      </c>
      <c r="F38" t="s">
        <v>25</v>
      </c>
    </row>
    <row r="39" spans="1:8" x14ac:dyDescent="0.45">
      <c r="A39" t="s">
        <v>24</v>
      </c>
      <c r="B39">
        <v>2040</v>
      </c>
      <c r="C39" t="s">
        <v>9</v>
      </c>
      <c r="E39">
        <v>300</v>
      </c>
      <c r="F39" t="s">
        <v>25</v>
      </c>
    </row>
    <row r="40" spans="1:8" x14ac:dyDescent="0.45">
      <c r="A40" t="s">
        <v>24</v>
      </c>
      <c r="B40">
        <v>2050</v>
      </c>
      <c r="C40" t="s">
        <v>9</v>
      </c>
      <c r="E40">
        <v>300</v>
      </c>
      <c r="F40" t="s">
        <v>25</v>
      </c>
    </row>
    <row r="41" spans="1:8" x14ac:dyDescent="0.45">
      <c r="A41" t="s">
        <v>31</v>
      </c>
      <c r="B41">
        <v>2030</v>
      </c>
      <c r="C41" t="s">
        <v>9</v>
      </c>
      <c r="E41" s="2">
        <v>3106.3290999999999</v>
      </c>
      <c r="F41" t="s">
        <v>32</v>
      </c>
      <c r="G41" t="s">
        <v>14</v>
      </c>
    </row>
    <row r="42" spans="1:8" x14ac:dyDescent="0.45">
      <c r="A42" t="s">
        <v>31</v>
      </c>
      <c r="B42">
        <v>2035</v>
      </c>
      <c r="C42" t="s">
        <v>9</v>
      </c>
      <c r="E42" s="2">
        <f>(E41+E43)/2</f>
        <v>2681.01305</v>
      </c>
      <c r="F42" t="s">
        <v>32</v>
      </c>
    </row>
    <row r="43" spans="1:8" x14ac:dyDescent="0.45">
      <c r="A43" t="s">
        <v>31</v>
      </c>
      <c r="B43">
        <v>2040</v>
      </c>
      <c r="C43" t="s">
        <v>9</v>
      </c>
      <c r="E43" s="2">
        <v>2255.6970000000001</v>
      </c>
      <c r="F43" t="s">
        <v>32</v>
      </c>
    </row>
    <row r="44" spans="1:8" x14ac:dyDescent="0.45">
      <c r="A44" t="s">
        <v>31</v>
      </c>
      <c r="B44">
        <v>2045</v>
      </c>
      <c r="C44" t="s">
        <v>9</v>
      </c>
      <c r="E44" s="2">
        <f>(E43+E45)/2</f>
        <v>1904.4308000000001</v>
      </c>
      <c r="F44" t="s">
        <v>32</v>
      </c>
    </row>
    <row r="45" spans="1:8" x14ac:dyDescent="0.45">
      <c r="A45" t="s">
        <v>31</v>
      </c>
      <c r="B45">
        <v>2050</v>
      </c>
      <c r="C45" t="s">
        <v>9</v>
      </c>
      <c r="E45" s="2">
        <v>1553.1646000000001</v>
      </c>
      <c r="F45" t="s">
        <v>32</v>
      </c>
    </row>
    <row r="46" spans="1:8" x14ac:dyDescent="0.45">
      <c r="A46" t="s">
        <v>33</v>
      </c>
      <c r="B46">
        <v>2030</v>
      </c>
      <c r="C46" t="s">
        <v>9</v>
      </c>
      <c r="E46">
        <v>7000000</v>
      </c>
      <c r="F46" t="s">
        <v>34</v>
      </c>
      <c r="G46" t="s">
        <v>35</v>
      </c>
    </row>
    <row r="47" spans="1:8" x14ac:dyDescent="0.45">
      <c r="A47" t="s">
        <v>33</v>
      </c>
      <c r="B47">
        <f>(B46+B48)/2</f>
        <v>2035</v>
      </c>
      <c r="C47" t="s">
        <v>9</v>
      </c>
      <c r="E47">
        <f>(E46+E48)/2</f>
        <v>6500000</v>
      </c>
      <c r="F47" t="s">
        <v>34</v>
      </c>
    </row>
    <row r="48" spans="1:8" x14ac:dyDescent="0.45">
      <c r="A48" t="s">
        <v>33</v>
      </c>
      <c r="B48">
        <v>2040</v>
      </c>
      <c r="C48" t="s">
        <v>9</v>
      </c>
      <c r="E48">
        <v>6000000</v>
      </c>
      <c r="F48" t="s">
        <v>34</v>
      </c>
    </row>
    <row r="49" spans="1:8" x14ac:dyDescent="0.45">
      <c r="A49" t="s">
        <v>33</v>
      </c>
      <c r="B49">
        <f>(B48+B50)/2</f>
        <v>2045</v>
      </c>
      <c r="C49" t="s">
        <v>9</v>
      </c>
      <c r="E49">
        <f>(E48+E50)/2</f>
        <v>5000000</v>
      </c>
      <c r="F49" t="s">
        <v>34</v>
      </c>
    </row>
    <row r="50" spans="1:8" x14ac:dyDescent="0.45">
      <c r="A50" t="s">
        <v>33</v>
      </c>
      <c r="B50">
        <v>2050</v>
      </c>
      <c r="C50" t="s">
        <v>9</v>
      </c>
      <c r="E50">
        <v>4000000</v>
      </c>
      <c r="F50" t="s">
        <v>34</v>
      </c>
    </row>
    <row r="51" spans="1:8" x14ac:dyDescent="0.45">
      <c r="A51" t="s">
        <v>36</v>
      </c>
      <c r="B51">
        <v>2030</v>
      </c>
      <c r="C51" t="s">
        <v>9</v>
      </c>
      <c r="E51" s="2">
        <v>820676.5784</v>
      </c>
      <c r="F51" t="s">
        <v>37</v>
      </c>
    </row>
    <row r="52" spans="1:8" x14ac:dyDescent="0.45">
      <c r="A52" t="s">
        <v>36</v>
      </c>
      <c r="B52">
        <f>(B51+B53)/2</f>
        <v>2035</v>
      </c>
      <c r="C52" t="s">
        <v>9</v>
      </c>
      <c r="E52" s="2">
        <f>(E51+E53)/2</f>
        <v>745954.82065000001</v>
      </c>
      <c r="F52" t="s">
        <v>37</v>
      </c>
    </row>
    <row r="53" spans="1:8" x14ac:dyDescent="0.45">
      <c r="A53" t="s">
        <v>36</v>
      </c>
      <c r="B53">
        <v>2040</v>
      </c>
      <c r="C53" t="s">
        <v>9</v>
      </c>
      <c r="E53" s="2">
        <v>671233.06290000002</v>
      </c>
      <c r="F53" t="s">
        <v>37</v>
      </c>
    </row>
    <row r="54" spans="1:8" x14ac:dyDescent="0.45">
      <c r="A54" t="s">
        <v>36</v>
      </c>
      <c r="B54">
        <f>(B53+B55)/2</f>
        <v>2045</v>
      </c>
      <c r="C54" t="s">
        <v>9</v>
      </c>
      <c r="E54" s="2">
        <f>(E53+E55)/2</f>
        <v>592917.09779999999</v>
      </c>
      <c r="F54" t="s">
        <v>37</v>
      </c>
    </row>
    <row r="55" spans="1:8" x14ac:dyDescent="0.45">
      <c r="A55" t="s">
        <v>36</v>
      </c>
      <c r="B55">
        <v>2050</v>
      </c>
      <c r="C55" t="s">
        <v>9</v>
      </c>
      <c r="E55" s="2">
        <v>514601.13270000002</v>
      </c>
      <c r="F55" t="s">
        <v>37</v>
      </c>
    </row>
    <row r="56" spans="1:8" x14ac:dyDescent="0.45">
      <c r="A56" t="s">
        <v>13</v>
      </c>
      <c r="B56">
        <v>2030</v>
      </c>
      <c r="C56" t="s">
        <v>9</v>
      </c>
      <c r="E56" s="2">
        <v>1460.0135</v>
      </c>
      <c r="F56" t="s">
        <v>38</v>
      </c>
      <c r="G56" s="7"/>
    </row>
    <row r="57" spans="1:8" x14ac:dyDescent="0.45">
      <c r="A57" t="s">
        <v>13</v>
      </c>
      <c r="B57">
        <f>(B56+B58)/2</f>
        <v>2035</v>
      </c>
      <c r="C57" t="s">
        <v>9</v>
      </c>
      <c r="E57" s="2">
        <f>(E56+E58)/2</f>
        <v>1327.0807500000001</v>
      </c>
      <c r="F57" t="s">
        <v>38</v>
      </c>
    </row>
    <row r="58" spans="1:8" x14ac:dyDescent="0.45">
      <c r="A58" t="s">
        <v>13</v>
      </c>
      <c r="B58">
        <v>2040</v>
      </c>
      <c r="C58" t="s">
        <v>9</v>
      </c>
      <c r="E58" s="2">
        <v>1194.1479999999999</v>
      </c>
      <c r="F58" t="s">
        <v>38</v>
      </c>
    </row>
    <row r="59" spans="1:8" x14ac:dyDescent="0.45">
      <c r="A59" t="s">
        <v>13</v>
      </c>
      <c r="B59">
        <f>(B58+B60)/2</f>
        <v>2045</v>
      </c>
      <c r="C59" t="s">
        <v>9</v>
      </c>
      <c r="E59" s="2">
        <f>(E58+E60)/2</f>
        <v>1054.82105</v>
      </c>
      <c r="F59" t="s">
        <v>38</v>
      </c>
    </row>
    <row r="60" spans="1:8" x14ac:dyDescent="0.45">
      <c r="A60" t="s">
        <v>13</v>
      </c>
      <c r="B60">
        <v>2050</v>
      </c>
      <c r="C60" t="s">
        <v>9</v>
      </c>
      <c r="E60" s="2">
        <v>915.4941</v>
      </c>
      <c r="F60" t="s">
        <v>38</v>
      </c>
      <c r="G60" s="7"/>
    </row>
    <row r="61" spans="1:8" ht="28.5" x14ac:dyDescent="0.45">
      <c r="A61" s="3" t="s">
        <v>49</v>
      </c>
      <c r="B61">
        <v>2030</v>
      </c>
      <c r="C61" t="s">
        <v>9</v>
      </c>
      <c r="E61">
        <f>1000/2</f>
        <v>500</v>
      </c>
      <c r="F61" t="s">
        <v>50</v>
      </c>
      <c r="G61" s="8" t="s">
        <v>92</v>
      </c>
      <c r="H61" s="7" t="s">
        <v>91</v>
      </c>
    </row>
    <row r="62" spans="1:8" x14ac:dyDescent="0.45">
      <c r="A62" s="3" t="s">
        <v>49</v>
      </c>
      <c r="B62">
        <f>(B61+B63)/2</f>
        <v>2035</v>
      </c>
      <c r="C62" t="s">
        <v>9</v>
      </c>
      <c r="E62">
        <f>(E61+E63)/2</f>
        <v>375</v>
      </c>
      <c r="F62" t="s">
        <v>50</v>
      </c>
    </row>
    <row r="63" spans="1:8" x14ac:dyDescent="0.45">
      <c r="A63" s="3" t="s">
        <v>49</v>
      </c>
      <c r="B63">
        <v>2040</v>
      </c>
      <c r="C63" t="s">
        <v>9</v>
      </c>
      <c r="E63">
        <f>500/2</f>
        <v>250</v>
      </c>
      <c r="F63" t="s">
        <v>50</v>
      </c>
    </row>
    <row r="64" spans="1:8" x14ac:dyDescent="0.45">
      <c r="A64" s="3" t="s">
        <v>49</v>
      </c>
      <c r="B64">
        <f>(B63+B65)/2</f>
        <v>2045</v>
      </c>
      <c r="C64" t="s">
        <v>9</v>
      </c>
      <c r="E64">
        <f>(E63+E65)/2</f>
        <v>275</v>
      </c>
      <c r="F64" t="s">
        <v>50</v>
      </c>
    </row>
    <row r="65" spans="1:8" x14ac:dyDescent="0.45">
      <c r="A65" s="3" t="s">
        <v>49</v>
      </c>
      <c r="B65">
        <v>2050</v>
      </c>
      <c r="C65" t="s">
        <v>9</v>
      </c>
      <c r="E65">
        <f>600/2</f>
        <v>300</v>
      </c>
      <c r="F65" t="s">
        <v>50</v>
      </c>
    </row>
    <row r="66" spans="1:8" x14ac:dyDescent="0.45">
      <c r="A66" s="3" t="s">
        <v>51</v>
      </c>
      <c r="B66">
        <v>2030</v>
      </c>
      <c r="C66" t="s">
        <v>9</v>
      </c>
      <c r="E66">
        <f>1000/2</f>
        <v>500</v>
      </c>
      <c r="F66" t="s">
        <v>50</v>
      </c>
    </row>
    <row r="67" spans="1:8" x14ac:dyDescent="0.45">
      <c r="A67" s="3" t="s">
        <v>51</v>
      </c>
      <c r="B67">
        <f>(B66+B68)/2</f>
        <v>2035</v>
      </c>
      <c r="C67" t="s">
        <v>9</v>
      </c>
      <c r="E67">
        <f>(E66+E68)/2</f>
        <v>375</v>
      </c>
      <c r="F67" t="s">
        <v>50</v>
      </c>
    </row>
    <row r="68" spans="1:8" x14ac:dyDescent="0.45">
      <c r="A68" s="3" t="s">
        <v>51</v>
      </c>
      <c r="B68">
        <v>2040</v>
      </c>
      <c r="C68" t="s">
        <v>9</v>
      </c>
      <c r="E68">
        <f>500/2</f>
        <v>250</v>
      </c>
      <c r="F68" t="s">
        <v>50</v>
      </c>
    </row>
    <row r="69" spans="1:8" x14ac:dyDescent="0.45">
      <c r="A69" s="3" t="s">
        <v>51</v>
      </c>
      <c r="B69">
        <f>(B68+B70)/2</f>
        <v>2045</v>
      </c>
      <c r="C69" t="s">
        <v>9</v>
      </c>
      <c r="E69">
        <f>(E68+E70)/2</f>
        <v>275</v>
      </c>
      <c r="F69" t="s">
        <v>50</v>
      </c>
    </row>
    <row r="70" spans="1:8" x14ac:dyDescent="0.45">
      <c r="A70" s="3" t="s">
        <v>51</v>
      </c>
      <c r="B70">
        <v>2050</v>
      </c>
      <c r="C70" t="s">
        <v>9</v>
      </c>
      <c r="E70">
        <f>600/2</f>
        <v>300</v>
      </c>
      <c r="F70" t="s">
        <v>50</v>
      </c>
    </row>
    <row r="71" spans="1:8" x14ac:dyDescent="0.45">
      <c r="A71" t="s">
        <v>17</v>
      </c>
      <c r="B71">
        <v>2020</v>
      </c>
      <c r="C71" t="s">
        <v>9</v>
      </c>
      <c r="E71">
        <v>483</v>
      </c>
      <c r="F71" t="s">
        <v>115</v>
      </c>
      <c r="G71" t="s">
        <v>114</v>
      </c>
      <c r="H71" t="s">
        <v>18</v>
      </c>
    </row>
    <row r="72" spans="1:8" x14ac:dyDescent="0.45">
      <c r="A72" t="s">
        <v>17</v>
      </c>
      <c r="B72">
        <v>2030</v>
      </c>
      <c r="C72" t="s">
        <v>9</v>
      </c>
      <c r="E72">
        <v>483</v>
      </c>
      <c r="F72" t="s">
        <v>115</v>
      </c>
      <c r="G72" t="s">
        <v>114</v>
      </c>
      <c r="H72" t="s">
        <v>18</v>
      </c>
    </row>
    <row r="73" spans="1:8" x14ac:dyDescent="0.45">
      <c r="A73" t="s">
        <v>17</v>
      </c>
      <c r="B73">
        <v>2040</v>
      </c>
      <c r="C73" t="s">
        <v>9</v>
      </c>
      <c r="E73">
        <v>483</v>
      </c>
      <c r="F73" t="s">
        <v>115</v>
      </c>
      <c r="G73" t="s">
        <v>114</v>
      </c>
      <c r="H73" t="s">
        <v>18</v>
      </c>
    </row>
    <row r="74" spans="1:8" x14ac:dyDescent="0.45">
      <c r="A74" t="s">
        <v>17</v>
      </c>
      <c r="B74">
        <v>2050</v>
      </c>
      <c r="C74" t="s">
        <v>9</v>
      </c>
      <c r="E74">
        <v>483</v>
      </c>
      <c r="F74" t="s">
        <v>115</v>
      </c>
      <c r="G74" t="s">
        <v>114</v>
      </c>
      <c r="H74" t="s">
        <v>18</v>
      </c>
    </row>
    <row r="75" spans="1:8" x14ac:dyDescent="0.45">
      <c r="A75" t="s">
        <v>19</v>
      </c>
      <c r="B75">
        <v>2020</v>
      </c>
      <c r="C75" t="s">
        <v>9</v>
      </c>
      <c r="E75">
        <v>210</v>
      </c>
      <c r="F75" t="s">
        <v>116</v>
      </c>
      <c r="G75" t="s">
        <v>114</v>
      </c>
      <c r="H75" t="s">
        <v>20</v>
      </c>
    </row>
    <row r="76" spans="1:8" x14ac:dyDescent="0.45">
      <c r="A76" t="s">
        <v>19</v>
      </c>
      <c r="B76">
        <v>2030</v>
      </c>
      <c r="C76" t="s">
        <v>9</v>
      </c>
      <c r="E76">
        <v>210</v>
      </c>
      <c r="F76" t="s">
        <v>116</v>
      </c>
      <c r="G76" t="s">
        <v>114</v>
      </c>
      <c r="H76" t="s">
        <v>20</v>
      </c>
    </row>
    <row r="77" spans="1:8" x14ac:dyDescent="0.45">
      <c r="A77" t="s">
        <v>19</v>
      </c>
      <c r="B77">
        <v>2040</v>
      </c>
      <c r="C77" t="s">
        <v>9</v>
      </c>
      <c r="E77">
        <v>210</v>
      </c>
      <c r="F77" t="s">
        <v>116</v>
      </c>
      <c r="G77" t="s">
        <v>114</v>
      </c>
      <c r="H77" t="s">
        <v>20</v>
      </c>
    </row>
    <row r="78" spans="1:8" x14ac:dyDescent="0.45">
      <c r="A78" t="s">
        <v>19</v>
      </c>
      <c r="B78">
        <v>2050</v>
      </c>
      <c r="C78" t="s">
        <v>9</v>
      </c>
      <c r="E78">
        <v>210</v>
      </c>
      <c r="F78" t="s">
        <v>116</v>
      </c>
      <c r="G78" t="s">
        <v>114</v>
      </c>
      <c r="H78" t="s">
        <v>20</v>
      </c>
    </row>
    <row r="79" spans="1:8" x14ac:dyDescent="0.45">
      <c r="A79" t="s">
        <v>39</v>
      </c>
      <c r="B79">
        <v>2020</v>
      </c>
      <c r="C79" t="s">
        <v>9</v>
      </c>
      <c r="E79">
        <v>1992610.5</v>
      </c>
      <c r="F79" t="s">
        <v>42</v>
      </c>
      <c r="G79" t="s">
        <v>43</v>
      </c>
      <c r="H79" t="s">
        <v>44</v>
      </c>
    </row>
    <row r="80" spans="1:8" x14ac:dyDescent="0.45">
      <c r="A80" t="s">
        <v>39</v>
      </c>
      <c r="B80">
        <v>2030</v>
      </c>
      <c r="C80" t="s">
        <v>9</v>
      </c>
      <c r="E80">
        <v>1682122.6</v>
      </c>
      <c r="F80" t="s">
        <v>42</v>
      </c>
      <c r="G80" t="s">
        <v>43</v>
      </c>
      <c r="H80" t="s">
        <v>44</v>
      </c>
    </row>
    <row r="81" spans="1:8" x14ac:dyDescent="0.45">
      <c r="A81" t="s">
        <v>39</v>
      </c>
      <c r="B81">
        <v>2040</v>
      </c>
      <c r="C81" t="s">
        <v>9</v>
      </c>
      <c r="E81">
        <v>1562366.1</v>
      </c>
      <c r="F81" t="s">
        <v>42</v>
      </c>
      <c r="G81" t="s">
        <v>43</v>
      </c>
      <c r="H81" t="s">
        <v>44</v>
      </c>
    </row>
    <row r="82" spans="1:8" x14ac:dyDescent="0.45">
      <c r="A82" t="s">
        <v>39</v>
      </c>
      <c r="B82">
        <v>2050</v>
      </c>
      <c r="C82" t="s">
        <v>9</v>
      </c>
      <c r="E82">
        <v>1523931.1</v>
      </c>
      <c r="F82" t="s">
        <v>42</v>
      </c>
      <c r="G82" t="s">
        <v>43</v>
      </c>
      <c r="H82" t="s">
        <v>44</v>
      </c>
    </row>
    <row r="83" spans="1:8" x14ac:dyDescent="0.45">
      <c r="A83" t="s">
        <v>40</v>
      </c>
      <c r="B83">
        <v>2020</v>
      </c>
      <c r="C83" t="s">
        <v>9</v>
      </c>
      <c r="E83">
        <v>1183911.8999999999</v>
      </c>
      <c r="F83" t="s">
        <v>45</v>
      </c>
      <c r="G83" t="s">
        <v>43</v>
      </c>
      <c r="H83" t="s">
        <v>46</v>
      </c>
    </row>
    <row r="84" spans="1:8" x14ac:dyDescent="0.45">
      <c r="A84" t="s">
        <v>40</v>
      </c>
      <c r="B84">
        <v>2030</v>
      </c>
      <c r="C84" t="s">
        <v>9</v>
      </c>
      <c r="E84">
        <v>1095853.3</v>
      </c>
      <c r="F84" t="s">
        <v>45</v>
      </c>
      <c r="G84" t="s">
        <v>43</v>
      </c>
      <c r="H84" t="s">
        <v>46</v>
      </c>
    </row>
    <row r="85" spans="1:8" x14ac:dyDescent="0.45">
      <c r="A85" t="s">
        <v>40</v>
      </c>
      <c r="B85">
        <v>2040</v>
      </c>
      <c r="C85" t="s">
        <v>9</v>
      </c>
      <c r="E85">
        <v>1034480.7</v>
      </c>
      <c r="F85" t="s">
        <v>45</v>
      </c>
      <c r="G85" t="s">
        <v>43</v>
      </c>
      <c r="H85" t="s">
        <v>46</v>
      </c>
    </row>
    <row r="86" spans="1:8" x14ac:dyDescent="0.45">
      <c r="A86" t="s">
        <v>40</v>
      </c>
      <c r="B86">
        <v>2050</v>
      </c>
      <c r="C86" t="s">
        <v>9</v>
      </c>
      <c r="E86">
        <v>1019137.5</v>
      </c>
      <c r="F86" t="s">
        <v>45</v>
      </c>
      <c r="G86" t="s">
        <v>43</v>
      </c>
      <c r="H86" t="s">
        <v>46</v>
      </c>
    </row>
    <row r="87" spans="1:8" x14ac:dyDescent="0.45">
      <c r="A87" t="s">
        <v>41</v>
      </c>
      <c r="B87">
        <v>2020</v>
      </c>
      <c r="C87" t="s">
        <v>9</v>
      </c>
      <c r="E87">
        <v>562500</v>
      </c>
      <c r="F87" t="s">
        <v>47</v>
      </c>
      <c r="G87" t="s">
        <v>43</v>
      </c>
      <c r="H87" t="s">
        <v>48</v>
      </c>
    </row>
    <row r="88" spans="1:8" x14ac:dyDescent="0.45">
      <c r="A88" t="s">
        <v>41</v>
      </c>
      <c r="B88">
        <v>2030</v>
      </c>
      <c r="C88" t="s">
        <v>9</v>
      </c>
      <c r="E88">
        <v>383731.20000000001</v>
      </c>
      <c r="F88" t="s">
        <v>47</v>
      </c>
      <c r="G88" t="s">
        <v>43</v>
      </c>
      <c r="H88" t="s">
        <v>48</v>
      </c>
    </row>
    <row r="89" spans="1:8" x14ac:dyDescent="0.45">
      <c r="A89" t="s">
        <v>41</v>
      </c>
      <c r="B89">
        <v>2040</v>
      </c>
      <c r="C89" t="s">
        <v>9</v>
      </c>
      <c r="E89">
        <v>320824.59999999998</v>
      </c>
      <c r="F89" t="s">
        <v>47</v>
      </c>
      <c r="G89" t="s">
        <v>43</v>
      </c>
      <c r="H89" t="s">
        <v>48</v>
      </c>
    </row>
    <row r="90" spans="1:8" x14ac:dyDescent="0.45">
      <c r="A90" t="s">
        <v>41</v>
      </c>
      <c r="B90">
        <v>2050</v>
      </c>
      <c r="C90" t="s">
        <v>9</v>
      </c>
      <c r="E90">
        <v>292576.90000000002</v>
      </c>
      <c r="F90" t="s">
        <v>47</v>
      </c>
      <c r="G90" t="s">
        <v>43</v>
      </c>
      <c r="H90" t="s">
        <v>48</v>
      </c>
    </row>
    <row r="91" spans="1:8" x14ac:dyDescent="0.45">
      <c r="A91" t="s">
        <v>8</v>
      </c>
      <c r="B91" t="s">
        <v>107</v>
      </c>
      <c r="C91" t="s">
        <v>9</v>
      </c>
      <c r="E91">
        <v>257800644</v>
      </c>
      <c r="F91" t="s">
        <v>104</v>
      </c>
      <c r="G91" t="s">
        <v>106</v>
      </c>
      <c r="H91" t="s">
        <v>105</v>
      </c>
    </row>
    <row r="92" spans="1:8" x14ac:dyDescent="0.45">
      <c r="A92" t="s">
        <v>8</v>
      </c>
      <c r="B92" t="s">
        <v>107</v>
      </c>
      <c r="C92" t="s">
        <v>126</v>
      </c>
      <c r="E92">
        <v>351000</v>
      </c>
      <c r="F92" t="s">
        <v>108</v>
      </c>
      <c r="H92" t="s">
        <v>110</v>
      </c>
    </row>
    <row r="93" spans="1:8" x14ac:dyDescent="0.45">
      <c r="A93" t="s">
        <v>8</v>
      </c>
      <c r="B93" t="s">
        <v>107</v>
      </c>
      <c r="C93" t="s">
        <v>9</v>
      </c>
      <c r="E93" s="2">
        <f>E91/E92</f>
        <v>734.4747692307692</v>
      </c>
      <c r="F93" t="s">
        <v>109</v>
      </c>
    </row>
    <row r="94" spans="1:8" x14ac:dyDescent="0.45">
      <c r="A94" t="s">
        <v>119</v>
      </c>
      <c r="B94">
        <v>2020</v>
      </c>
      <c r="C94" t="s">
        <v>9</v>
      </c>
      <c r="E94">
        <v>1200</v>
      </c>
      <c r="F94" t="s">
        <v>120</v>
      </c>
      <c r="G94" t="s">
        <v>26</v>
      </c>
      <c r="H94" t="s">
        <v>121</v>
      </c>
    </row>
    <row r="95" spans="1:8" x14ac:dyDescent="0.45">
      <c r="A95" t="s">
        <v>119</v>
      </c>
      <c r="B95">
        <v>2030</v>
      </c>
      <c r="C95" t="s">
        <v>9</v>
      </c>
      <c r="E95">
        <v>1200</v>
      </c>
      <c r="F95" t="s">
        <v>120</v>
      </c>
    </row>
    <row r="96" spans="1:8" x14ac:dyDescent="0.45">
      <c r="A96" t="s">
        <v>119</v>
      </c>
      <c r="B96">
        <v>2035</v>
      </c>
      <c r="C96" t="s">
        <v>9</v>
      </c>
      <c r="E96">
        <v>1200</v>
      </c>
      <c r="F96" t="s">
        <v>120</v>
      </c>
    </row>
    <row r="97" spans="1:8" x14ac:dyDescent="0.45">
      <c r="A97" t="s">
        <v>119</v>
      </c>
      <c r="B97">
        <v>2040</v>
      </c>
      <c r="C97" t="s">
        <v>9</v>
      </c>
      <c r="E97">
        <v>1200</v>
      </c>
      <c r="F97" t="s">
        <v>120</v>
      </c>
    </row>
    <row r="98" spans="1:8" x14ac:dyDescent="0.45">
      <c r="A98" t="s">
        <v>119</v>
      </c>
      <c r="B98">
        <v>2045</v>
      </c>
      <c r="C98" t="s">
        <v>9</v>
      </c>
      <c r="E98">
        <v>1200</v>
      </c>
      <c r="F98" t="s">
        <v>120</v>
      </c>
    </row>
    <row r="99" spans="1:8" x14ac:dyDescent="0.45">
      <c r="A99" t="s">
        <v>119</v>
      </c>
      <c r="B99">
        <v>2050</v>
      </c>
      <c r="C99" t="s">
        <v>9</v>
      </c>
      <c r="E99">
        <v>1200</v>
      </c>
      <c r="F99" t="s">
        <v>120</v>
      </c>
    </row>
    <row r="100" spans="1:8" x14ac:dyDescent="0.45">
      <c r="A100" t="s">
        <v>122</v>
      </c>
      <c r="B100">
        <v>2025</v>
      </c>
      <c r="C100" t="s">
        <v>9</v>
      </c>
      <c r="E100">
        <f>ROUND(143.1/12000*1000000,0)</f>
        <v>11925</v>
      </c>
      <c r="F100" t="s">
        <v>123</v>
      </c>
      <c r="G100" t="s">
        <v>127</v>
      </c>
      <c r="H100" t="s">
        <v>128</v>
      </c>
    </row>
    <row r="101" spans="1:8" x14ac:dyDescent="0.45">
      <c r="A101" t="s">
        <v>122</v>
      </c>
      <c r="B101">
        <v>2030</v>
      </c>
      <c r="C101" t="s">
        <v>9</v>
      </c>
      <c r="E101" s="2">
        <f>$E$100+($E$105-$E$100)/($B$105-$B$100)*(B101-$B$100)</f>
        <v>10236.6</v>
      </c>
      <c r="F101" t="s">
        <v>123</v>
      </c>
    </row>
    <row r="102" spans="1:8" x14ac:dyDescent="0.45">
      <c r="A102" t="s">
        <v>122</v>
      </c>
      <c r="B102">
        <v>2035</v>
      </c>
      <c r="C102" t="s">
        <v>9</v>
      </c>
      <c r="E102" s="2">
        <f>$E$100+($E$105-$E$100)/($B$105-$B$100)*(B102-$B$100)</f>
        <v>8548.2000000000007</v>
      </c>
      <c r="F102" t="s">
        <v>123</v>
      </c>
    </row>
    <row r="103" spans="1:8" x14ac:dyDescent="0.45">
      <c r="A103" t="s">
        <v>122</v>
      </c>
      <c r="B103">
        <v>2040</v>
      </c>
      <c r="C103" t="s">
        <v>9</v>
      </c>
      <c r="E103" s="2">
        <f>$E$100+($E$105-$E$100)/($B$105-$B$100)*(B103-$B$100)</f>
        <v>6859.8</v>
      </c>
      <c r="F103" t="s">
        <v>123</v>
      </c>
    </row>
    <row r="104" spans="1:8" x14ac:dyDescent="0.45">
      <c r="A104" t="s">
        <v>122</v>
      </c>
      <c r="B104">
        <v>2045</v>
      </c>
      <c r="C104" t="s">
        <v>9</v>
      </c>
      <c r="E104" s="2">
        <f>$E$100+($E$105-$E$100)/($B$105-$B$100)*(B104-$B$100)</f>
        <v>5171.3999999999996</v>
      </c>
      <c r="F104" t="s">
        <v>123</v>
      </c>
    </row>
    <row r="105" spans="1:8" x14ac:dyDescent="0.45">
      <c r="A105" t="s">
        <v>122</v>
      </c>
      <c r="B105">
        <v>2050</v>
      </c>
      <c r="C105" t="s">
        <v>9</v>
      </c>
      <c r="E105">
        <f>ROUND(41.8/12000*1000000,0)</f>
        <v>3483</v>
      </c>
      <c r="F105" t="s">
        <v>123</v>
      </c>
    </row>
    <row r="106" spans="1:8" x14ac:dyDescent="0.45">
      <c r="A106" t="s">
        <v>160</v>
      </c>
      <c r="B106" s="13">
        <v>2030</v>
      </c>
      <c r="C106" t="s">
        <v>9</v>
      </c>
      <c r="E106" s="15">
        <f>1315.218*10</f>
        <v>13152.18</v>
      </c>
      <c r="F106" s="17" t="s">
        <v>161</v>
      </c>
      <c r="G106" s="12" t="s">
        <v>159</v>
      </c>
    </row>
    <row r="107" spans="1:8" x14ac:dyDescent="0.45">
      <c r="A107" t="s">
        <v>160</v>
      </c>
      <c r="B107" s="3">
        <v>2035</v>
      </c>
      <c r="C107" t="s">
        <v>9</v>
      </c>
      <c r="E107" s="16">
        <f>E106*E112/$E$111</f>
        <v>11220.27573972211</v>
      </c>
      <c r="F107" s="17" t="s">
        <v>161</v>
      </c>
    </row>
    <row r="108" spans="1:8" x14ac:dyDescent="0.45">
      <c r="A108" t="s">
        <v>160</v>
      </c>
      <c r="B108" s="3">
        <v>2040</v>
      </c>
      <c r="C108" t="s">
        <v>9</v>
      </c>
      <c r="E108" s="16">
        <f t="shared" ref="E108:E110" si="0">E107*E113/$E$111</f>
        <v>7924.0163358724394</v>
      </c>
      <c r="F108" s="17" t="s">
        <v>161</v>
      </c>
    </row>
    <row r="109" spans="1:8" x14ac:dyDescent="0.45">
      <c r="A109" t="s">
        <v>160</v>
      </c>
      <c r="B109" s="3">
        <v>2045</v>
      </c>
      <c r="C109" t="s">
        <v>9</v>
      </c>
      <c r="E109" s="16">
        <f t="shared" si="0"/>
        <v>4432.1752301887691</v>
      </c>
      <c r="F109" s="17" t="s">
        <v>161</v>
      </c>
    </row>
    <row r="110" spans="1:8" x14ac:dyDescent="0.45">
      <c r="A110" t="s">
        <v>160</v>
      </c>
      <c r="B110" s="14">
        <v>2050</v>
      </c>
      <c r="C110" t="s">
        <v>9</v>
      </c>
      <c r="E110" s="16">
        <f t="shared" si="0"/>
        <v>1828.0325832664141</v>
      </c>
      <c r="F110" s="17" t="s">
        <v>161</v>
      </c>
    </row>
    <row r="111" spans="1:8" x14ac:dyDescent="0.45">
      <c r="A111" t="s">
        <v>124</v>
      </c>
      <c r="B111">
        <v>2025</v>
      </c>
      <c r="C111" t="s">
        <v>9</v>
      </c>
      <c r="E111">
        <f>ROUND(157.4/3000*1000000,0)</f>
        <v>52467</v>
      </c>
      <c r="F111" t="s">
        <v>123</v>
      </c>
    </row>
    <row r="112" spans="1:8" x14ac:dyDescent="0.45">
      <c r="A112" t="s">
        <v>124</v>
      </c>
      <c r="B112">
        <v>2030</v>
      </c>
      <c r="C112" t="s">
        <v>9</v>
      </c>
      <c r="E112" s="2">
        <f>$E$111+($E$116-$E$111)/($B$116-$B$111)*(B112-$B$111)</f>
        <v>44760.2</v>
      </c>
      <c r="F112" t="s">
        <v>123</v>
      </c>
    </row>
    <row r="113" spans="1:7" x14ac:dyDescent="0.45">
      <c r="A113" t="s">
        <v>124</v>
      </c>
      <c r="B113">
        <v>2035</v>
      </c>
      <c r="C113" t="s">
        <v>9</v>
      </c>
      <c r="E113" s="2">
        <f>$E$111+($E$116-$E$111)/($B$116-$B$111)*(B113-$B$111)</f>
        <v>37053.4</v>
      </c>
      <c r="F113" t="s">
        <v>123</v>
      </c>
    </row>
    <row r="114" spans="1:7" x14ac:dyDescent="0.45">
      <c r="A114" t="s">
        <v>124</v>
      </c>
      <c r="B114">
        <v>2040</v>
      </c>
      <c r="C114" t="s">
        <v>9</v>
      </c>
      <c r="E114" s="2">
        <f>$E$111+($E$116-$E$111)/($B$116-$B$111)*(B114-$B$111)</f>
        <v>29346.600000000002</v>
      </c>
      <c r="F114" t="s">
        <v>123</v>
      </c>
    </row>
    <row r="115" spans="1:7" x14ac:dyDescent="0.45">
      <c r="A115" t="s">
        <v>124</v>
      </c>
      <c r="B115">
        <v>2045</v>
      </c>
      <c r="C115" t="s">
        <v>9</v>
      </c>
      <c r="E115" s="2">
        <f>$E$111+($E$116-$E$111)/($B$116-$B$111)*(B115-$B$111)</f>
        <v>21639.800000000003</v>
      </c>
      <c r="F115" t="s">
        <v>123</v>
      </c>
    </row>
    <row r="116" spans="1:7" x14ac:dyDescent="0.45">
      <c r="A116" t="s">
        <v>124</v>
      </c>
      <c r="B116">
        <v>2050</v>
      </c>
      <c r="C116" t="s">
        <v>9</v>
      </c>
      <c r="E116">
        <f>ROUND(41.8/3000*1000000,0)</f>
        <v>13933</v>
      </c>
      <c r="F116" t="s">
        <v>123</v>
      </c>
    </row>
    <row r="117" spans="1:7" x14ac:dyDescent="0.45">
      <c r="A117" t="s">
        <v>125</v>
      </c>
      <c r="B117">
        <v>2025</v>
      </c>
      <c r="C117" t="s">
        <v>9</v>
      </c>
      <c r="E117">
        <f>ROUND(171.7/3000*1000000,0)</f>
        <v>57233</v>
      </c>
      <c r="F117" t="s">
        <v>123</v>
      </c>
    </row>
    <row r="118" spans="1:7" x14ac:dyDescent="0.45">
      <c r="A118" t="s">
        <v>125</v>
      </c>
      <c r="B118">
        <v>2030</v>
      </c>
      <c r="C118" t="s">
        <v>9</v>
      </c>
      <c r="E118" s="2">
        <f>$E$111+($E$116-$E$111)/($B$116-$B$111)*(B118-$B$111)</f>
        <v>44760.2</v>
      </c>
      <c r="F118" t="s">
        <v>123</v>
      </c>
    </row>
    <row r="119" spans="1:7" x14ac:dyDescent="0.45">
      <c r="A119" t="s">
        <v>125</v>
      </c>
      <c r="B119">
        <v>2035</v>
      </c>
      <c r="C119" t="s">
        <v>9</v>
      </c>
      <c r="E119" s="2">
        <f>$E$111+($E$116-$E$111)/($B$116-$B$111)*(B119-$B$111)</f>
        <v>37053.4</v>
      </c>
      <c r="F119" t="s">
        <v>123</v>
      </c>
    </row>
    <row r="120" spans="1:7" x14ac:dyDescent="0.45">
      <c r="A120" t="s">
        <v>125</v>
      </c>
      <c r="B120">
        <v>2040</v>
      </c>
      <c r="C120" t="s">
        <v>9</v>
      </c>
      <c r="E120" s="2">
        <f>$E$111+($E$116-$E$111)/($B$116-$B$111)*(B120-$B$111)</f>
        <v>29346.600000000002</v>
      </c>
      <c r="F120" t="s">
        <v>123</v>
      </c>
    </row>
    <row r="121" spans="1:7" x14ac:dyDescent="0.45">
      <c r="A121" t="s">
        <v>125</v>
      </c>
      <c r="B121">
        <v>2045</v>
      </c>
      <c r="C121" t="s">
        <v>9</v>
      </c>
      <c r="E121" s="2">
        <f>$E$111+($E$116-$E$111)/($B$116-$B$111)*(B121-$B$111)</f>
        <v>21639.800000000003</v>
      </c>
      <c r="F121" t="s">
        <v>123</v>
      </c>
    </row>
    <row r="122" spans="1:7" x14ac:dyDescent="0.45">
      <c r="A122" t="s">
        <v>125</v>
      </c>
      <c r="B122">
        <v>2050</v>
      </c>
      <c r="C122" t="s">
        <v>9</v>
      </c>
      <c r="E122">
        <f>ROUND(41.8/3000*1000000,0)</f>
        <v>13933</v>
      </c>
      <c r="F122" t="s">
        <v>123</v>
      </c>
    </row>
    <row r="123" spans="1:7" x14ac:dyDescent="0.45">
      <c r="A123" t="s">
        <v>124</v>
      </c>
      <c r="B123">
        <v>2020</v>
      </c>
      <c r="C123" t="s">
        <v>9</v>
      </c>
      <c r="E123">
        <v>38462833.227600001</v>
      </c>
      <c r="F123" t="s">
        <v>104</v>
      </c>
      <c r="G123" t="s">
        <v>130</v>
      </c>
    </row>
    <row r="124" spans="1:7" x14ac:dyDescent="0.45">
      <c r="A124" t="s">
        <v>124</v>
      </c>
      <c r="B124">
        <v>2030</v>
      </c>
      <c r="C124" t="s">
        <v>9</v>
      </c>
      <c r="E124">
        <v>36802136.804300003</v>
      </c>
      <c r="F124" t="s">
        <v>104</v>
      </c>
    </row>
    <row r="125" spans="1:7" x14ac:dyDescent="0.45">
      <c r="A125" t="s">
        <v>124</v>
      </c>
      <c r="B125">
        <v>2040</v>
      </c>
      <c r="C125" t="s">
        <v>9</v>
      </c>
      <c r="E125">
        <v>34966212.0251</v>
      </c>
      <c r="F125" t="s">
        <v>104</v>
      </c>
    </row>
    <row r="126" spans="1:7" x14ac:dyDescent="0.45">
      <c r="A126" t="s">
        <v>124</v>
      </c>
      <c r="B126">
        <v>2050</v>
      </c>
      <c r="C126" t="s">
        <v>9</v>
      </c>
      <c r="E126">
        <v>34966212.0251</v>
      </c>
      <c r="F126" t="s">
        <v>104</v>
      </c>
    </row>
    <row r="127" spans="1:7" x14ac:dyDescent="0.45">
      <c r="A127" t="s">
        <v>129</v>
      </c>
      <c r="B127">
        <v>2020</v>
      </c>
      <c r="C127" t="s">
        <v>9</v>
      </c>
      <c r="E127">
        <v>143583536.7421</v>
      </c>
      <c r="F127" t="s">
        <v>104</v>
      </c>
    </row>
    <row r="128" spans="1:7" x14ac:dyDescent="0.45">
      <c r="A128" t="s">
        <v>129</v>
      </c>
      <c r="B128">
        <v>2030</v>
      </c>
      <c r="C128" t="s">
        <v>9</v>
      </c>
      <c r="E128">
        <v>131618242.01360001</v>
      </c>
      <c r="F128" t="s">
        <v>104</v>
      </c>
    </row>
    <row r="129" spans="1:8" x14ac:dyDescent="0.45">
      <c r="A129" t="s">
        <v>129</v>
      </c>
      <c r="B129">
        <v>2040</v>
      </c>
      <c r="C129" t="s">
        <v>9</v>
      </c>
      <c r="E129">
        <v>119652947.2851</v>
      </c>
      <c r="F129" t="s">
        <v>104</v>
      </c>
    </row>
    <row r="130" spans="1:8" x14ac:dyDescent="0.45">
      <c r="A130" t="s">
        <v>129</v>
      </c>
      <c r="B130">
        <v>2050</v>
      </c>
      <c r="C130" t="s">
        <v>9</v>
      </c>
      <c r="E130">
        <v>119652947.2851</v>
      </c>
      <c r="F130" t="s">
        <v>104</v>
      </c>
    </row>
    <row r="131" spans="1:8" x14ac:dyDescent="0.45">
      <c r="A131" t="s">
        <v>132</v>
      </c>
      <c r="B131">
        <v>2020</v>
      </c>
      <c r="C131" t="s">
        <v>9</v>
      </c>
      <c r="E131">
        <v>146840.5</v>
      </c>
      <c r="F131" t="s">
        <v>133</v>
      </c>
      <c r="G131" t="s">
        <v>136</v>
      </c>
      <c r="H131" t="s">
        <v>134</v>
      </c>
    </row>
    <row r="132" spans="1:8" x14ac:dyDescent="0.45">
      <c r="A132" t="s">
        <v>132</v>
      </c>
      <c r="B132">
        <v>2030</v>
      </c>
      <c r="C132" t="s">
        <v>9</v>
      </c>
      <c r="E132">
        <v>146840.5</v>
      </c>
      <c r="F132" t="s">
        <v>133</v>
      </c>
      <c r="G132" t="s">
        <v>136</v>
      </c>
      <c r="H132" t="s">
        <v>134</v>
      </c>
    </row>
    <row r="133" spans="1:8" x14ac:dyDescent="0.45">
      <c r="A133" t="s">
        <v>132</v>
      </c>
      <c r="B133">
        <v>2035</v>
      </c>
      <c r="C133" t="s">
        <v>9</v>
      </c>
      <c r="E133">
        <v>124591.95</v>
      </c>
      <c r="F133" t="s">
        <v>133</v>
      </c>
      <c r="G133" t="s">
        <v>136</v>
      </c>
    </row>
    <row r="134" spans="1:8" x14ac:dyDescent="0.45">
      <c r="A134" t="s">
        <v>132</v>
      </c>
      <c r="B134">
        <v>2040</v>
      </c>
      <c r="C134" t="s">
        <v>9</v>
      </c>
      <c r="E134">
        <v>102343.4</v>
      </c>
      <c r="F134" t="s">
        <v>133</v>
      </c>
      <c r="G134" t="s">
        <v>136</v>
      </c>
      <c r="H134" t="s">
        <v>134</v>
      </c>
    </row>
    <row r="135" spans="1:8" x14ac:dyDescent="0.45">
      <c r="A135" t="s">
        <v>132</v>
      </c>
      <c r="B135">
        <v>2045</v>
      </c>
      <c r="C135" t="s">
        <v>9</v>
      </c>
      <c r="E135">
        <v>80094.850000000006</v>
      </c>
      <c r="F135" t="s">
        <v>133</v>
      </c>
      <c r="G135" t="s">
        <v>136</v>
      </c>
    </row>
    <row r="136" spans="1:8" x14ac:dyDescent="0.45">
      <c r="A136" t="s">
        <v>132</v>
      </c>
      <c r="B136">
        <v>2050</v>
      </c>
      <c r="C136" t="s">
        <v>9</v>
      </c>
      <c r="E136">
        <v>57846.3</v>
      </c>
      <c r="F136" t="s">
        <v>133</v>
      </c>
      <c r="G136" t="s">
        <v>136</v>
      </c>
      <c r="H136" t="s">
        <v>134</v>
      </c>
    </row>
    <row r="137" spans="1:8" x14ac:dyDescent="0.45">
      <c r="A137" t="s">
        <v>135</v>
      </c>
      <c r="B137">
        <v>2020</v>
      </c>
      <c r="C137" t="s">
        <v>9</v>
      </c>
      <c r="E137">
        <v>889942.6</v>
      </c>
      <c r="F137" t="s">
        <v>133</v>
      </c>
      <c r="G137" t="s">
        <v>136</v>
      </c>
      <c r="H137" t="s">
        <v>134</v>
      </c>
    </row>
    <row r="138" spans="1:8" x14ac:dyDescent="0.45">
      <c r="A138" t="s">
        <v>135</v>
      </c>
      <c r="B138">
        <v>2030</v>
      </c>
      <c r="C138" t="s">
        <v>9</v>
      </c>
      <c r="E138">
        <v>889942.6</v>
      </c>
      <c r="F138" t="s">
        <v>133</v>
      </c>
      <c r="G138" t="s">
        <v>136</v>
      </c>
      <c r="H138" t="s">
        <v>134</v>
      </c>
    </row>
    <row r="139" spans="1:8" x14ac:dyDescent="0.45">
      <c r="A139" t="s">
        <v>135</v>
      </c>
      <c r="B139">
        <v>2035</v>
      </c>
      <c r="C139" t="s">
        <v>9</v>
      </c>
      <c r="E139">
        <v>800948.35</v>
      </c>
      <c r="F139" t="s">
        <v>133</v>
      </c>
      <c r="G139" t="s">
        <v>136</v>
      </c>
    </row>
    <row r="140" spans="1:8" x14ac:dyDescent="0.45">
      <c r="A140" t="s">
        <v>135</v>
      </c>
      <c r="B140">
        <v>2040</v>
      </c>
      <c r="C140" t="s">
        <v>9</v>
      </c>
      <c r="E140">
        <v>711954.10000000009</v>
      </c>
      <c r="F140" t="s">
        <v>133</v>
      </c>
      <c r="G140" t="s">
        <v>136</v>
      </c>
      <c r="H140" t="s">
        <v>134</v>
      </c>
    </row>
    <row r="141" spans="1:8" x14ac:dyDescent="0.45">
      <c r="A141" t="s">
        <v>135</v>
      </c>
      <c r="B141">
        <v>2045</v>
      </c>
      <c r="C141" t="s">
        <v>9</v>
      </c>
      <c r="E141">
        <v>622959.80000000005</v>
      </c>
      <c r="F141" t="s">
        <v>133</v>
      </c>
      <c r="G141" t="s">
        <v>136</v>
      </c>
    </row>
    <row r="142" spans="1:8" x14ac:dyDescent="0.45">
      <c r="A142" t="s">
        <v>135</v>
      </c>
      <c r="B142">
        <v>2050</v>
      </c>
      <c r="C142" t="s">
        <v>9</v>
      </c>
      <c r="E142">
        <v>533965.5</v>
      </c>
      <c r="F142" t="s">
        <v>133</v>
      </c>
      <c r="G142" t="s">
        <v>136</v>
      </c>
      <c r="H142" t="s">
        <v>134</v>
      </c>
    </row>
    <row r="143" spans="1:8" x14ac:dyDescent="0.45">
      <c r="A143" t="s">
        <v>138</v>
      </c>
      <c r="B143">
        <v>2030</v>
      </c>
      <c r="C143" t="s">
        <v>9</v>
      </c>
      <c r="E143">
        <v>303.68450000000001</v>
      </c>
      <c r="F143" t="s">
        <v>139</v>
      </c>
    </row>
    <row r="144" spans="1:8" x14ac:dyDescent="0.45">
      <c r="A144" t="s">
        <v>138</v>
      </c>
      <c r="B144">
        <v>2035</v>
      </c>
      <c r="C144" t="s">
        <v>9</v>
      </c>
      <c r="E144">
        <v>303.68450000000001</v>
      </c>
      <c r="F144" t="s">
        <v>139</v>
      </c>
    </row>
    <row r="145" spans="1:7" x14ac:dyDescent="0.45">
      <c r="A145" t="s">
        <v>138</v>
      </c>
      <c r="B145">
        <v>2040</v>
      </c>
      <c r="C145" t="s">
        <v>9</v>
      </c>
      <c r="E145">
        <v>303.68450000000001</v>
      </c>
      <c r="F145" t="s">
        <v>139</v>
      </c>
    </row>
    <row r="146" spans="1:7" x14ac:dyDescent="0.45">
      <c r="A146" t="s">
        <v>138</v>
      </c>
      <c r="B146">
        <v>2045</v>
      </c>
      <c r="C146" t="s">
        <v>9</v>
      </c>
      <c r="E146">
        <v>303.68450000000001</v>
      </c>
      <c r="F146" t="s">
        <v>139</v>
      </c>
    </row>
    <row r="147" spans="1:7" x14ac:dyDescent="0.45">
      <c r="A147" t="s">
        <v>138</v>
      </c>
      <c r="B147">
        <v>2050</v>
      </c>
      <c r="C147" t="s">
        <v>9</v>
      </c>
      <c r="E147">
        <v>303.68450000000001</v>
      </c>
      <c r="F147" t="s">
        <v>139</v>
      </c>
    </row>
    <row r="148" spans="1:7" x14ac:dyDescent="0.45">
      <c r="A148" t="s">
        <v>140</v>
      </c>
      <c r="B148">
        <v>2020</v>
      </c>
      <c r="C148" t="s">
        <v>9</v>
      </c>
      <c r="E148">
        <v>129.4682</v>
      </c>
      <c r="F148" t="s">
        <v>139</v>
      </c>
    </row>
    <row r="149" spans="1:7" x14ac:dyDescent="0.45">
      <c r="A149" t="s">
        <v>140</v>
      </c>
      <c r="B149">
        <v>2030</v>
      </c>
      <c r="C149" t="s">
        <v>9</v>
      </c>
      <c r="E149">
        <v>129.4682</v>
      </c>
      <c r="F149" t="s">
        <v>139</v>
      </c>
    </row>
    <row r="150" spans="1:7" x14ac:dyDescent="0.45">
      <c r="A150" t="s">
        <v>140</v>
      </c>
      <c r="B150">
        <v>2035</v>
      </c>
      <c r="C150" t="s">
        <v>9</v>
      </c>
      <c r="E150">
        <v>129.4682</v>
      </c>
      <c r="F150" t="s">
        <v>139</v>
      </c>
    </row>
    <row r="151" spans="1:7" x14ac:dyDescent="0.45">
      <c r="A151" t="s">
        <v>140</v>
      </c>
      <c r="B151">
        <v>2040</v>
      </c>
      <c r="C151" t="s">
        <v>9</v>
      </c>
      <c r="E151">
        <v>129.4682</v>
      </c>
      <c r="F151" t="s">
        <v>139</v>
      </c>
    </row>
    <row r="152" spans="1:7" x14ac:dyDescent="0.45">
      <c r="A152" t="s">
        <v>140</v>
      </c>
      <c r="B152">
        <v>2045</v>
      </c>
      <c r="C152" t="s">
        <v>9</v>
      </c>
      <c r="E152">
        <v>129.4682</v>
      </c>
      <c r="F152" t="s">
        <v>139</v>
      </c>
    </row>
    <row r="153" spans="1:7" x14ac:dyDescent="0.45">
      <c r="A153" t="s">
        <v>140</v>
      </c>
      <c r="B153">
        <v>2050</v>
      </c>
      <c r="C153" t="s">
        <v>9</v>
      </c>
      <c r="E153">
        <v>129.4682</v>
      </c>
      <c r="F153" t="s">
        <v>139</v>
      </c>
    </row>
    <row r="154" spans="1:7" x14ac:dyDescent="0.45">
      <c r="A154" t="s">
        <v>141</v>
      </c>
      <c r="B154">
        <v>2020</v>
      </c>
      <c r="C154" t="s">
        <v>9</v>
      </c>
      <c r="E154">
        <v>393737000</v>
      </c>
      <c r="F154" t="s">
        <v>104</v>
      </c>
      <c r="G154" t="s">
        <v>142</v>
      </c>
    </row>
    <row r="155" spans="1:7" x14ac:dyDescent="0.45">
      <c r="A155" t="s">
        <v>141</v>
      </c>
      <c r="B155">
        <v>2030</v>
      </c>
      <c r="C155" t="s">
        <v>9</v>
      </c>
      <c r="E155">
        <v>393737000</v>
      </c>
      <c r="F155" t="s">
        <v>104</v>
      </c>
      <c r="G155" t="s">
        <v>142</v>
      </c>
    </row>
    <row r="156" spans="1:7" x14ac:dyDescent="0.45">
      <c r="A156" t="s">
        <v>141</v>
      </c>
      <c r="B156">
        <v>2035</v>
      </c>
      <c r="C156" t="s">
        <v>9</v>
      </c>
      <c r="E156">
        <v>393737000</v>
      </c>
      <c r="F156" t="s">
        <v>104</v>
      </c>
    </row>
    <row r="157" spans="1:7" x14ac:dyDescent="0.45">
      <c r="A157" t="s">
        <v>141</v>
      </c>
      <c r="B157">
        <v>2040</v>
      </c>
      <c r="C157" t="s">
        <v>9</v>
      </c>
      <c r="E157">
        <v>393737000</v>
      </c>
      <c r="F157" t="s">
        <v>104</v>
      </c>
      <c r="G157" t="s">
        <v>142</v>
      </c>
    </row>
    <row r="158" spans="1:7" x14ac:dyDescent="0.45">
      <c r="A158" t="s">
        <v>141</v>
      </c>
      <c r="B158">
        <v>2045</v>
      </c>
      <c r="C158" t="s">
        <v>9</v>
      </c>
      <c r="E158">
        <v>393737000</v>
      </c>
      <c r="F158" t="s">
        <v>104</v>
      </c>
    </row>
    <row r="159" spans="1:7" x14ac:dyDescent="0.45">
      <c r="A159" t="s">
        <v>141</v>
      </c>
      <c r="B159">
        <v>2050</v>
      </c>
      <c r="C159" t="s">
        <v>9</v>
      </c>
      <c r="E159">
        <v>393737000</v>
      </c>
      <c r="F159" t="s">
        <v>104</v>
      </c>
      <c r="G159" t="s">
        <v>142</v>
      </c>
    </row>
    <row r="160" spans="1:7" x14ac:dyDescent="0.45">
      <c r="A160" t="s">
        <v>143</v>
      </c>
      <c r="B160">
        <v>2020</v>
      </c>
      <c r="C160" t="s">
        <v>9</v>
      </c>
      <c r="E160">
        <v>81164200</v>
      </c>
      <c r="F160" t="s">
        <v>104</v>
      </c>
      <c r="G160" t="s">
        <v>144</v>
      </c>
    </row>
    <row r="161" spans="1:7" x14ac:dyDescent="0.45">
      <c r="A161" t="s">
        <v>143</v>
      </c>
      <c r="B161">
        <v>2030</v>
      </c>
      <c r="C161" t="s">
        <v>9</v>
      </c>
      <c r="E161">
        <v>81164200</v>
      </c>
      <c r="F161" t="s">
        <v>104</v>
      </c>
      <c r="G161" t="s">
        <v>144</v>
      </c>
    </row>
    <row r="162" spans="1:7" x14ac:dyDescent="0.45">
      <c r="A162" t="s">
        <v>143</v>
      </c>
      <c r="B162">
        <v>2035</v>
      </c>
      <c r="C162" t="s">
        <v>9</v>
      </c>
      <c r="E162">
        <v>81164200</v>
      </c>
      <c r="F162" t="s">
        <v>104</v>
      </c>
    </row>
    <row r="163" spans="1:7" x14ac:dyDescent="0.45">
      <c r="A163" t="s">
        <v>143</v>
      </c>
      <c r="B163">
        <v>2040</v>
      </c>
      <c r="C163" t="s">
        <v>9</v>
      </c>
      <c r="E163">
        <v>81164200</v>
      </c>
      <c r="F163" t="s">
        <v>104</v>
      </c>
      <c r="G163" t="s">
        <v>144</v>
      </c>
    </row>
    <row r="164" spans="1:7" x14ac:dyDescent="0.45">
      <c r="A164" t="s">
        <v>143</v>
      </c>
      <c r="B164">
        <v>2045</v>
      </c>
      <c r="C164" t="s">
        <v>9</v>
      </c>
      <c r="E164">
        <v>81164200</v>
      </c>
      <c r="F164" t="s">
        <v>104</v>
      </c>
    </row>
    <row r="165" spans="1:7" x14ac:dyDescent="0.45">
      <c r="A165" t="s">
        <v>143</v>
      </c>
      <c r="B165">
        <v>2050</v>
      </c>
      <c r="C165" t="s">
        <v>9</v>
      </c>
      <c r="E165">
        <v>81164200</v>
      </c>
      <c r="F165" t="s">
        <v>104</v>
      </c>
      <c r="G165" t="s">
        <v>144</v>
      </c>
    </row>
    <row r="166" spans="1:7" x14ac:dyDescent="0.45">
      <c r="A166" t="s">
        <v>145</v>
      </c>
      <c r="B166">
        <v>2020</v>
      </c>
      <c r="C166" t="s">
        <v>9</v>
      </c>
      <c r="E166">
        <v>35000000</v>
      </c>
      <c r="F166" t="s">
        <v>104</v>
      </c>
      <c r="G166" t="s">
        <v>146</v>
      </c>
    </row>
    <row r="167" spans="1:7" x14ac:dyDescent="0.45">
      <c r="A167" t="s">
        <v>145</v>
      </c>
      <c r="B167">
        <v>2030</v>
      </c>
      <c r="C167" t="s">
        <v>9</v>
      </c>
      <c r="E167">
        <v>35000000</v>
      </c>
      <c r="F167" t="s">
        <v>104</v>
      </c>
      <c r="G167" t="s">
        <v>146</v>
      </c>
    </row>
    <row r="168" spans="1:7" x14ac:dyDescent="0.45">
      <c r="A168" t="s">
        <v>145</v>
      </c>
      <c r="B168">
        <v>2040</v>
      </c>
      <c r="C168" t="s">
        <v>9</v>
      </c>
      <c r="E168">
        <v>35000000</v>
      </c>
      <c r="F168" t="s">
        <v>104</v>
      </c>
      <c r="G168" t="s">
        <v>146</v>
      </c>
    </row>
    <row r="169" spans="1:7" x14ac:dyDescent="0.45">
      <c r="A169" t="s">
        <v>145</v>
      </c>
      <c r="B169">
        <v>2050</v>
      </c>
      <c r="C169" t="s">
        <v>9</v>
      </c>
      <c r="E169">
        <v>35000000</v>
      </c>
      <c r="F169" t="s">
        <v>104</v>
      </c>
      <c r="G169" t="s">
        <v>146</v>
      </c>
    </row>
    <row r="170" spans="1:7" x14ac:dyDescent="0.45">
      <c r="A170" t="s">
        <v>141</v>
      </c>
      <c r="B170" t="s">
        <v>150</v>
      </c>
      <c r="C170" t="s">
        <v>126</v>
      </c>
      <c r="E170">
        <v>11000</v>
      </c>
      <c r="F170" t="s">
        <v>147</v>
      </c>
      <c r="G170" t="s">
        <v>142</v>
      </c>
    </row>
    <row r="171" spans="1:7" x14ac:dyDescent="0.45">
      <c r="A171" t="s">
        <v>143</v>
      </c>
      <c r="B171" t="s">
        <v>150</v>
      </c>
      <c r="C171" t="s">
        <v>126</v>
      </c>
      <c r="E171">
        <v>53000</v>
      </c>
      <c r="F171" t="s">
        <v>149</v>
      </c>
      <c r="G171" t="s">
        <v>144</v>
      </c>
    </row>
    <row r="172" spans="1:7" x14ac:dyDescent="0.45">
      <c r="A172" t="s">
        <v>145</v>
      </c>
      <c r="B172" t="s">
        <v>150</v>
      </c>
      <c r="C172" t="s">
        <v>126</v>
      </c>
      <c r="E172">
        <v>75000</v>
      </c>
      <c r="F172" t="s">
        <v>148</v>
      </c>
      <c r="G172" t="s">
        <v>146</v>
      </c>
    </row>
    <row r="173" spans="1:7" x14ac:dyDescent="0.45">
      <c r="A173" t="s">
        <v>151</v>
      </c>
      <c r="B173">
        <v>2020</v>
      </c>
      <c r="C173" t="s">
        <v>9</v>
      </c>
      <c r="E173">
        <v>1123945.3807000001</v>
      </c>
      <c r="F173" t="s">
        <v>133</v>
      </c>
    </row>
    <row r="174" spans="1:7" x14ac:dyDescent="0.45">
      <c r="A174" t="s">
        <v>151</v>
      </c>
      <c r="B174">
        <v>2030</v>
      </c>
      <c r="C174" t="s">
        <v>9</v>
      </c>
      <c r="E174">
        <v>1123945.3807000001</v>
      </c>
      <c r="F174" t="s">
        <v>133</v>
      </c>
    </row>
    <row r="175" spans="1:7" x14ac:dyDescent="0.45">
      <c r="A175" t="s">
        <v>151</v>
      </c>
      <c r="B175">
        <v>2040</v>
      </c>
      <c r="C175" t="s">
        <v>9</v>
      </c>
      <c r="E175">
        <v>841127.43909999996</v>
      </c>
      <c r="F175" t="s">
        <v>133</v>
      </c>
    </row>
    <row r="176" spans="1:7" x14ac:dyDescent="0.45">
      <c r="A176" t="s">
        <v>151</v>
      </c>
      <c r="B176">
        <v>2050</v>
      </c>
      <c r="C176" t="s">
        <v>9</v>
      </c>
      <c r="E176">
        <v>558309.49750000006</v>
      </c>
      <c r="F176" t="s">
        <v>133</v>
      </c>
    </row>
    <row r="177" spans="1:8" x14ac:dyDescent="0.45">
      <c r="A177" t="s">
        <v>151</v>
      </c>
      <c r="B177" t="s">
        <v>150</v>
      </c>
      <c r="C177" t="s">
        <v>9</v>
      </c>
      <c r="E177">
        <v>9.9700000000000006</v>
      </c>
      <c r="F177" t="s">
        <v>152</v>
      </c>
      <c r="G177" t="s">
        <v>154</v>
      </c>
      <c r="H177" t="s">
        <v>153</v>
      </c>
    </row>
    <row r="178" spans="1:8" x14ac:dyDescent="0.45">
      <c r="A178" t="s">
        <v>163</v>
      </c>
      <c r="B178" s="13">
        <v>2030</v>
      </c>
      <c r="C178" t="s">
        <v>9</v>
      </c>
      <c r="E178">
        <v>11124025</v>
      </c>
      <c r="F178" t="s">
        <v>164</v>
      </c>
    </row>
    <row r="179" spans="1:8" x14ac:dyDescent="0.45">
      <c r="A179" t="s">
        <v>163</v>
      </c>
      <c r="B179" s="3">
        <v>2035</v>
      </c>
      <c r="C179" t="s">
        <v>9</v>
      </c>
      <c r="E179">
        <v>11124025</v>
      </c>
      <c r="F179" t="s">
        <v>164</v>
      </c>
    </row>
    <row r="180" spans="1:8" x14ac:dyDescent="0.45">
      <c r="A180" t="s">
        <v>163</v>
      </c>
      <c r="B180" s="3">
        <v>2040</v>
      </c>
      <c r="C180" t="s">
        <v>9</v>
      </c>
      <c r="E180">
        <v>11124025</v>
      </c>
      <c r="F180" t="s">
        <v>164</v>
      </c>
    </row>
    <row r="181" spans="1:8" x14ac:dyDescent="0.45">
      <c r="A181" t="s">
        <v>163</v>
      </c>
      <c r="B181" s="3">
        <v>2045</v>
      </c>
      <c r="C181" t="s">
        <v>9</v>
      </c>
      <c r="E181">
        <v>11124025</v>
      </c>
      <c r="F181" t="s">
        <v>164</v>
      </c>
    </row>
    <row r="182" spans="1:8" x14ac:dyDescent="0.45">
      <c r="A182" t="s">
        <v>163</v>
      </c>
      <c r="B182" s="14">
        <v>2050</v>
      </c>
      <c r="C182" t="s">
        <v>9</v>
      </c>
      <c r="E182">
        <v>11124025</v>
      </c>
      <c r="F182" t="s">
        <v>164</v>
      </c>
    </row>
  </sheetData>
  <sortState xmlns:xlrd2="http://schemas.microsoft.com/office/spreadsheetml/2017/richdata2" ref="A170:G172">
    <sortCondition ref="A170:A172"/>
    <sortCondition ref="B170:B172"/>
  </sortState>
  <phoneticPr fontId="3" type="noConversion"/>
  <hyperlinks>
    <hyperlink ref="G61" r:id="rId1" xr:uid="{2710B46B-DA63-45BF-83C4-FB0E6141759F}"/>
    <hyperlink ref="G10" r:id="rId2" xr:uid="{D749BECC-A3D8-4A9C-9050-564FA6C96392}"/>
    <hyperlink ref="G14" r:id="rId3" xr:uid="{E9E4CB98-5CB4-4ABD-8B7D-E5969DE0CB23}"/>
    <hyperlink ref="G18" r:id="rId4" xr:uid="{90419648-3AF3-48E4-9098-BB40D468B70E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956D-F5C6-45D2-95A6-C4B2CC285405}">
  <dimension ref="A1:G128"/>
  <sheetViews>
    <sheetView topLeftCell="A87" zoomScale="115" zoomScaleNormal="115" workbookViewId="0">
      <selection activeCell="C26" sqref="C26"/>
    </sheetView>
  </sheetViews>
  <sheetFormatPr baseColWidth="10" defaultRowHeight="14.25" x14ac:dyDescent="0.45"/>
  <cols>
    <col min="1" max="1" width="16.1328125" bestFit="1" customWidth="1"/>
    <col min="2" max="2" width="20.3984375" customWidth="1"/>
    <col min="3" max="3" width="13.86328125" bestFit="1" customWidth="1"/>
    <col min="4" max="4" width="21.265625" bestFit="1" customWidth="1"/>
    <col min="5" max="5" width="20.265625" customWidth="1"/>
    <col min="6" max="6" width="40.265625" customWidth="1"/>
    <col min="7" max="7" width="61.59765625" customWidth="1"/>
  </cols>
  <sheetData>
    <row r="1" spans="1:7" x14ac:dyDescent="0.45">
      <c r="A1" s="1" t="s">
        <v>0</v>
      </c>
      <c r="B1" s="1" t="s">
        <v>1</v>
      </c>
      <c r="C1" s="1" t="s">
        <v>5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45">
      <c r="A2" t="s">
        <v>36</v>
      </c>
      <c r="B2">
        <v>2030</v>
      </c>
      <c r="C2" t="s">
        <v>173</v>
      </c>
      <c r="D2" s="5">
        <f>820676.5784/General_Data_Assumption!F12</f>
        <v>102.5845723</v>
      </c>
      <c r="E2" t="s">
        <v>173</v>
      </c>
    </row>
    <row r="3" spans="1:7" x14ac:dyDescent="0.45">
      <c r="A3" t="s">
        <v>36</v>
      </c>
      <c r="B3">
        <f>(B2+B4)/2</f>
        <v>2035</v>
      </c>
      <c r="C3" t="s">
        <v>173</v>
      </c>
      <c r="D3" s="5">
        <f>(D2+D4)/2</f>
        <v>93.244352581250013</v>
      </c>
      <c r="E3" t="s">
        <v>173</v>
      </c>
    </row>
    <row r="4" spans="1:7" x14ac:dyDescent="0.45">
      <c r="A4" t="s">
        <v>36</v>
      </c>
      <c r="B4">
        <v>2040</v>
      </c>
      <c r="C4" t="s">
        <v>173</v>
      </c>
      <c r="D4" s="5">
        <f>671233.0629/General_Data_Assumption!$F$12</f>
        <v>83.904132862500006</v>
      </c>
      <c r="E4" t="s">
        <v>173</v>
      </c>
    </row>
    <row r="5" spans="1:7" x14ac:dyDescent="0.45">
      <c r="A5" t="s">
        <v>36</v>
      </c>
      <c r="B5">
        <f>(B4+B6)/2</f>
        <v>2045</v>
      </c>
      <c r="C5" t="s">
        <v>173</v>
      </c>
      <c r="D5" s="5">
        <f>(D4+D6)/2</f>
        <v>74.114637224999996</v>
      </c>
      <c r="E5" t="s">
        <v>173</v>
      </c>
    </row>
    <row r="6" spans="1:7" x14ac:dyDescent="0.45">
      <c r="A6" t="s">
        <v>36</v>
      </c>
      <c r="B6">
        <v>2050</v>
      </c>
      <c r="C6" t="s">
        <v>173</v>
      </c>
      <c r="D6" s="5">
        <f>514601.1327/General_Data_Assumption!$F$12</f>
        <v>64.325141587499999</v>
      </c>
      <c r="E6" t="s">
        <v>173</v>
      </c>
    </row>
    <row r="7" spans="1:7" x14ac:dyDescent="0.45">
      <c r="A7" t="s">
        <v>31</v>
      </c>
      <c r="B7">
        <v>2030</v>
      </c>
      <c r="C7" t="s">
        <v>165</v>
      </c>
      <c r="D7" s="6">
        <f>Input!E27/General_Data_Assumption!$F$7</f>
        <v>492.28670364500795</v>
      </c>
      <c r="E7" t="s">
        <v>165</v>
      </c>
    </row>
    <row r="8" spans="1:7" x14ac:dyDescent="0.45">
      <c r="A8" t="s">
        <v>31</v>
      </c>
      <c r="B8">
        <v>2035</v>
      </c>
      <c r="C8" t="s">
        <v>165</v>
      </c>
      <c r="D8" s="6">
        <f>Input!E28/General_Data_Assumption!$F$7</f>
        <v>424.88320919175914</v>
      </c>
      <c r="E8" t="s">
        <v>165</v>
      </c>
    </row>
    <row r="9" spans="1:7" x14ac:dyDescent="0.45">
      <c r="A9" t="s">
        <v>31</v>
      </c>
      <c r="B9">
        <v>2040</v>
      </c>
      <c r="C9" t="s">
        <v>165</v>
      </c>
      <c r="D9" s="6">
        <f>Input!E29/General_Data_Assumption!$F$7</f>
        <v>357.47971473851032</v>
      </c>
      <c r="E9" t="s">
        <v>165</v>
      </c>
    </row>
    <row r="10" spans="1:7" x14ac:dyDescent="0.45">
      <c r="A10" t="s">
        <v>31</v>
      </c>
      <c r="B10">
        <v>2045</v>
      </c>
      <c r="C10" t="s">
        <v>165</v>
      </c>
      <c r="D10" s="6">
        <f>Input!E30/General_Data_Assumption!$F$7</f>
        <v>301.8115372424723</v>
      </c>
      <c r="E10" t="s">
        <v>165</v>
      </c>
    </row>
    <row r="11" spans="1:7" x14ac:dyDescent="0.45">
      <c r="A11" t="s">
        <v>31</v>
      </c>
      <c r="B11">
        <v>2050</v>
      </c>
      <c r="C11" t="s">
        <v>165</v>
      </c>
      <c r="D11" s="6">
        <f>Input!E31/General_Data_Assumption!$F$7</f>
        <v>246.14335974643424</v>
      </c>
      <c r="E11" t="s">
        <v>165</v>
      </c>
    </row>
    <row r="12" spans="1:7" x14ac:dyDescent="0.45">
      <c r="A12" t="s">
        <v>33</v>
      </c>
      <c r="B12">
        <v>2030</v>
      </c>
      <c r="C12" t="s">
        <v>166</v>
      </c>
      <c r="D12" s="2">
        <f>Input!E32*General_Data_Assumption!$F$15/(General_Data_Assumption!$F$16*1000)</f>
        <v>817.51824817518252</v>
      </c>
      <c r="E12" t="s">
        <v>166</v>
      </c>
      <c r="F12" t="s">
        <v>90</v>
      </c>
    </row>
    <row r="13" spans="1:7" x14ac:dyDescent="0.45">
      <c r="A13" t="s">
        <v>33</v>
      </c>
      <c r="B13">
        <v>2035</v>
      </c>
      <c r="C13" t="s">
        <v>166</v>
      </c>
      <c r="D13" s="2">
        <f>Input!E33*General_Data_Assumption!$F$15/(General_Data_Assumption!$F$16*1000)</f>
        <v>759.12408759124082</v>
      </c>
      <c r="E13" t="s">
        <v>166</v>
      </c>
    </row>
    <row r="14" spans="1:7" x14ac:dyDescent="0.45">
      <c r="A14" t="s">
        <v>33</v>
      </c>
      <c r="B14">
        <v>2040</v>
      </c>
      <c r="C14" t="s">
        <v>166</v>
      </c>
      <c r="D14" s="2">
        <f>Input!E34*General_Data_Assumption!$F$15/(General_Data_Assumption!$F$16*1000)</f>
        <v>700.72992700729924</v>
      </c>
      <c r="E14" t="s">
        <v>166</v>
      </c>
    </row>
    <row r="15" spans="1:7" x14ac:dyDescent="0.45">
      <c r="A15" t="s">
        <v>33</v>
      </c>
      <c r="B15">
        <v>2045</v>
      </c>
      <c r="C15" t="s">
        <v>166</v>
      </c>
      <c r="D15" s="2">
        <f>Input!E35*General_Data_Assumption!$F$15/(General_Data_Assumption!$F$16*1000)</f>
        <v>583.94160583941607</v>
      </c>
      <c r="E15" t="s">
        <v>166</v>
      </c>
    </row>
    <row r="16" spans="1:7" x14ac:dyDescent="0.45">
      <c r="A16" t="s">
        <v>33</v>
      </c>
      <c r="B16">
        <v>2050</v>
      </c>
      <c r="C16" t="s">
        <v>166</v>
      </c>
      <c r="D16" s="2">
        <f>Input!E36*General_Data_Assumption!$F$15/(General_Data_Assumption!$F$16*1000)</f>
        <v>467.15328467153284</v>
      </c>
      <c r="E16" t="s">
        <v>166</v>
      </c>
    </row>
    <row r="17" spans="1:7" x14ac:dyDescent="0.45">
      <c r="A17" t="s">
        <v>28</v>
      </c>
      <c r="B17">
        <v>2030</v>
      </c>
      <c r="C17" t="s">
        <v>167</v>
      </c>
      <c r="D17" s="2">
        <f>ROUND(1.18962592564952,2)*1000</f>
        <v>1190</v>
      </c>
      <c r="E17" t="s">
        <v>167</v>
      </c>
      <c r="F17" t="s">
        <v>87</v>
      </c>
    </row>
    <row r="18" spans="1:7" x14ac:dyDescent="0.45">
      <c r="A18" t="s">
        <v>28</v>
      </c>
      <c r="B18">
        <v>2035</v>
      </c>
      <c r="C18" t="s">
        <v>167</v>
      </c>
      <c r="D18" s="10">
        <f>($D$21-$D$17)/($B$21-$B$17)*(B18-$B$17)+$D$17</f>
        <v>1041.25</v>
      </c>
      <c r="E18" t="s">
        <v>167</v>
      </c>
    </row>
    <row r="19" spans="1:7" x14ac:dyDescent="0.45">
      <c r="A19" t="s">
        <v>28</v>
      </c>
      <c r="B19">
        <v>2040</v>
      </c>
      <c r="C19" t="s">
        <v>167</v>
      </c>
      <c r="D19" s="10">
        <f>($D$21-$D$17)/($B$21-$B$17)*(B19-$B$17)+$D$17</f>
        <v>892.5</v>
      </c>
      <c r="E19" t="s">
        <v>167</v>
      </c>
    </row>
    <row r="20" spans="1:7" x14ac:dyDescent="0.45">
      <c r="A20" t="s">
        <v>28</v>
      </c>
      <c r="B20">
        <v>2045</v>
      </c>
      <c r="C20" t="s">
        <v>167</v>
      </c>
      <c r="D20" s="10">
        <f>($D$21-$D$17)/($B$21-$B$17)*(B20-$B$17)+$D$17</f>
        <v>743.75</v>
      </c>
      <c r="E20" t="s">
        <v>167</v>
      </c>
    </row>
    <row r="21" spans="1:7" x14ac:dyDescent="0.45">
      <c r="A21" t="s">
        <v>28</v>
      </c>
      <c r="B21">
        <v>2050</v>
      </c>
      <c r="C21" t="s">
        <v>167</v>
      </c>
      <c r="D21" s="10">
        <f>0.5*D17</f>
        <v>595</v>
      </c>
      <c r="E21" t="s">
        <v>167</v>
      </c>
    </row>
    <row r="22" spans="1:7" x14ac:dyDescent="0.45">
      <c r="A22" t="s">
        <v>8</v>
      </c>
      <c r="B22">
        <v>2020</v>
      </c>
      <c r="C22" t="s">
        <v>167</v>
      </c>
      <c r="D22" s="6">
        <f>Input!E93</f>
        <v>734.4747692307692</v>
      </c>
      <c r="E22" t="s">
        <v>167</v>
      </c>
      <c r="F22" t="s">
        <v>111</v>
      </c>
      <c r="G22" t="s">
        <v>12</v>
      </c>
    </row>
    <row r="23" spans="1:7" x14ac:dyDescent="0.45">
      <c r="A23" t="s">
        <v>8</v>
      </c>
      <c r="B23">
        <v>2030</v>
      </c>
      <c r="C23" t="s">
        <v>167</v>
      </c>
      <c r="D23" s="2">
        <f>$D$22*Input!E3/Input!$E$2</f>
        <v>631.01449082344175</v>
      </c>
      <c r="E23" t="s">
        <v>167</v>
      </c>
      <c r="G23" t="s">
        <v>12</v>
      </c>
    </row>
    <row r="24" spans="1:7" x14ac:dyDescent="0.45">
      <c r="A24" t="s">
        <v>8</v>
      </c>
      <c r="B24">
        <v>2040</v>
      </c>
      <c r="C24" t="s">
        <v>167</v>
      </c>
      <c r="D24" s="2">
        <f>$D$22*Input!E4/Input!$E$2</f>
        <v>548.52589048134746</v>
      </c>
      <c r="E24" t="s">
        <v>167</v>
      </c>
      <c r="G24" t="s">
        <v>12</v>
      </c>
    </row>
    <row r="25" spans="1:7" x14ac:dyDescent="0.45">
      <c r="A25" t="s">
        <v>8</v>
      </c>
      <c r="B25">
        <v>2050</v>
      </c>
      <c r="C25" t="s">
        <v>167</v>
      </c>
      <c r="D25" s="2">
        <f>$D$22*Input!E5/Input!$E$2</f>
        <v>466.03729013925306</v>
      </c>
      <c r="E25" t="s">
        <v>167</v>
      </c>
      <c r="G25" t="s">
        <v>12</v>
      </c>
    </row>
    <row r="26" spans="1:7" x14ac:dyDescent="0.45">
      <c r="A26" t="s">
        <v>13</v>
      </c>
      <c r="B26">
        <v>2030</v>
      </c>
      <c r="C26" t="s">
        <v>168</v>
      </c>
      <c r="D26" s="6">
        <f>Input!E56/(General_Data_Assumption!$F$12)*General_Data_Assumption!$F$8*1000</f>
        <v>949.00877500000001</v>
      </c>
      <c r="E26" t="s">
        <v>168</v>
      </c>
      <c r="F26" t="s">
        <v>89</v>
      </c>
    </row>
    <row r="27" spans="1:7" x14ac:dyDescent="0.45">
      <c r="A27" t="s">
        <v>13</v>
      </c>
      <c r="B27">
        <f>(B26+B28)/2</f>
        <v>2035</v>
      </c>
      <c r="C27" t="s">
        <v>168</v>
      </c>
      <c r="D27" s="6">
        <f>Input!E57/(General_Data_Assumption!$F$12)*General_Data_Assumption!$F$8*1000</f>
        <v>862.60248750000017</v>
      </c>
      <c r="E27" t="s">
        <v>168</v>
      </c>
    </row>
    <row r="28" spans="1:7" x14ac:dyDescent="0.45">
      <c r="A28" t="s">
        <v>13</v>
      </c>
      <c r="B28">
        <v>2040</v>
      </c>
      <c r="C28" t="s">
        <v>168</v>
      </c>
      <c r="D28" s="6">
        <f>Input!E58/(General_Data_Assumption!$F$12)*General_Data_Assumption!$F$8*1000</f>
        <v>776.19619999999998</v>
      </c>
      <c r="E28" t="s">
        <v>168</v>
      </c>
    </row>
    <row r="29" spans="1:7" x14ac:dyDescent="0.45">
      <c r="A29" t="s">
        <v>13</v>
      </c>
      <c r="B29">
        <f>(B28+B30)/2</f>
        <v>2045</v>
      </c>
      <c r="C29" t="s">
        <v>168</v>
      </c>
      <c r="D29" s="6">
        <f>Input!E59/(General_Data_Assumption!$F$12)*General_Data_Assumption!$F$8*1000</f>
        <v>685.63368249999996</v>
      </c>
      <c r="E29" t="s">
        <v>168</v>
      </c>
    </row>
    <row r="30" spans="1:7" x14ac:dyDescent="0.45">
      <c r="A30" t="s">
        <v>13</v>
      </c>
      <c r="B30">
        <v>2050</v>
      </c>
      <c r="C30" t="s">
        <v>168</v>
      </c>
      <c r="D30" s="6">
        <f>Input!E60/(General_Data_Assumption!$F$12)*General_Data_Assumption!$F$8*1000</f>
        <v>595.07116500000006</v>
      </c>
      <c r="E30" t="s">
        <v>168</v>
      </c>
    </row>
    <row r="31" spans="1:7" x14ac:dyDescent="0.45">
      <c r="A31" s="3" t="s">
        <v>157</v>
      </c>
      <c r="B31">
        <v>2030</v>
      </c>
      <c r="C31" t="s">
        <v>165</v>
      </c>
      <c r="D31" s="2">
        <f>Input!E61</f>
        <v>500</v>
      </c>
      <c r="E31" t="s">
        <v>165</v>
      </c>
    </row>
    <row r="32" spans="1:7" x14ac:dyDescent="0.45">
      <c r="A32" s="3" t="s">
        <v>157</v>
      </c>
      <c r="B32">
        <f>(B31+B33)/2</f>
        <v>2035</v>
      </c>
      <c r="C32" t="s">
        <v>165</v>
      </c>
      <c r="D32" s="2">
        <f>Input!E62</f>
        <v>375</v>
      </c>
      <c r="E32" t="s">
        <v>165</v>
      </c>
    </row>
    <row r="33" spans="1:7" x14ac:dyDescent="0.45">
      <c r="A33" s="3" t="s">
        <v>157</v>
      </c>
      <c r="B33">
        <v>2040</v>
      </c>
      <c r="C33" t="s">
        <v>165</v>
      </c>
      <c r="D33" s="2">
        <f>Input!E63</f>
        <v>250</v>
      </c>
      <c r="E33" t="s">
        <v>165</v>
      </c>
    </row>
    <row r="34" spans="1:7" x14ac:dyDescent="0.45">
      <c r="A34" s="3" t="s">
        <v>157</v>
      </c>
      <c r="B34">
        <f>(B33+B35)/2</f>
        <v>2045</v>
      </c>
      <c r="C34" t="s">
        <v>165</v>
      </c>
      <c r="D34" s="2">
        <f>Input!E64</f>
        <v>275</v>
      </c>
      <c r="E34" t="s">
        <v>165</v>
      </c>
    </row>
    <row r="35" spans="1:7" x14ac:dyDescent="0.45">
      <c r="A35" s="3" t="s">
        <v>157</v>
      </c>
      <c r="B35">
        <v>2050</v>
      </c>
      <c r="C35" t="s">
        <v>165</v>
      </c>
      <c r="D35" s="2">
        <f>Input!E65</f>
        <v>300</v>
      </c>
      <c r="E35" t="s">
        <v>165</v>
      </c>
    </row>
    <row r="36" spans="1:7" x14ac:dyDescent="0.45">
      <c r="A36" t="s">
        <v>24</v>
      </c>
      <c r="B36">
        <v>2020</v>
      </c>
      <c r="C36" t="s">
        <v>169</v>
      </c>
      <c r="D36" s="6">
        <f>Input!E37</f>
        <v>300</v>
      </c>
      <c r="E36" t="s">
        <v>169</v>
      </c>
      <c r="G36" t="s">
        <v>27</v>
      </c>
    </row>
    <row r="37" spans="1:7" x14ac:dyDescent="0.45">
      <c r="A37" t="s">
        <v>24</v>
      </c>
      <c r="B37">
        <v>2030</v>
      </c>
      <c r="C37" t="s">
        <v>169</v>
      </c>
      <c r="D37" s="6">
        <f>Input!E38</f>
        <v>300</v>
      </c>
      <c r="E37" t="s">
        <v>169</v>
      </c>
      <c r="G37" t="s">
        <v>27</v>
      </c>
    </row>
    <row r="38" spans="1:7" x14ac:dyDescent="0.45">
      <c r="A38" t="s">
        <v>24</v>
      </c>
      <c r="B38">
        <v>2040</v>
      </c>
      <c r="C38" t="s">
        <v>169</v>
      </c>
      <c r="D38" s="6">
        <f>Input!E39</f>
        <v>300</v>
      </c>
      <c r="E38" t="s">
        <v>169</v>
      </c>
      <c r="G38" t="s">
        <v>27</v>
      </c>
    </row>
    <row r="39" spans="1:7" x14ac:dyDescent="0.45">
      <c r="A39" t="s">
        <v>24</v>
      </c>
      <c r="B39">
        <v>2050</v>
      </c>
      <c r="C39" t="s">
        <v>169</v>
      </c>
      <c r="D39" s="6">
        <f>Input!E40</f>
        <v>300</v>
      </c>
      <c r="E39" t="s">
        <v>169</v>
      </c>
      <c r="G39" t="s">
        <v>27</v>
      </c>
    </row>
    <row r="40" spans="1:7" x14ac:dyDescent="0.45">
      <c r="A40" t="s">
        <v>16</v>
      </c>
      <c r="B40">
        <v>2020</v>
      </c>
      <c r="C40" t="s">
        <v>167</v>
      </c>
      <c r="D40" s="5">
        <f>Input!E10/General_Data_Assumption!$F$3*1000</f>
        <v>135.1351351351351</v>
      </c>
      <c r="E40" t="s">
        <v>167</v>
      </c>
      <c r="F40" t="s">
        <v>95</v>
      </c>
      <c r="G40" t="s">
        <v>96</v>
      </c>
    </row>
    <row r="41" spans="1:7" x14ac:dyDescent="0.45">
      <c r="A41" t="s">
        <v>16</v>
      </c>
      <c r="B41">
        <v>2030</v>
      </c>
      <c r="C41" t="s">
        <v>167</v>
      </c>
      <c r="D41" s="5">
        <f>Input!E11/General_Data_Assumption!$F$3*1000</f>
        <v>135.1351351351351</v>
      </c>
      <c r="E41" t="s">
        <v>167</v>
      </c>
    </row>
    <row r="42" spans="1:7" x14ac:dyDescent="0.45">
      <c r="A42" t="s">
        <v>16</v>
      </c>
      <c r="B42">
        <v>2040</v>
      </c>
      <c r="C42" t="s">
        <v>167</v>
      </c>
      <c r="D42" s="5">
        <f>Input!E12/General_Data_Assumption!$F$3*1000</f>
        <v>135.1351351351351</v>
      </c>
      <c r="E42" t="s">
        <v>167</v>
      </c>
    </row>
    <row r="43" spans="1:7" x14ac:dyDescent="0.45">
      <c r="A43" t="s">
        <v>16</v>
      </c>
      <c r="B43">
        <v>2050</v>
      </c>
      <c r="C43" t="s">
        <v>167</v>
      </c>
      <c r="D43" s="5">
        <f>Input!E13/General_Data_Assumption!$F$3*1000</f>
        <v>135.1351351351351</v>
      </c>
      <c r="E43" t="s">
        <v>167</v>
      </c>
    </row>
    <row r="44" spans="1:7" x14ac:dyDescent="0.45">
      <c r="A44" t="s">
        <v>162</v>
      </c>
      <c r="B44">
        <v>2020</v>
      </c>
      <c r="C44" t="s">
        <v>167</v>
      </c>
      <c r="D44" s="5">
        <f>Input!E14/General_Data_Assumption!$F$3+Input!E14/General_Data_Assumption!$F$3*1000</f>
        <v>252.50450450450447</v>
      </c>
      <c r="E44" t="s">
        <v>167</v>
      </c>
      <c r="F44" t="s">
        <v>95</v>
      </c>
      <c r="G44" t="s">
        <v>96</v>
      </c>
    </row>
    <row r="45" spans="1:7" x14ac:dyDescent="0.45">
      <c r="A45" t="s">
        <v>162</v>
      </c>
      <c r="B45">
        <v>2030</v>
      </c>
      <c r="C45" t="s">
        <v>167</v>
      </c>
      <c r="D45" s="5">
        <f>Input!E15/General_Data_Assumption!$F$3+Input!E15/General_Data_Assumption!$F$3*1000</f>
        <v>252.50450450450447</v>
      </c>
      <c r="E45" t="s">
        <v>167</v>
      </c>
    </row>
    <row r="46" spans="1:7" x14ac:dyDescent="0.45">
      <c r="A46" t="s">
        <v>162</v>
      </c>
      <c r="B46">
        <v>2040</v>
      </c>
      <c r="C46" t="s">
        <v>167</v>
      </c>
      <c r="D46" s="5">
        <f>Input!E16/General_Data_Assumption!$F$3+Input!E16/General_Data_Assumption!$F$3*1000</f>
        <v>252.50450450450447</v>
      </c>
      <c r="E46" t="s">
        <v>167</v>
      </c>
    </row>
    <row r="47" spans="1:7" x14ac:dyDescent="0.45">
      <c r="A47" t="s">
        <v>162</v>
      </c>
      <c r="B47">
        <v>2050</v>
      </c>
      <c r="C47" t="s">
        <v>167</v>
      </c>
      <c r="D47" s="5">
        <f>Input!E17/General_Data_Assumption!$F$3+Input!E17/General_Data_Assumption!$F$3*1000</f>
        <v>252.50450450450447</v>
      </c>
      <c r="E47" t="s">
        <v>167</v>
      </c>
    </row>
    <row r="48" spans="1:7" x14ac:dyDescent="0.45">
      <c r="A48" t="s">
        <v>163</v>
      </c>
      <c r="B48" s="13">
        <v>2030</v>
      </c>
      <c r="C48" t="s">
        <v>169</v>
      </c>
      <c r="D48" s="2">
        <f>11124025/5000</f>
        <v>2224.8049999999998</v>
      </c>
      <c r="E48" t="s">
        <v>169</v>
      </c>
    </row>
    <row r="49" spans="1:7" x14ac:dyDescent="0.45">
      <c r="A49" t="s">
        <v>163</v>
      </c>
      <c r="B49" s="3">
        <v>2035</v>
      </c>
      <c r="C49" t="s">
        <v>169</v>
      </c>
      <c r="D49" s="2">
        <f>11124025/5000</f>
        <v>2224.8049999999998</v>
      </c>
      <c r="E49" t="s">
        <v>169</v>
      </c>
    </row>
    <row r="50" spans="1:7" x14ac:dyDescent="0.45">
      <c r="A50" t="s">
        <v>163</v>
      </c>
      <c r="B50" s="3">
        <v>2040</v>
      </c>
      <c r="C50" t="s">
        <v>169</v>
      </c>
      <c r="D50" s="2">
        <f>11124025/5000</f>
        <v>2224.8049999999998</v>
      </c>
      <c r="E50" t="s">
        <v>169</v>
      </c>
    </row>
    <row r="51" spans="1:7" x14ac:dyDescent="0.45">
      <c r="A51" t="s">
        <v>163</v>
      </c>
      <c r="B51" s="3">
        <v>2045</v>
      </c>
      <c r="C51" t="s">
        <v>169</v>
      </c>
      <c r="D51" s="2">
        <f>11124025/5000</f>
        <v>2224.8049999999998</v>
      </c>
      <c r="E51" t="s">
        <v>169</v>
      </c>
    </row>
    <row r="52" spans="1:7" x14ac:dyDescent="0.45">
      <c r="A52" t="s">
        <v>163</v>
      </c>
      <c r="B52" s="14">
        <v>2050</v>
      </c>
      <c r="C52" t="s">
        <v>169</v>
      </c>
      <c r="D52" s="2">
        <f>11124025/5000</f>
        <v>2224.8049999999998</v>
      </c>
      <c r="E52" t="s">
        <v>169</v>
      </c>
    </row>
    <row r="53" spans="1:7" x14ac:dyDescent="0.45">
      <c r="A53" t="s">
        <v>17</v>
      </c>
      <c r="B53">
        <v>2020</v>
      </c>
      <c r="C53" t="s">
        <v>170</v>
      </c>
      <c r="D53" s="2">
        <f>4277858/5000</f>
        <v>855.57159999999999</v>
      </c>
      <c r="E53" t="s">
        <v>170</v>
      </c>
      <c r="G53" t="s">
        <v>18</v>
      </c>
    </row>
    <row r="54" spans="1:7" x14ac:dyDescent="0.45">
      <c r="A54" t="s">
        <v>17</v>
      </c>
      <c r="B54">
        <v>2030</v>
      </c>
      <c r="C54" t="s">
        <v>170</v>
      </c>
      <c r="D54" s="2">
        <f t="shared" ref="D54:D58" si="0">4277858/5000</f>
        <v>855.57159999999999</v>
      </c>
      <c r="E54" t="s">
        <v>170</v>
      </c>
    </row>
    <row r="55" spans="1:7" x14ac:dyDescent="0.45">
      <c r="A55" t="s">
        <v>17</v>
      </c>
      <c r="B55">
        <v>2035</v>
      </c>
      <c r="C55" t="s">
        <v>170</v>
      </c>
      <c r="D55" s="2">
        <f t="shared" si="0"/>
        <v>855.57159999999999</v>
      </c>
      <c r="E55" t="s">
        <v>170</v>
      </c>
    </row>
    <row r="56" spans="1:7" x14ac:dyDescent="0.45">
      <c r="A56" t="s">
        <v>17</v>
      </c>
      <c r="B56">
        <v>2040</v>
      </c>
      <c r="C56" t="s">
        <v>170</v>
      </c>
      <c r="D56" s="2">
        <f t="shared" si="0"/>
        <v>855.57159999999999</v>
      </c>
      <c r="E56" t="s">
        <v>170</v>
      </c>
    </row>
    <row r="57" spans="1:7" x14ac:dyDescent="0.45">
      <c r="A57" t="s">
        <v>17</v>
      </c>
      <c r="B57">
        <v>2045</v>
      </c>
      <c r="C57" t="s">
        <v>170</v>
      </c>
      <c r="D57" s="2">
        <f t="shared" si="0"/>
        <v>855.57159999999999</v>
      </c>
      <c r="E57" t="s">
        <v>170</v>
      </c>
    </row>
    <row r="58" spans="1:7" x14ac:dyDescent="0.45">
      <c r="A58" t="s">
        <v>17</v>
      </c>
      <c r="B58">
        <v>2050</v>
      </c>
      <c r="C58" t="s">
        <v>170</v>
      </c>
      <c r="D58" s="2">
        <f t="shared" si="0"/>
        <v>855.57159999999999</v>
      </c>
      <c r="E58" t="s">
        <v>170</v>
      </c>
    </row>
    <row r="59" spans="1:7" x14ac:dyDescent="0.45">
      <c r="A59" t="s">
        <v>19</v>
      </c>
      <c r="B59">
        <v>2020</v>
      </c>
      <c r="C59" t="s">
        <v>170</v>
      </c>
      <c r="D59" s="2">
        <f t="shared" ref="D59:D64" si="1">1839600/5000</f>
        <v>367.92</v>
      </c>
      <c r="E59" t="s">
        <v>170</v>
      </c>
    </row>
    <row r="60" spans="1:7" x14ac:dyDescent="0.45">
      <c r="A60" t="s">
        <v>19</v>
      </c>
      <c r="B60">
        <v>2030</v>
      </c>
      <c r="C60" t="s">
        <v>170</v>
      </c>
      <c r="D60" s="2">
        <f t="shared" si="1"/>
        <v>367.92</v>
      </c>
      <c r="E60" t="s">
        <v>170</v>
      </c>
    </row>
    <row r="61" spans="1:7" x14ac:dyDescent="0.45">
      <c r="A61" t="s">
        <v>19</v>
      </c>
      <c r="B61">
        <v>2035</v>
      </c>
      <c r="C61" t="s">
        <v>170</v>
      </c>
      <c r="D61" s="2">
        <f t="shared" si="1"/>
        <v>367.92</v>
      </c>
      <c r="E61" t="s">
        <v>170</v>
      </c>
    </row>
    <row r="62" spans="1:7" x14ac:dyDescent="0.45">
      <c r="A62" t="s">
        <v>19</v>
      </c>
      <c r="B62">
        <v>2040</v>
      </c>
      <c r="C62" t="s">
        <v>170</v>
      </c>
      <c r="D62" s="2">
        <f t="shared" si="1"/>
        <v>367.92</v>
      </c>
      <c r="E62" t="s">
        <v>170</v>
      </c>
    </row>
    <row r="63" spans="1:7" x14ac:dyDescent="0.45">
      <c r="A63" t="s">
        <v>19</v>
      </c>
      <c r="B63">
        <v>2045</v>
      </c>
      <c r="C63" t="s">
        <v>170</v>
      </c>
      <c r="D63" s="2">
        <f t="shared" si="1"/>
        <v>367.92</v>
      </c>
      <c r="E63" t="s">
        <v>170</v>
      </c>
    </row>
    <row r="64" spans="1:7" x14ac:dyDescent="0.45">
      <c r="A64" t="s">
        <v>19</v>
      </c>
      <c r="B64">
        <v>2050</v>
      </c>
      <c r="C64" t="s">
        <v>170</v>
      </c>
      <c r="D64" s="2">
        <f t="shared" si="1"/>
        <v>367.92</v>
      </c>
      <c r="E64" t="s">
        <v>170</v>
      </c>
    </row>
    <row r="65" spans="1:7" x14ac:dyDescent="0.45">
      <c r="A65" t="s">
        <v>122</v>
      </c>
      <c r="B65">
        <v>2025</v>
      </c>
      <c r="C65" t="s">
        <v>171</v>
      </c>
      <c r="D65" s="2">
        <f>Input!E100/36</f>
        <v>331.25</v>
      </c>
      <c r="E65" t="s">
        <v>171</v>
      </c>
    </row>
    <row r="66" spans="1:7" x14ac:dyDescent="0.45">
      <c r="A66" t="s">
        <v>122</v>
      </c>
      <c r="B66">
        <v>2030</v>
      </c>
      <c r="C66" t="s">
        <v>171</v>
      </c>
      <c r="D66" s="2">
        <f>Input!E101/36</f>
        <v>284.35000000000002</v>
      </c>
      <c r="E66" t="s">
        <v>171</v>
      </c>
    </row>
    <row r="67" spans="1:7" x14ac:dyDescent="0.45">
      <c r="A67" t="s">
        <v>122</v>
      </c>
      <c r="B67">
        <v>2035</v>
      </c>
      <c r="C67" t="s">
        <v>171</v>
      </c>
      <c r="D67" s="2">
        <f>Input!E102/36</f>
        <v>237.45000000000002</v>
      </c>
      <c r="E67" t="s">
        <v>171</v>
      </c>
    </row>
    <row r="68" spans="1:7" x14ac:dyDescent="0.45">
      <c r="A68" t="s">
        <v>122</v>
      </c>
      <c r="B68">
        <v>2040</v>
      </c>
      <c r="C68" t="s">
        <v>171</v>
      </c>
      <c r="D68" s="2">
        <f>Input!E103/36</f>
        <v>190.55</v>
      </c>
      <c r="E68" t="s">
        <v>171</v>
      </c>
    </row>
    <row r="69" spans="1:7" x14ac:dyDescent="0.45">
      <c r="A69" t="s">
        <v>122</v>
      </c>
      <c r="B69">
        <v>2045</v>
      </c>
      <c r="C69" t="s">
        <v>171</v>
      </c>
      <c r="D69" s="2">
        <f>Input!E104/36</f>
        <v>143.64999999999998</v>
      </c>
      <c r="E69" t="s">
        <v>171</v>
      </c>
    </row>
    <row r="70" spans="1:7" x14ac:dyDescent="0.45">
      <c r="A70" t="s">
        <v>122</v>
      </c>
      <c r="B70">
        <v>2050</v>
      </c>
      <c r="C70" t="s">
        <v>171</v>
      </c>
      <c r="D70" s="2">
        <f>Input!E105/36</f>
        <v>96.75</v>
      </c>
      <c r="E70" t="s">
        <v>171</v>
      </c>
    </row>
    <row r="71" spans="1:7" x14ac:dyDescent="0.45">
      <c r="A71" t="s">
        <v>160</v>
      </c>
      <c r="B71">
        <v>2030</v>
      </c>
      <c r="C71" t="s">
        <v>167</v>
      </c>
      <c r="D71" s="2">
        <f>Input!E106/33.5</f>
        <v>392.60238805970152</v>
      </c>
      <c r="E71" t="s">
        <v>167</v>
      </c>
    </row>
    <row r="72" spans="1:7" x14ac:dyDescent="0.45">
      <c r="A72" t="s">
        <v>160</v>
      </c>
      <c r="B72">
        <v>2035</v>
      </c>
      <c r="C72" t="s">
        <v>167</v>
      </c>
      <c r="D72" s="2">
        <f>Input!E107/33.5</f>
        <v>334.93360417080925</v>
      </c>
      <c r="E72" t="s">
        <v>167</v>
      </c>
    </row>
    <row r="73" spans="1:7" x14ac:dyDescent="0.45">
      <c r="A73" t="s">
        <v>160</v>
      </c>
      <c r="B73">
        <v>2040</v>
      </c>
      <c r="C73" t="s">
        <v>167</v>
      </c>
      <c r="D73" s="2">
        <f>Input!E108/33.5</f>
        <v>236.53780107081909</v>
      </c>
      <c r="E73" t="s">
        <v>167</v>
      </c>
    </row>
    <row r="74" spans="1:7" x14ac:dyDescent="0.45">
      <c r="A74" t="s">
        <v>160</v>
      </c>
      <c r="B74">
        <v>2045</v>
      </c>
      <c r="C74" t="s">
        <v>167</v>
      </c>
      <c r="D74" s="2">
        <f>Input!E109/33.5</f>
        <v>132.30373821459011</v>
      </c>
      <c r="E74" t="s">
        <v>167</v>
      </c>
    </row>
    <row r="75" spans="1:7" x14ac:dyDescent="0.45">
      <c r="A75" t="s">
        <v>160</v>
      </c>
      <c r="B75">
        <v>2050</v>
      </c>
      <c r="C75" t="s">
        <v>167</v>
      </c>
      <c r="D75" s="2">
        <f>Input!E110/33.5</f>
        <v>54.568136813922813</v>
      </c>
      <c r="E75" t="s">
        <v>167</v>
      </c>
    </row>
    <row r="76" spans="1:7" x14ac:dyDescent="0.45">
      <c r="A76" t="s">
        <v>124</v>
      </c>
      <c r="B76">
        <v>2025</v>
      </c>
      <c r="C76" t="s">
        <v>165</v>
      </c>
      <c r="D76" s="2">
        <f>Input!E111/19.9</f>
        <v>2636.5326633165832</v>
      </c>
      <c r="E76" t="s">
        <v>165</v>
      </c>
      <c r="G76" t="s">
        <v>131</v>
      </c>
    </row>
    <row r="77" spans="1:7" x14ac:dyDescent="0.45">
      <c r="A77" t="s">
        <v>124</v>
      </c>
      <c r="B77">
        <v>2030</v>
      </c>
      <c r="C77" t="s">
        <v>165</v>
      </c>
      <c r="D77" s="2">
        <f>$D$76*Input!E112/Input!$E$111</f>
        <v>2249.2562814070352</v>
      </c>
      <c r="E77" t="s">
        <v>165</v>
      </c>
    </row>
    <row r="78" spans="1:7" x14ac:dyDescent="0.45">
      <c r="A78" t="s">
        <v>124</v>
      </c>
      <c r="B78">
        <v>2035</v>
      </c>
      <c r="C78" t="s">
        <v>165</v>
      </c>
      <c r="D78" s="2">
        <f>$D$76*Input!E113/Input!$E$111</f>
        <v>1861.9798994974876</v>
      </c>
      <c r="E78" t="s">
        <v>165</v>
      </c>
    </row>
    <row r="79" spans="1:7" x14ac:dyDescent="0.45">
      <c r="A79" t="s">
        <v>124</v>
      </c>
      <c r="B79">
        <v>2040</v>
      </c>
      <c r="C79" t="s">
        <v>165</v>
      </c>
      <c r="D79" s="2">
        <f>$D$76*Input!E114/Input!$E$111</f>
        <v>1474.70351758794</v>
      </c>
      <c r="E79" t="s">
        <v>165</v>
      </c>
    </row>
    <row r="80" spans="1:7" x14ac:dyDescent="0.45">
      <c r="A80" t="s">
        <v>124</v>
      </c>
      <c r="B80">
        <v>2045</v>
      </c>
      <c r="C80" t="s">
        <v>165</v>
      </c>
      <c r="D80" s="2">
        <f>$D$76*Input!E115/Input!$E$111</f>
        <v>1087.4271356783922</v>
      </c>
      <c r="E80" t="s">
        <v>165</v>
      </c>
    </row>
    <row r="81" spans="1:7" x14ac:dyDescent="0.45">
      <c r="A81" t="s">
        <v>124</v>
      </c>
      <c r="B81">
        <v>2050</v>
      </c>
      <c r="C81" t="s">
        <v>165</v>
      </c>
      <c r="D81" s="2">
        <f>$D$76*Input!E116/Input!$E$111</f>
        <v>700.15075376884431</v>
      </c>
      <c r="E81" t="s">
        <v>165</v>
      </c>
    </row>
    <row r="82" spans="1:7" x14ac:dyDescent="0.45">
      <c r="A82" t="s">
        <v>125</v>
      </c>
      <c r="B82">
        <v>2025</v>
      </c>
      <c r="C82" t="s">
        <v>168</v>
      </c>
      <c r="D82" s="2">
        <f>Input!E117/19.9</f>
        <v>2876.0301507537692</v>
      </c>
      <c r="E82" t="s">
        <v>168</v>
      </c>
    </row>
    <row r="83" spans="1:7" x14ac:dyDescent="0.45">
      <c r="A83" t="s">
        <v>125</v>
      </c>
      <c r="B83">
        <v>2030</v>
      </c>
      <c r="C83" t="s">
        <v>168</v>
      </c>
      <c r="D83" s="2">
        <f>$D$82*Input!E118/Input!$E$117</f>
        <v>2249.2562814070357</v>
      </c>
      <c r="E83" t="s">
        <v>168</v>
      </c>
    </row>
    <row r="84" spans="1:7" x14ac:dyDescent="0.45">
      <c r="A84" t="s">
        <v>125</v>
      </c>
      <c r="B84">
        <v>2035</v>
      </c>
      <c r="C84" t="s">
        <v>168</v>
      </c>
      <c r="D84" s="2">
        <f>$D$82*Input!E119/Input!$E$117</f>
        <v>1861.9798994974878</v>
      </c>
      <c r="E84" t="s">
        <v>168</v>
      </c>
    </row>
    <row r="85" spans="1:7" x14ac:dyDescent="0.45">
      <c r="A85" t="s">
        <v>125</v>
      </c>
      <c r="B85">
        <v>2040</v>
      </c>
      <c r="C85" t="s">
        <v>168</v>
      </c>
      <c r="D85" s="2">
        <f>$D$82*Input!E120/Input!$E$117</f>
        <v>1474.70351758794</v>
      </c>
      <c r="E85" t="s">
        <v>168</v>
      </c>
    </row>
    <row r="86" spans="1:7" x14ac:dyDescent="0.45">
      <c r="A86" t="s">
        <v>125</v>
      </c>
      <c r="B86">
        <v>2045</v>
      </c>
      <c r="C86" t="s">
        <v>168</v>
      </c>
      <c r="D86" s="2">
        <f>$D$82*Input!E121/Input!$E$117</f>
        <v>1087.4271356783922</v>
      </c>
      <c r="E86" t="s">
        <v>168</v>
      </c>
    </row>
    <row r="87" spans="1:7" x14ac:dyDescent="0.45">
      <c r="A87" t="s">
        <v>125</v>
      </c>
      <c r="B87">
        <v>2050</v>
      </c>
      <c r="C87" t="s">
        <v>168</v>
      </c>
      <c r="D87" s="2">
        <f>$D$82*Input!E122/Input!$E$117</f>
        <v>700.15075376884431</v>
      </c>
      <c r="E87" t="s">
        <v>168</v>
      </c>
    </row>
    <row r="88" spans="1:7" x14ac:dyDescent="0.45">
      <c r="A88" t="s">
        <v>39</v>
      </c>
      <c r="B88">
        <v>2020</v>
      </c>
      <c r="C88" t="s">
        <v>172</v>
      </c>
      <c r="D88">
        <v>1992</v>
      </c>
      <c r="E88" t="s">
        <v>172</v>
      </c>
      <c r="G88" t="s">
        <v>44</v>
      </c>
    </row>
    <row r="89" spans="1:7" x14ac:dyDescent="0.45">
      <c r="A89" t="s">
        <v>39</v>
      </c>
      <c r="B89">
        <v>2030</v>
      </c>
      <c r="C89" t="s">
        <v>172</v>
      </c>
      <c r="D89">
        <v>1682</v>
      </c>
      <c r="E89" t="s">
        <v>172</v>
      </c>
      <c r="G89" t="s">
        <v>44</v>
      </c>
    </row>
    <row r="90" spans="1:7" x14ac:dyDescent="0.45">
      <c r="A90" t="s">
        <v>39</v>
      </c>
      <c r="B90">
        <v>2035</v>
      </c>
      <c r="C90" t="s">
        <v>172</v>
      </c>
      <c r="D90">
        <v>1622</v>
      </c>
      <c r="E90" t="s">
        <v>172</v>
      </c>
      <c r="G90" t="s">
        <v>44</v>
      </c>
    </row>
    <row r="91" spans="1:7" x14ac:dyDescent="0.45">
      <c r="A91" t="s">
        <v>39</v>
      </c>
      <c r="B91">
        <v>2040</v>
      </c>
      <c r="C91" t="s">
        <v>172</v>
      </c>
      <c r="D91">
        <v>1562</v>
      </c>
      <c r="E91" t="s">
        <v>172</v>
      </c>
      <c r="G91" t="s">
        <v>44</v>
      </c>
    </row>
    <row r="92" spans="1:7" x14ac:dyDescent="0.45">
      <c r="A92" t="s">
        <v>39</v>
      </c>
      <c r="B92">
        <v>2045</v>
      </c>
      <c r="C92" t="s">
        <v>172</v>
      </c>
      <c r="D92">
        <v>1543</v>
      </c>
      <c r="E92" t="s">
        <v>172</v>
      </c>
      <c r="G92" t="s">
        <v>46</v>
      </c>
    </row>
    <row r="93" spans="1:7" x14ac:dyDescent="0.45">
      <c r="A93" t="s">
        <v>39</v>
      </c>
      <c r="B93">
        <v>2050</v>
      </c>
      <c r="C93" t="s">
        <v>172</v>
      </c>
      <c r="D93">
        <v>1523</v>
      </c>
      <c r="E93" t="s">
        <v>172</v>
      </c>
      <c r="G93" t="s">
        <v>46</v>
      </c>
    </row>
    <row r="94" spans="1:7" x14ac:dyDescent="0.45">
      <c r="A94" t="s">
        <v>40</v>
      </c>
      <c r="B94">
        <v>2020</v>
      </c>
      <c r="C94" t="s">
        <v>172</v>
      </c>
      <c r="D94">
        <v>1183</v>
      </c>
      <c r="E94" t="s">
        <v>172</v>
      </c>
      <c r="G94" t="s">
        <v>46</v>
      </c>
    </row>
    <row r="95" spans="1:7" x14ac:dyDescent="0.45">
      <c r="A95" t="s">
        <v>40</v>
      </c>
      <c r="B95">
        <v>2030</v>
      </c>
      <c r="C95" t="s">
        <v>172</v>
      </c>
      <c r="D95">
        <v>1095</v>
      </c>
      <c r="E95" t="s">
        <v>172</v>
      </c>
      <c r="G95" t="s">
        <v>46</v>
      </c>
    </row>
    <row r="96" spans="1:7" x14ac:dyDescent="0.45">
      <c r="A96" t="s">
        <v>40</v>
      </c>
      <c r="B96">
        <v>2035</v>
      </c>
      <c r="C96" t="s">
        <v>172</v>
      </c>
      <c r="D96">
        <v>1065</v>
      </c>
      <c r="E96" t="s">
        <v>172</v>
      </c>
      <c r="G96" t="s">
        <v>48</v>
      </c>
    </row>
    <row r="97" spans="1:7" x14ac:dyDescent="0.45">
      <c r="A97" t="s">
        <v>40</v>
      </c>
      <c r="B97">
        <v>2040</v>
      </c>
      <c r="C97" t="s">
        <v>172</v>
      </c>
      <c r="D97">
        <v>1034</v>
      </c>
      <c r="E97" t="s">
        <v>172</v>
      </c>
      <c r="G97" t="s">
        <v>48</v>
      </c>
    </row>
    <row r="98" spans="1:7" x14ac:dyDescent="0.45">
      <c r="A98" t="s">
        <v>40</v>
      </c>
      <c r="B98">
        <v>2045</v>
      </c>
      <c r="C98" t="s">
        <v>172</v>
      </c>
      <c r="D98">
        <v>1026</v>
      </c>
      <c r="E98" t="s">
        <v>172</v>
      </c>
      <c r="G98" t="s">
        <v>48</v>
      </c>
    </row>
    <row r="99" spans="1:7" x14ac:dyDescent="0.45">
      <c r="A99" t="s">
        <v>40</v>
      </c>
      <c r="B99">
        <v>2050</v>
      </c>
      <c r="C99" t="s">
        <v>172</v>
      </c>
      <c r="D99">
        <v>1019</v>
      </c>
      <c r="E99" t="s">
        <v>172</v>
      </c>
      <c r="G99" t="s">
        <v>48</v>
      </c>
    </row>
    <row r="100" spans="1:7" x14ac:dyDescent="0.45">
      <c r="A100" t="s">
        <v>41</v>
      </c>
      <c r="B100">
        <v>2020</v>
      </c>
      <c r="C100" t="s">
        <v>172</v>
      </c>
      <c r="D100">
        <v>562</v>
      </c>
      <c r="E100" t="s">
        <v>172</v>
      </c>
    </row>
    <row r="101" spans="1:7" x14ac:dyDescent="0.45">
      <c r="A101" t="s">
        <v>41</v>
      </c>
      <c r="B101">
        <v>2030</v>
      </c>
      <c r="C101" t="s">
        <v>172</v>
      </c>
      <c r="D101">
        <v>383</v>
      </c>
      <c r="E101" t="s">
        <v>172</v>
      </c>
    </row>
    <row r="102" spans="1:7" x14ac:dyDescent="0.45">
      <c r="A102" t="s">
        <v>41</v>
      </c>
      <c r="B102">
        <v>2035</v>
      </c>
      <c r="C102" t="s">
        <v>172</v>
      </c>
      <c r="D102">
        <v>352</v>
      </c>
      <c r="E102" t="s">
        <v>172</v>
      </c>
    </row>
    <row r="103" spans="1:7" x14ac:dyDescent="0.45">
      <c r="A103" t="s">
        <v>41</v>
      </c>
      <c r="B103">
        <v>2040</v>
      </c>
      <c r="C103" t="s">
        <v>172</v>
      </c>
      <c r="D103">
        <v>320</v>
      </c>
      <c r="E103" t="s">
        <v>172</v>
      </c>
    </row>
    <row r="104" spans="1:7" x14ac:dyDescent="0.45">
      <c r="A104" t="s">
        <v>41</v>
      </c>
      <c r="B104">
        <v>2045</v>
      </c>
      <c r="C104" t="s">
        <v>172</v>
      </c>
      <c r="D104">
        <v>306</v>
      </c>
      <c r="E104" t="s">
        <v>172</v>
      </c>
    </row>
    <row r="105" spans="1:7" x14ac:dyDescent="0.45">
      <c r="A105" t="s">
        <v>41</v>
      </c>
      <c r="B105">
        <v>2050</v>
      </c>
      <c r="C105" t="s">
        <v>172</v>
      </c>
      <c r="D105">
        <v>292</v>
      </c>
      <c r="E105" t="s">
        <v>172</v>
      </c>
    </row>
    <row r="106" spans="1:7" x14ac:dyDescent="0.45">
      <c r="A106" t="s">
        <v>132</v>
      </c>
      <c r="B106">
        <v>2020</v>
      </c>
      <c r="C106" t="s">
        <v>167</v>
      </c>
      <c r="D106">
        <f>ROUND(Input!E131/General_Data_Assumption!$F$4,0)</f>
        <v>4370</v>
      </c>
      <c r="E106" t="s">
        <v>167</v>
      </c>
      <c r="G106" t="s">
        <v>137</v>
      </c>
    </row>
    <row r="107" spans="1:7" x14ac:dyDescent="0.45">
      <c r="A107" t="s">
        <v>132</v>
      </c>
      <c r="B107">
        <v>2030</v>
      </c>
      <c r="C107" t="s">
        <v>167</v>
      </c>
      <c r="D107">
        <f>ROUND(Input!E132/General_Data_Assumption!$F$4,0)</f>
        <v>4370</v>
      </c>
      <c r="E107" t="s">
        <v>167</v>
      </c>
    </row>
    <row r="108" spans="1:7" x14ac:dyDescent="0.45">
      <c r="A108" t="s">
        <v>132</v>
      </c>
      <c r="B108">
        <v>2035</v>
      </c>
      <c r="C108" t="s">
        <v>167</v>
      </c>
      <c r="D108">
        <f>ROUND(Input!E133/General_Data_Assumption!$F$4,0)</f>
        <v>3708</v>
      </c>
      <c r="E108" t="s">
        <v>167</v>
      </c>
    </row>
    <row r="109" spans="1:7" x14ac:dyDescent="0.45">
      <c r="A109" t="s">
        <v>132</v>
      </c>
      <c r="B109">
        <v>2040</v>
      </c>
      <c r="C109" t="s">
        <v>167</v>
      </c>
      <c r="D109">
        <f>ROUND(Input!E134/General_Data_Assumption!$F$4,0)</f>
        <v>3046</v>
      </c>
      <c r="E109" t="s">
        <v>167</v>
      </c>
    </row>
    <row r="110" spans="1:7" x14ac:dyDescent="0.45">
      <c r="A110" t="s">
        <v>132</v>
      </c>
      <c r="B110">
        <v>2045</v>
      </c>
      <c r="C110" t="s">
        <v>167</v>
      </c>
      <c r="D110">
        <f>ROUND(Input!E135/General_Data_Assumption!$F$4,0)</f>
        <v>2384</v>
      </c>
      <c r="E110" t="s">
        <v>167</v>
      </c>
    </row>
    <row r="111" spans="1:7" x14ac:dyDescent="0.45">
      <c r="A111" t="s">
        <v>132</v>
      </c>
      <c r="B111">
        <v>2050</v>
      </c>
      <c r="C111" t="s">
        <v>167</v>
      </c>
      <c r="D111">
        <f>ROUND(Input!E136/General_Data_Assumption!$F$4,0)</f>
        <v>1722</v>
      </c>
      <c r="E111" t="s">
        <v>167</v>
      </c>
    </row>
    <row r="112" spans="1:7" x14ac:dyDescent="0.45">
      <c r="A112" t="s">
        <v>135</v>
      </c>
      <c r="B112">
        <v>2020</v>
      </c>
      <c r="C112" t="s">
        <v>167</v>
      </c>
      <c r="D112">
        <f>ROUND(Input!E137/General_Data_Assumption!$F$4,0)</f>
        <v>26486</v>
      </c>
      <c r="E112" t="s">
        <v>167</v>
      </c>
      <c r="G112" t="s">
        <v>137</v>
      </c>
    </row>
    <row r="113" spans="1:5" x14ac:dyDescent="0.45">
      <c r="A113" t="s">
        <v>135</v>
      </c>
      <c r="B113">
        <v>2030</v>
      </c>
      <c r="C113" t="s">
        <v>167</v>
      </c>
      <c r="D113">
        <f>ROUND(Input!E138/General_Data_Assumption!$F$4,0)</f>
        <v>26486</v>
      </c>
      <c r="E113" t="s">
        <v>167</v>
      </c>
    </row>
    <row r="114" spans="1:5" x14ac:dyDescent="0.45">
      <c r="A114" t="s">
        <v>135</v>
      </c>
      <c r="B114">
        <v>2035</v>
      </c>
      <c r="C114" t="s">
        <v>167</v>
      </c>
      <c r="D114">
        <f>ROUND(Input!E139/General_Data_Assumption!$F$4,0)</f>
        <v>23838</v>
      </c>
      <c r="E114" t="s">
        <v>167</v>
      </c>
    </row>
    <row r="115" spans="1:5" x14ac:dyDescent="0.45">
      <c r="A115" t="s">
        <v>135</v>
      </c>
      <c r="B115">
        <v>2040</v>
      </c>
      <c r="C115" t="s">
        <v>167</v>
      </c>
      <c r="D115">
        <f>ROUND(Input!E140/General_Data_Assumption!$F$4,0)</f>
        <v>21189</v>
      </c>
      <c r="E115" t="s">
        <v>167</v>
      </c>
    </row>
    <row r="116" spans="1:5" x14ac:dyDescent="0.45">
      <c r="A116" t="s">
        <v>135</v>
      </c>
      <c r="B116">
        <v>2045</v>
      </c>
      <c r="C116" t="s">
        <v>167</v>
      </c>
      <c r="D116">
        <f>ROUND(Input!E141/General_Data_Assumption!$F$4,0)</f>
        <v>18540</v>
      </c>
      <c r="E116" t="s">
        <v>167</v>
      </c>
    </row>
    <row r="117" spans="1:5" x14ac:dyDescent="0.45">
      <c r="A117" t="s">
        <v>135</v>
      </c>
      <c r="B117">
        <v>2050</v>
      </c>
      <c r="C117" t="s">
        <v>167</v>
      </c>
      <c r="D117">
        <f>ROUND(Input!E142/General_Data_Assumption!$F$4,0)</f>
        <v>15892</v>
      </c>
      <c r="E117" t="s">
        <v>167</v>
      </c>
    </row>
    <row r="118" spans="1:5" x14ac:dyDescent="0.45">
      <c r="A118" t="s">
        <v>151</v>
      </c>
      <c r="B118">
        <v>2020</v>
      </c>
      <c r="C118" t="s">
        <v>167</v>
      </c>
      <c r="D118" s="2">
        <f>Input!E177*1000/General_Data_Assumption!$F$3</f>
        <v>8981.9819819819804</v>
      </c>
      <c r="E118" t="s">
        <v>86</v>
      </c>
    </row>
    <row r="119" spans="1:5" x14ac:dyDescent="0.45">
      <c r="A119" t="s">
        <v>151</v>
      </c>
      <c r="B119">
        <v>2030</v>
      </c>
      <c r="C119" t="s">
        <v>167</v>
      </c>
      <c r="D119" s="2">
        <f>Input!E177*1000/General_Data_Assumption!$F$3</f>
        <v>8981.9819819819804</v>
      </c>
      <c r="E119" t="s">
        <v>86</v>
      </c>
    </row>
    <row r="120" spans="1:5" x14ac:dyDescent="0.45">
      <c r="A120" t="s">
        <v>151</v>
      </c>
      <c r="B120">
        <v>2035</v>
      </c>
      <c r="C120" t="s">
        <v>167</v>
      </c>
      <c r="D120" s="2">
        <f>(D121+D119)/2</f>
        <v>7851.9156552489412</v>
      </c>
      <c r="E120" t="s">
        <v>86</v>
      </c>
    </row>
    <row r="121" spans="1:5" x14ac:dyDescent="0.45">
      <c r="A121" t="s">
        <v>151</v>
      </c>
      <c r="B121">
        <v>2040</v>
      </c>
      <c r="C121" t="s">
        <v>167</v>
      </c>
      <c r="D121" s="2">
        <f>D119*Input!E175/Input!$E$174</f>
        <v>6721.849328515902</v>
      </c>
      <c r="E121" t="s">
        <v>86</v>
      </c>
    </row>
    <row r="122" spans="1:5" x14ac:dyDescent="0.45">
      <c r="A122" t="s">
        <v>151</v>
      </c>
      <c r="B122">
        <v>2045</v>
      </c>
      <c r="C122" t="s">
        <v>167</v>
      </c>
      <c r="D122" s="2">
        <f>(D123+D121)/2</f>
        <v>5030.4329808173879</v>
      </c>
      <c r="E122" t="s">
        <v>86</v>
      </c>
    </row>
    <row r="123" spans="1:5" x14ac:dyDescent="0.45">
      <c r="A123" t="s">
        <v>151</v>
      </c>
      <c r="B123">
        <v>2050</v>
      </c>
      <c r="C123" t="s">
        <v>167</v>
      </c>
      <c r="D123" s="2">
        <f>D121*Input!E176/Input!$E$174</f>
        <v>3339.0166331188743</v>
      </c>
      <c r="E123" t="s">
        <v>86</v>
      </c>
    </row>
    <row r="124" spans="1:5" x14ac:dyDescent="0.45">
      <c r="A124" t="s">
        <v>8</v>
      </c>
      <c r="B124">
        <v>2030</v>
      </c>
      <c r="C124" t="s">
        <v>174</v>
      </c>
      <c r="D124" s="5">
        <v>734.4747692307692</v>
      </c>
    </row>
    <row r="125" spans="1:5" x14ac:dyDescent="0.45">
      <c r="A125" t="s">
        <v>8</v>
      </c>
      <c r="B125">
        <v>2035</v>
      </c>
      <c r="C125" t="s">
        <v>174</v>
      </c>
      <c r="D125" s="5">
        <v>631.01449082344175</v>
      </c>
    </row>
    <row r="126" spans="1:5" x14ac:dyDescent="0.45">
      <c r="A126" t="s">
        <v>8</v>
      </c>
      <c r="B126">
        <v>2040</v>
      </c>
      <c r="C126" t="s">
        <v>174</v>
      </c>
      <c r="D126" s="5">
        <v>548.52589048134746</v>
      </c>
    </row>
    <row r="127" spans="1:5" x14ac:dyDescent="0.45">
      <c r="A127" t="s">
        <v>8</v>
      </c>
      <c r="B127">
        <v>2045</v>
      </c>
      <c r="C127" t="s">
        <v>174</v>
      </c>
      <c r="D127" s="5">
        <v>507.28159031030026</v>
      </c>
    </row>
    <row r="128" spans="1:5" x14ac:dyDescent="0.45">
      <c r="A128" t="s">
        <v>8</v>
      </c>
      <c r="B128">
        <v>2050</v>
      </c>
      <c r="C128" t="s">
        <v>174</v>
      </c>
      <c r="D128" s="5">
        <v>466.03729013925306</v>
      </c>
    </row>
  </sheetData>
  <autoFilter ref="A1:G1" xr:uid="{0D33956D-F5C6-45D2-95A6-C4B2CC285405}">
    <sortState xmlns:xlrd2="http://schemas.microsoft.com/office/spreadsheetml/2017/richdata2" ref="A2:G74">
      <sortCondition ref="A1"/>
    </sortState>
  </autoFilter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tabSelected="1" topLeftCell="A158" zoomScaleNormal="100" workbookViewId="0">
      <selection activeCell="C179" sqref="C179"/>
    </sheetView>
  </sheetViews>
  <sheetFormatPr baseColWidth="10" defaultColWidth="9.1328125" defaultRowHeight="14.25" x14ac:dyDescent="0.45"/>
  <cols>
    <col min="1" max="1" width="15" bestFit="1" customWidth="1"/>
    <col min="3" max="3" width="16.73046875" customWidth="1"/>
  </cols>
  <sheetData>
    <row r="1" spans="1:3" x14ac:dyDescent="0.45">
      <c r="A1" s="1" t="s">
        <v>0</v>
      </c>
      <c r="B1" s="1" t="s">
        <v>1</v>
      </c>
      <c r="C1" s="11" t="s">
        <v>53</v>
      </c>
    </row>
    <row r="2" spans="1:3" x14ac:dyDescent="0.45">
      <c r="A2" t="s">
        <v>36</v>
      </c>
      <c r="B2">
        <v>2030</v>
      </c>
      <c r="C2" s="5">
        <v>102.5845723</v>
      </c>
    </row>
    <row r="3" spans="1:3" x14ac:dyDescent="0.45">
      <c r="A3" t="s">
        <v>36</v>
      </c>
      <c r="B3">
        <f>(B2+B4)/2</f>
        <v>2035</v>
      </c>
      <c r="C3" s="5">
        <v>93.244352581250013</v>
      </c>
    </row>
    <row r="4" spans="1:3" x14ac:dyDescent="0.45">
      <c r="A4" t="s">
        <v>36</v>
      </c>
      <c r="B4">
        <v>2040</v>
      </c>
      <c r="C4" s="5">
        <v>83.904132862500006</v>
      </c>
    </row>
    <row r="5" spans="1:3" x14ac:dyDescent="0.45">
      <c r="A5" t="s">
        <v>36</v>
      </c>
      <c r="B5">
        <f>(B4+B6)/2</f>
        <v>2045</v>
      </c>
      <c r="C5" s="5">
        <v>74.114637224999996</v>
      </c>
    </row>
    <row r="6" spans="1:3" x14ac:dyDescent="0.45">
      <c r="A6" t="s">
        <v>36</v>
      </c>
      <c r="B6">
        <v>2050</v>
      </c>
      <c r="C6" s="5">
        <v>64.325141587499999</v>
      </c>
    </row>
    <row r="7" spans="1:3" x14ac:dyDescent="0.45">
      <c r="A7" t="s">
        <v>31</v>
      </c>
      <c r="B7">
        <v>2030</v>
      </c>
      <c r="C7" s="6">
        <v>492.28670364500795</v>
      </c>
    </row>
    <row r="8" spans="1:3" x14ac:dyDescent="0.45">
      <c r="A8" t="s">
        <v>31</v>
      </c>
      <c r="B8">
        <v>2035</v>
      </c>
      <c r="C8" s="6">
        <v>424.88320919175914</v>
      </c>
    </row>
    <row r="9" spans="1:3" x14ac:dyDescent="0.45">
      <c r="A9" t="s">
        <v>31</v>
      </c>
      <c r="B9">
        <v>2040</v>
      </c>
      <c r="C9" s="6">
        <v>357.47971473851032</v>
      </c>
    </row>
    <row r="10" spans="1:3" x14ac:dyDescent="0.45">
      <c r="A10" t="s">
        <v>31</v>
      </c>
      <c r="B10">
        <v>2045</v>
      </c>
      <c r="C10" s="6">
        <v>301.8115372424723</v>
      </c>
    </row>
    <row r="11" spans="1:3" x14ac:dyDescent="0.45">
      <c r="A11" t="s">
        <v>31</v>
      </c>
      <c r="B11">
        <v>2050</v>
      </c>
      <c r="C11" s="6">
        <v>246.14335974643424</v>
      </c>
    </row>
    <row r="12" spans="1:3" x14ac:dyDescent="0.45">
      <c r="A12" t="s">
        <v>33</v>
      </c>
      <c r="B12">
        <v>2030</v>
      </c>
      <c r="C12" s="2">
        <v>817.51824817518252</v>
      </c>
    </row>
    <row r="13" spans="1:3" x14ac:dyDescent="0.45">
      <c r="A13" t="s">
        <v>33</v>
      </c>
      <c r="B13">
        <v>2035</v>
      </c>
      <c r="C13" s="2">
        <v>759.12408759124082</v>
      </c>
    </row>
    <row r="14" spans="1:3" x14ac:dyDescent="0.45">
      <c r="A14" t="s">
        <v>33</v>
      </c>
      <c r="B14">
        <v>2040</v>
      </c>
      <c r="C14" s="2">
        <v>700.72992700729924</v>
      </c>
    </row>
    <row r="15" spans="1:3" x14ac:dyDescent="0.45">
      <c r="A15" t="s">
        <v>33</v>
      </c>
      <c r="B15">
        <v>2045</v>
      </c>
      <c r="C15" s="2">
        <v>583.94160583941607</v>
      </c>
    </row>
    <row r="16" spans="1:3" x14ac:dyDescent="0.45">
      <c r="A16" t="s">
        <v>33</v>
      </c>
      <c r="B16">
        <v>2050</v>
      </c>
      <c r="C16" s="2">
        <v>467.15328467153284</v>
      </c>
    </row>
    <row r="17" spans="1:3" x14ac:dyDescent="0.45">
      <c r="A17" t="s">
        <v>28</v>
      </c>
      <c r="B17">
        <v>2030</v>
      </c>
      <c r="C17" s="2">
        <v>1190</v>
      </c>
    </row>
    <row r="18" spans="1:3" x14ac:dyDescent="0.45">
      <c r="A18" t="s">
        <v>28</v>
      </c>
      <c r="B18">
        <v>2035</v>
      </c>
      <c r="C18" s="10">
        <v>1041.25</v>
      </c>
    </row>
    <row r="19" spans="1:3" x14ac:dyDescent="0.45">
      <c r="A19" t="s">
        <v>28</v>
      </c>
      <c r="B19">
        <v>2040</v>
      </c>
      <c r="C19" s="10">
        <v>892.5</v>
      </c>
    </row>
    <row r="20" spans="1:3" x14ac:dyDescent="0.45">
      <c r="A20" t="s">
        <v>28</v>
      </c>
      <c r="B20">
        <v>2045</v>
      </c>
      <c r="C20" s="10">
        <v>743.75</v>
      </c>
    </row>
    <row r="21" spans="1:3" x14ac:dyDescent="0.45">
      <c r="A21" t="s">
        <v>28</v>
      </c>
      <c r="B21">
        <v>2050</v>
      </c>
      <c r="C21" s="10">
        <v>595</v>
      </c>
    </row>
    <row r="22" spans="1:3" x14ac:dyDescent="0.45">
      <c r="A22" t="s">
        <v>8</v>
      </c>
      <c r="B22">
        <v>2030</v>
      </c>
      <c r="C22" s="6">
        <v>734.4747692307692</v>
      </c>
    </row>
    <row r="23" spans="1:3" x14ac:dyDescent="0.45">
      <c r="A23" t="s">
        <v>8</v>
      </c>
      <c r="B23">
        <v>2035</v>
      </c>
      <c r="C23" s="2">
        <v>631.01449082344175</v>
      </c>
    </row>
    <row r="24" spans="1:3" x14ac:dyDescent="0.45">
      <c r="A24" t="s">
        <v>8</v>
      </c>
      <c r="B24">
        <v>2040</v>
      </c>
      <c r="C24" s="2">
        <v>548.52589048134746</v>
      </c>
    </row>
    <row r="25" spans="1:3" x14ac:dyDescent="0.45">
      <c r="A25" t="s">
        <v>8</v>
      </c>
      <c r="B25">
        <v>2045</v>
      </c>
      <c r="C25" s="2">
        <f>(C24+C26)/2</f>
        <v>507.28159031030026</v>
      </c>
    </row>
    <row r="26" spans="1:3" x14ac:dyDescent="0.45">
      <c r="A26" t="s">
        <v>8</v>
      </c>
      <c r="B26">
        <v>2050</v>
      </c>
      <c r="C26" s="2">
        <v>466.03729013925306</v>
      </c>
    </row>
    <row r="27" spans="1:3" x14ac:dyDescent="0.45">
      <c r="A27" t="s">
        <v>13</v>
      </c>
      <c r="B27">
        <v>2030</v>
      </c>
      <c r="C27" s="6">
        <v>949.00877500000001</v>
      </c>
    </row>
    <row r="28" spans="1:3" x14ac:dyDescent="0.45">
      <c r="A28" t="s">
        <v>13</v>
      </c>
      <c r="B28">
        <f>(B27+B29)/2</f>
        <v>2035</v>
      </c>
      <c r="C28" s="6">
        <v>862.60248750000017</v>
      </c>
    </row>
    <row r="29" spans="1:3" x14ac:dyDescent="0.45">
      <c r="A29" t="s">
        <v>13</v>
      </c>
      <c r="B29">
        <v>2040</v>
      </c>
      <c r="C29" s="6">
        <v>776.19619999999998</v>
      </c>
    </row>
    <row r="30" spans="1:3" x14ac:dyDescent="0.45">
      <c r="A30" t="s">
        <v>13</v>
      </c>
      <c r="B30">
        <f>(B29+B31)/2</f>
        <v>2045</v>
      </c>
      <c r="C30" s="6">
        <v>685.63368249999996</v>
      </c>
    </row>
    <row r="31" spans="1:3" x14ac:dyDescent="0.45">
      <c r="A31" t="s">
        <v>13</v>
      </c>
      <c r="B31">
        <v>2050</v>
      </c>
      <c r="C31" s="6">
        <v>595.07116500000006</v>
      </c>
    </row>
    <row r="32" spans="1:3" x14ac:dyDescent="0.45">
      <c r="A32" s="3" t="s">
        <v>157</v>
      </c>
      <c r="B32">
        <v>2030</v>
      </c>
      <c r="C32" s="2">
        <v>500</v>
      </c>
    </row>
    <row r="33" spans="1:3" x14ac:dyDescent="0.45">
      <c r="A33" s="3" t="s">
        <v>157</v>
      </c>
      <c r="B33">
        <f>(B32+B34)/2</f>
        <v>2035</v>
      </c>
      <c r="C33" s="2">
        <v>375</v>
      </c>
    </row>
    <row r="34" spans="1:3" x14ac:dyDescent="0.45">
      <c r="A34" s="3" t="s">
        <v>157</v>
      </c>
      <c r="B34">
        <v>2040</v>
      </c>
      <c r="C34" s="2">
        <v>250</v>
      </c>
    </row>
    <row r="35" spans="1:3" x14ac:dyDescent="0.45">
      <c r="A35" s="3" t="s">
        <v>157</v>
      </c>
      <c r="B35">
        <f>(B34+B36)/2</f>
        <v>2045</v>
      </c>
      <c r="C35" s="2">
        <v>275</v>
      </c>
    </row>
    <row r="36" spans="1:3" x14ac:dyDescent="0.45">
      <c r="A36" s="3" t="s">
        <v>157</v>
      </c>
      <c r="B36">
        <v>2050</v>
      </c>
      <c r="C36" s="2">
        <v>300</v>
      </c>
    </row>
    <row r="37" spans="1:3" x14ac:dyDescent="0.45">
      <c r="A37" t="s">
        <v>158</v>
      </c>
      <c r="B37">
        <v>2020</v>
      </c>
      <c r="C37" s="6">
        <v>300</v>
      </c>
    </row>
    <row r="38" spans="1:3" x14ac:dyDescent="0.45">
      <c r="A38" t="s">
        <v>158</v>
      </c>
      <c r="B38">
        <v>2030</v>
      </c>
      <c r="C38" s="6">
        <v>300</v>
      </c>
    </row>
    <row r="39" spans="1:3" x14ac:dyDescent="0.45">
      <c r="A39" t="s">
        <v>158</v>
      </c>
      <c r="B39">
        <v>2035</v>
      </c>
      <c r="C39" s="6">
        <v>300</v>
      </c>
    </row>
    <row r="40" spans="1:3" x14ac:dyDescent="0.45">
      <c r="A40" t="s">
        <v>158</v>
      </c>
      <c r="B40">
        <v>2040</v>
      </c>
      <c r="C40" s="6">
        <v>300</v>
      </c>
    </row>
    <row r="41" spans="1:3" x14ac:dyDescent="0.45">
      <c r="A41" t="s">
        <v>158</v>
      </c>
      <c r="B41">
        <v>2045</v>
      </c>
      <c r="C41" s="6">
        <v>300</v>
      </c>
    </row>
    <row r="42" spans="1:3" x14ac:dyDescent="0.45">
      <c r="A42" t="s">
        <v>158</v>
      </c>
      <c r="B42">
        <v>2050</v>
      </c>
      <c r="C42" s="6">
        <v>300</v>
      </c>
    </row>
    <row r="43" spans="1:3" x14ac:dyDescent="0.45">
      <c r="A43" t="s">
        <v>16</v>
      </c>
      <c r="B43">
        <v>2020</v>
      </c>
      <c r="C43" s="5">
        <v>135.1351351351351</v>
      </c>
    </row>
    <row r="44" spans="1:3" x14ac:dyDescent="0.45">
      <c r="A44" t="s">
        <v>16</v>
      </c>
      <c r="B44">
        <v>2030</v>
      </c>
      <c r="C44" s="5">
        <v>135.1351351351351</v>
      </c>
    </row>
    <row r="45" spans="1:3" x14ac:dyDescent="0.45">
      <c r="A45" t="s">
        <v>16</v>
      </c>
      <c r="B45">
        <v>2035</v>
      </c>
      <c r="C45" s="5">
        <v>135.1351351351351</v>
      </c>
    </row>
    <row r="46" spans="1:3" x14ac:dyDescent="0.45">
      <c r="A46" t="s">
        <v>16</v>
      </c>
      <c r="B46">
        <v>2040</v>
      </c>
      <c r="C46" s="5">
        <v>135.1351351351351</v>
      </c>
    </row>
    <row r="47" spans="1:3" x14ac:dyDescent="0.45">
      <c r="A47" t="s">
        <v>16</v>
      </c>
      <c r="B47">
        <v>2045</v>
      </c>
      <c r="C47" s="5">
        <v>135.1351351351351</v>
      </c>
    </row>
    <row r="48" spans="1:3" x14ac:dyDescent="0.45">
      <c r="A48" t="s">
        <v>16</v>
      </c>
      <c r="B48">
        <v>2050</v>
      </c>
      <c r="C48" s="5">
        <v>135.1351351351351</v>
      </c>
    </row>
    <row r="49" spans="1:3" x14ac:dyDescent="0.45">
      <c r="A49" t="s">
        <v>156</v>
      </c>
      <c r="B49">
        <v>2020</v>
      </c>
      <c r="C49" s="5">
        <v>252.50450450450447</v>
      </c>
    </row>
    <row r="50" spans="1:3" x14ac:dyDescent="0.45">
      <c r="A50" t="s">
        <v>156</v>
      </c>
      <c r="B50">
        <v>2030</v>
      </c>
      <c r="C50" s="5">
        <v>252.50450450450447</v>
      </c>
    </row>
    <row r="51" spans="1:3" x14ac:dyDescent="0.45">
      <c r="A51" t="s">
        <v>156</v>
      </c>
      <c r="B51">
        <v>2035</v>
      </c>
      <c r="C51" s="5">
        <v>252.50450450450447</v>
      </c>
    </row>
    <row r="52" spans="1:3" x14ac:dyDescent="0.45">
      <c r="A52" t="s">
        <v>156</v>
      </c>
      <c r="B52">
        <v>2040</v>
      </c>
      <c r="C52" s="5">
        <v>252.50450450450447</v>
      </c>
    </row>
    <row r="53" spans="1:3" x14ac:dyDescent="0.45">
      <c r="A53" t="s">
        <v>156</v>
      </c>
      <c r="B53">
        <v>2045</v>
      </c>
      <c r="C53" s="5">
        <v>252.50450450450447</v>
      </c>
    </row>
    <row r="54" spans="1:3" x14ac:dyDescent="0.45">
      <c r="A54" t="s">
        <v>156</v>
      </c>
      <c r="B54">
        <v>2050</v>
      </c>
      <c r="C54" s="5">
        <v>252.50450450450447</v>
      </c>
    </row>
    <row r="55" spans="1:3" x14ac:dyDescent="0.45">
      <c r="A55" t="s">
        <v>17</v>
      </c>
      <c r="B55">
        <v>2020</v>
      </c>
    </row>
    <row r="56" spans="1:3" x14ac:dyDescent="0.45">
      <c r="A56" t="s">
        <v>17</v>
      </c>
      <c r="B56">
        <v>2030</v>
      </c>
    </row>
    <row r="57" spans="1:3" x14ac:dyDescent="0.45">
      <c r="A57" t="s">
        <v>17</v>
      </c>
      <c r="B57">
        <v>2035</v>
      </c>
    </row>
    <row r="58" spans="1:3" x14ac:dyDescent="0.45">
      <c r="A58" t="s">
        <v>17</v>
      </c>
      <c r="B58">
        <v>2040</v>
      </c>
    </row>
    <row r="59" spans="1:3" x14ac:dyDescent="0.45">
      <c r="A59" t="s">
        <v>17</v>
      </c>
      <c r="B59">
        <v>2045</v>
      </c>
    </row>
    <row r="60" spans="1:3" x14ac:dyDescent="0.45">
      <c r="A60" t="s">
        <v>17</v>
      </c>
      <c r="B60">
        <v>2050</v>
      </c>
    </row>
    <row r="61" spans="1:3" x14ac:dyDescent="0.45">
      <c r="A61" t="s">
        <v>122</v>
      </c>
      <c r="B61">
        <v>2025</v>
      </c>
      <c r="C61">
        <v>11925</v>
      </c>
    </row>
    <row r="62" spans="1:3" x14ac:dyDescent="0.45">
      <c r="A62" t="s">
        <v>122</v>
      </c>
      <c r="B62">
        <v>2030</v>
      </c>
      <c r="C62">
        <v>11925</v>
      </c>
    </row>
    <row r="63" spans="1:3" x14ac:dyDescent="0.45">
      <c r="A63" t="s">
        <v>122</v>
      </c>
      <c r="B63">
        <v>2035</v>
      </c>
      <c r="C63">
        <v>11925</v>
      </c>
    </row>
    <row r="64" spans="1:3" x14ac:dyDescent="0.45">
      <c r="A64" t="s">
        <v>122</v>
      </c>
      <c r="B64">
        <v>2040</v>
      </c>
      <c r="C64">
        <v>11925</v>
      </c>
    </row>
    <row r="65" spans="1:3" x14ac:dyDescent="0.45">
      <c r="A65" t="s">
        <v>122</v>
      </c>
      <c r="B65">
        <v>2045</v>
      </c>
      <c r="C65">
        <v>11925</v>
      </c>
    </row>
    <row r="66" spans="1:3" x14ac:dyDescent="0.45">
      <c r="A66" t="s">
        <v>122</v>
      </c>
      <c r="B66">
        <v>2050</v>
      </c>
      <c r="C66">
        <v>11925</v>
      </c>
    </row>
    <row r="67" spans="1:3" x14ac:dyDescent="0.45">
      <c r="A67" t="s">
        <v>124</v>
      </c>
      <c r="B67">
        <v>2025</v>
      </c>
      <c r="C67">
        <v>52467</v>
      </c>
    </row>
    <row r="68" spans="1:3" x14ac:dyDescent="0.45">
      <c r="A68" t="s">
        <v>124</v>
      </c>
      <c r="B68">
        <v>2030</v>
      </c>
      <c r="C68" s="2">
        <v>44760.19999999999</v>
      </c>
    </row>
    <row r="69" spans="1:3" x14ac:dyDescent="0.45">
      <c r="A69" t="s">
        <v>124</v>
      </c>
      <c r="B69">
        <v>2035</v>
      </c>
      <c r="C69" s="2">
        <v>37053.4</v>
      </c>
    </row>
    <row r="70" spans="1:3" x14ac:dyDescent="0.45">
      <c r="A70" t="s">
        <v>124</v>
      </c>
      <c r="B70">
        <v>2040</v>
      </c>
      <c r="C70" s="2">
        <v>29346.600000000002</v>
      </c>
    </row>
    <row r="71" spans="1:3" x14ac:dyDescent="0.45">
      <c r="A71" t="s">
        <v>124</v>
      </c>
      <c r="B71">
        <v>2045</v>
      </c>
      <c r="C71" s="2">
        <v>21639.800000000003</v>
      </c>
    </row>
    <row r="72" spans="1:3" x14ac:dyDescent="0.45">
      <c r="A72" t="s">
        <v>124</v>
      </c>
      <c r="B72">
        <v>2050</v>
      </c>
      <c r="C72" s="2">
        <v>13933</v>
      </c>
    </row>
    <row r="73" spans="1:3" x14ac:dyDescent="0.45">
      <c r="A73" t="s">
        <v>125</v>
      </c>
      <c r="B73">
        <v>2025</v>
      </c>
      <c r="C73">
        <v>57233</v>
      </c>
    </row>
    <row r="74" spans="1:3" x14ac:dyDescent="0.45">
      <c r="A74" t="s">
        <v>125</v>
      </c>
      <c r="B74">
        <v>2030</v>
      </c>
      <c r="C74" s="2">
        <v>44760.2</v>
      </c>
    </row>
    <row r="75" spans="1:3" x14ac:dyDescent="0.45">
      <c r="A75" t="s">
        <v>125</v>
      </c>
      <c r="B75">
        <v>2035</v>
      </c>
      <c r="C75" s="2">
        <v>37053.4</v>
      </c>
    </row>
    <row r="76" spans="1:3" x14ac:dyDescent="0.45">
      <c r="A76" t="s">
        <v>125</v>
      </c>
      <c r="B76">
        <v>2040</v>
      </c>
      <c r="C76" s="2">
        <v>29346.600000000002</v>
      </c>
    </row>
    <row r="77" spans="1:3" x14ac:dyDescent="0.45">
      <c r="A77" t="s">
        <v>125</v>
      </c>
      <c r="B77">
        <v>2045</v>
      </c>
      <c r="C77" s="2">
        <v>21639.800000000003</v>
      </c>
    </row>
    <row r="78" spans="1:3" x14ac:dyDescent="0.45">
      <c r="A78" t="s">
        <v>125</v>
      </c>
      <c r="B78">
        <v>2050</v>
      </c>
      <c r="C78" s="2">
        <v>13933</v>
      </c>
    </row>
    <row r="79" spans="1:3" x14ac:dyDescent="0.45">
      <c r="A79" t="s">
        <v>39</v>
      </c>
      <c r="B79">
        <v>2020</v>
      </c>
      <c r="C79">
        <v>1992</v>
      </c>
    </row>
    <row r="80" spans="1:3" x14ac:dyDescent="0.45">
      <c r="A80" t="s">
        <v>39</v>
      </c>
      <c r="B80">
        <v>2030</v>
      </c>
      <c r="C80">
        <v>1682</v>
      </c>
    </row>
    <row r="81" spans="1:3" x14ac:dyDescent="0.45">
      <c r="A81" t="s">
        <v>39</v>
      </c>
      <c r="B81">
        <v>2035</v>
      </c>
      <c r="C81">
        <v>1622</v>
      </c>
    </row>
    <row r="82" spans="1:3" x14ac:dyDescent="0.45">
      <c r="A82" t="s">
        <v>39</v>
      </c>
      <c r="B82">
        <v>2040</v>
      </c>
      <c r="C82">
        <v>1562</v>
      </c>
    </row>
    <row r="83" spans="1:3" x14ac:dyDescent="0.45">
      <c r="A83" t="s">
        <v>39</v>
      </c>
      <c r="B83">
        <v>2045</v>
      </c>
      <c r="C83">
        <v>1543</v>
      </c>
    </row>
    <row r="84" spans="1:3" x14ac:dyDescent="0.45">
      <c r="A84" t="s">
        <v>39</v>
      </c>
      <c r="B84">
        <v>2050</v>
      </c>
      <c r="C84">
        <v>1523</v>
      </c>
    </row>
    <row r="85" spans="1:3" x14ac:dyDescent="0.45">
      <c r="A85" t="s">
        <v>40</v>
      </c>
      <c r="B85">
        <v>2020</v>
      </c>
      <c r="C85">
        <v>1183</v>
      </c>
    </row>
    <row r="86" spans="1:3" x14ac:dyDescent="0.45">
      <c r="A86" t="s">
        <v>40</v>
      </c>
      <c r="B86">
        <v>2030</v>
      </c>
      <c r="C86">
        <v>1095</v>
      </c>
    </row>
    <row r="87" spans="1:3" x14ac:dyDescent="0.45">
      <c r="A87" t="s">
        <v>40</v>
      </c>
      <c r="B87">
        <v>2035</v>
      </c>
      <c r="C87">
        <v>1065</v>
      </c>
    </row>
    <row r="88" spans="1:3" x14ac:dyDescent="0.45">
      <c r="A88" t="s">
        <v>40</v>
      </c>
      <c r="B88">
        <v>2040</v>
      </c>
      <c r="C88">
        <v>1034</v>
      </c>
    </row>
    <row r="89" spans="1:3" x14ac:dyDescent="0.45">
      <c r="A89" t="s">
        <v>40</v>
      </c>
      <c r="B89">
        <v>2045</v>
      </c>
      <c r="C89">
        <v>1026</v>
      </c>
    </row>
    <row r="90" spans="1:3" x14ac:dyDescent="0.45">
      <c r="A90" t="s">
        <v>40</v>
      </c>
      <c r="B90">
        <v>2050</v>
      </c>
      <c r="C90">
        <v>1019</v>
      </c>
    </row>
    <row r="91" spans="1:3" x14ac:dyDescent="0.45">
      <c r="A91" t="s">
        <v>41</v>
      </c>
      <c r="B91">
        <v>2020</v>
      </c>
      <c r="C91">
        <v>562</v>
      </c>
    </row>
    <row r="92" spans="1:3" x14ac:dyDescent="0.45">
      <c r="A92" t="s">
        <v>41</v>
      </c>
      <c r="B92">
        <v>2030</v>
      </c>
      <c r="C92">
        <v>383</v>
      </c>
    </row>
    <row r="93" spans="1:3" x14ac:dyDescent="0.45">
      <c r="A93" t="s">
        <v>41</v>
      </c>
      <c r="B93">
        <v>2035</v>
      </c>
      <c r="C93">
        <v>352</v>
      </c>
    </row>
    <row r="94" spans="1:3" x14ac:dyDescent="0.45">
      <c r="A94" t="s">
        <v>41</v>
      </c>
      <c r="B94">
        <v>2040</v>
      </c>
      <c r="C94">
        <v>320</v>
      </c>
    </row>
    <row r="95" spans="1:3" x14ac:dyDescent="0.45">
      <c r="A95" t="s">
        <v>41</v>
      </c>
      <c r="B95">
        <v>2045</v>
      </c>
      <c r="C95">
        <v>306</v>
      </c>
    </row>
    <row r="96" spans="1:3" x14ac:dyDescent="0.45">
      <c r="A96" t="s">
        <v>41</v>
      </c>
      <c r="B96">
        <v>2050</v>
      </c>
      <c r="C96">
        <v>292</v>
      </c>
    </row>
    <row r="97" spans="1:3" x14ac:dyDescent="0.45">
      <c r="A97" t="s">
        <v>132</v>
      </c>
      <c r="B97">
        <v>2020</v>
      </c>
      <c r="C97">
        <v>4370</v>
      </c>
    </row>
    <row r="98" spans="1:3" x14ac:dyDescent="0.45">
      <c r="A98" t="s">
        <v>132</v>
      </c>
      <c r="B98">
        <v>2030</v>
      </c>
      <c r="C98">
        <v>4370</v>
      </c>
    </row>
    <row r="99" spans="1:3" x14ac:dyDescent="0.45">
      <c r="A99" t="s">
        <v>132</v>
      </c>
      <c r="B99">
        <v>2035</v>
      </c>
      <c r="C99">
        <v>3708</v>
      </c>
    </row>
    <row r="100" spans="1:3" x14ac:dyDescent="0.45">
      <c r="A100" t="s">
        <v>132</v>
      </c>
      <c r="B100">
        <v>2040</v>
      </c>
      <c r="C100">
        <v>3046</v>
      </c>
    </row>
    <row r="101" spans="1:3" x14ac:dyDescent="0.45">
      <c r="A101" t="s">
        <v>132</v>
      </c>
      <c r="B101">
        <v>2045</v>
      </c>
      <c r="C101">
        <v>2384</v>
      </c>
    </row>
    <row r="102" spans="1:3" x14ac:dyDescent="0.45">
      <c r="A102" t="s">
        <v>132</v>
      </c>
      <c r="B102">
        <v>2050</v>
      </c>
      <c r="C102">
        <v>1722</v>
      </c>
    </row>
    <row r="103" spans="1:3" x14ac:dyDescent="0.45">
      <c r="A103" t="s">
        <v>135</v>
      </c>
      <c r="B103">
        <v>2020</v>
      </c>
      <c r="C103">
        <v>26486</v>
      </c>
    </row>
    <row r="104" spans="1:3" x14ac:dyDescent="0.45">
      <c r="A104" t="s">
        <v>135</v>
      </c>
      <c r="B104">
        <v>2030</v>
      </c>
      <c r="C104">
        <v>26486</v>
      </c>
    </row>
    <row r="105" spans="1:3" x14ac:dyDescent="0.45">
      <c r="A105" t="s">
        <v>135</v>
      </c>
      <c r="B105">
        <v>2035</v>
      </c>
      <c r="C105">
        <v>23838</v>
      </c>
    </row>
    <row r="106" spans="1:3" x14ac:dyDescent="0.45">
      <c r="A106" t="s">
        <v>135</v>
      </c>
      <c r="B106">
        <v>2040</v>
      </c>
      <c r="C106">
        <v>21189</v>
      </c>
    </row>
    <row r="107" spans="1:3" x14ac:dyDescent="0.45">
      <c r="A107" t="s">
        <v>135</v>
      </c>
      <c r="B107">
        <v>2045</v>
      </c>
      <c r="C107">
        <v>18540</v>
      </c>
    </row>
    <row r="108" spans="1:3" x14ac:dyDescent="0.45">
      <c r="A108" t="s">
        <v>135</v>
      </c>
      <c r="B108">
        <v>2050</v>
      </c>
      <c r="C108">
        <v>15892</v>
      </c>
    </row>
    <row r="109" spans="1:3" x14ac:dyDescent="0.45">
      <c r="A109" t="s">
        <v>138</v>
      </c>
      <c r="B109">
        <v>2020</v>
      </c>
      <c r="C109">
        <v>9</v>
      </c>
    </row>
    <row r="110" spans="1:3" x14ac:dyDescent="0.45">
      <c r="A110" t="s">
        <v>138</v>
      </c>
      <c r="B110">
        <v>2030</v>
      </c>
      <c r="C110">
        <v>9</v>
      </c>
    </row>
    <row r="111" spans="1:3" x14ac:dyDescent="0.45">
      <c r="A111" t="s">
        <v>138</v>
      </c>
      <c r="B111">
        <v>2035</v>
      </c>
      <c r="C111">
        <v>9</v>
      </c>
    </row>
    <row r="112" spans="1:3" x14ac:dyDescent="0.45">
      <c r="A112" t="s">
        <v>138</v>
      </c>
      <c r="B112">
        <v>2040</v>
      </c>
      <c r="C112">
        <v>9</v>
      </c>
    </row>
    <row r="113" spans="1:3" x14ac:dyDescent="0.45">
      <c r="A113" t="s">
        <v>138</v>
      </c>
      <c r="B113">
        <v>2045</v>
      </c>
      <c r="C113">
        <v>9</v>
      </c>
    </row>
    <row r="114" spans="1:3" x14ac:dyDescent="0.45">
      <c r="A114" t="s">
        <v>138</v>
      </c>
      <c r="B114">
        <v>2050</v>
      </c>
      <c r="C114">
        <v>4</v>
      </c>
    </row>
    <row r="115" spans="1:3" x14ac:dyDescent="0.45">
      <c r="A115" t="s">
        <v>140</v>
      </c>
      <c r="B115">
        <v>2020</v>
      </c>
      <c r="C115">
        <v>4</v>
      </c>
    </row>
    <row r="116" spans="1:3" x14ac:dyDescent="0.45">
      <c r="A116" t="s">
        <v>140</v>
      </c>
      <c r="B116">
        <v>2030</v>
      </c>
      <c r="C116">
        <v>4</v>
      </c>
    </row>
    <row r="117" spans="1:3" x14ac:dyDescent="0.45">
      <c r="A117" t="s">
        <v>140</v>
      </c>
      <c r="B117">
        <v>2035</v>
      </c>
      <c r="C117">
        <v>4</v>
      </c>
    </row>
    <row r="118" spans="1:3" x14ac:dyDescent="0.45">
      <c r="A118" t="s">
        <v>140</v>
      </c>
      <c r="B118">
        <v>2040</v>
      </c>
      <c r="C118">
        <v>4</v>
      </c>
    </row>
    <row r="119" spans="1:3" x14ac:dyDescent="0.45">
      <c r="A119" t="s">
        <v>140</v>
      </c>
      <c r="B119">
        <v>2045</v>
      </c>
      <c r="C119">
        <v>4</v>
      </c>
    </row>
    <row r="120" spans="1:3" x14ac:dyDescent="0.45">
      <c r="A120" t="s">
        <v>140</v>
      </c>
      <c r="B120">
        <v>2050</v>
      </c>
      <c r="C120">
        <v>4</v>
      </c>
    </row>
    <row r="121" spans="1:3" x14ac:dyDescent="0.45">
      <c r="A121" t="s">
        <v>141</v>
      </c>
      <c r="B121">
        <v>2020</v>
      </c>
      <c r="C121">
        <v>35794</v>
      </c>
    </row>
    <row r="122" spans="1:3" x14ac:dyDescent="0.45">
      <c r="A122" t="s">
        <v>141</v>
      </c>
      <c r="B122">
        <v>2030</v>
      </c>
      <c r="C122">
        <v>35794</v>
      </c>
    </row>
    <row r="123" spans="1:3" x14ac:dyDescent="0.45">
      <c r="A123" t="s">
        <v>141</v>
      </c>
      <c r="B123">
        <v>2035</v>
      </c>
      <c r="C123">
        <v>35794</v>
      </c>
    </row>
    <row r="124" spans="1:3" x14ac:dyDescent="0.45">
      <c r="A124" t="s">
        <v>141</v>
      </c>
      <c r="B124">
        <v>2040</v>
      </c>
      <c r="C124">
        <v>35794</v>
      </c>
    </row>
    <row r="125" spans="1:3" x14ac:dyDescent="0.45">
      <c r="A125" t="s">
        <v>141</v>
      </c>
      <c r="B125">
        <v>2045</v>
      </c>
      <c r="C125">
        <v>35794</v>
      </c>
    </row>
    <row r="126" spans="1:3" x14ac:dyDescent="0.45">
      <c r="A126" t="s">
        <v>141</v>
      </c>
      <c r="B126">
        <v>2050</v>
      </c>
      <c r="C126">
        <v>35794</v>
      </c>
    </row>
    <row r="127" spans="1:3" x14ac:dyDescent="0.45">
      <c r="A127" t="s">
        <v>143</v>
      </c>
      <c r="B127">
        <v>2020</v>
      </c>
      <c r="C127">
        <v>1531</v>
      </c>
    </row>
    <row r="128" spans="1:3" x14ac:dyDescent="0.45">
      <c r="A128" t="s">
        <v>143</v>
      </c>
      <c r="B128">
        <v>2030</v>
      </c>
      <c r="C128">
        <v>1531</v>
      </c>
    </row>
    <row r="129" spans="1:3" x14ac:dyDescent="0.45">
      <c r="A129" t="s">
        <v>143</v>
      </c>
      <c r="B129">
        <v>2035</v>
      </c>
      <c r="C129">
        <v>1531</v>
      </c>
    </row>
    <row r="130" spans="1:3" x14ac:dyDescent="0.45">
      <c r="A130" t="s">
        <v>143</v>
      </c>
      <c r="B130">
        <v>2040</v>
      </c>
      <c r="C130">
        <v>1531</v>
      </c>
    </row>
    <row r="131" spans="1:3" x14ac:dyDescent="0.45">
      <c r="A131" t="s">
        <v>143</v>
      </c>
      <c r="B131">
        <v>2045</v>
      </c>
      <c r="C131">
        <v>1531</v>
      </c>
    </row>
    <row r="132" spans="1:3" x14ac:dyDescent="0.45">
      <c r="A132" t="s">
        <v>143</v>
      </c>
      <c r="B132">
        <v>2050</v>
      </c>
      <c r="C132">
        <v>1531</v>
      </c>
    </row>
    <row r="133" spans="1:3" x14ac:dyDescent="0.45">
      <c r="A133" t="s">
        <v>145</v>
      </c>
      <c r="B133">
        <v>2020</v>
      </c>
      <c r="C133">
        <v>467</v>
      </c>
    </row>
    <row r="134" spans="1:3" x14ac:dyDescent="0.45">
      <c r="A134" t="s">
        <v>145</v>
      </c>
      <c r="B134">
        <v>2030</v>
      </c>
      <c r="C134">
        <v>467</v>
      </c>
    </row>
    <row r="135" spans="1:3" x14ac:dyDescent="0.45">
      <c r="A135" t="s">
        <v>145</v>
      </c>
      <c r="B135">
        <v>2040</v>
      </c>
      <c r="C135">
        <v>467</v>
      </c>
    </row>
    <row r="136" spans="1:3" x14ac:dyDescent="0.45">
      <c r="A136" t="s">
        <v>145</v>
      </c>
      <c r="B136">
        <v>2050</v>
      </c>
      <c r="C136">
        <v>467</v>
      </c>
    </row>
    <row r="137" spans="1:3" x14ac:dyDescent="0.45">
      <c r="A137" t="s">
        <v>151</v>
      </c>
      <c r="B137">
        <v>2020</v>
      </c>
      <c r="C137" s="2">
        <v>8981.9819819819804</v>
      </c>
    </row>
    <row r="138" spans="1:3" x14ac:dyDescent="0.45">
      <c r="A138" t="s">
        <v>151</v>
      </c>
      <c r="B138">
        <v>2030</v>
      </c>
      <c r="C138" s="2">
        <v>8981.9819819819804</v>
      </c>
    </row>
    <row r="139" spans="1:3" x14ac:dyDescent="0.45">
      <c r="A139" t="s">
        <v>151</v>
      </c>
      <c r="B139">
        <v>2035</v>
      </c>
      <c r="C139" s="2">
        <v>7851.9156552489412</v>
      </c>
    </row>
    <row r="140" spans="1:3" x14ac:dyDescent="0.45">
      <c r="A140" t="s">
        <v>151</v>
      </c>
      <c r="B140">
        <v>2040</v>
      </c>
      <c r="C140" s="2">
        <v>6721.849328515902</v>
      </c>
    </row>
    <row r="141" spans="1:3" x14ac:dyDescent="0.45">
      <c r="A141" t="s">
        <v>151</v>
      </c>
      <c r="B141">
        <v>2045</v>
      </c>
      <c r="C141" s="2">
        <v>5030.4329808173879</v>
      </c>
    </row>
    <row r="142" spans="1:3" x14ac:dyDescent="0.45">
      <c r="A142" t="s">
        <v>151</v>
      </c>
      <c r="B142">
        <v>2050</v>
      </c>
      <c r="C142" s="2">
        <v>3339.0166331188743</v>
      </c>
    </row>
    <row r="143" spans="1:3" x14ac:dyDescent="0.45">
      <c r="A143" t="s">
        <v>17</v>
      </c>
      <c r="B143">
        <v>2020</v>
      </c>
      <c r="C143">
        <v>79</v>
      </c>
    </row>
    <row r="144" spans="1:3" x14ac:dyDescent="0.45">
      <c r="A144" t="s">
        <v>17</v>
      </c>
      <c r="B144">
        <v>2030</v>
      </c>
      <c r="C144">
        <v>79</v>
      </c>
    </row>
    <row r="145" spans="1:3" x14ac:dyDescent="0.45">
      <c r="A145" t="s">
        <v>17</v>
      </c>
      <c r="B145">
        <v>2035</v>
      </c>
      <c r="C145">
        <v>79</v>
      </c>
    </row>
    <row r="146" spans="1:3" x14ac:dyDescent="0.45">
      <c r="A146" t="s">
        <v>17</v>
      </c>
      <c r="B146">
        <v>2040</v>
      </c>
      <c r="C146">
        <v>79</v>
      </c>
    </row>
    <row r="147" spans="1:3" x14ac:dyDescent="0.45">
      <c r="A147" t="s">
        <v>17</v>
      </c>
      <c r="B147">
        <v>2045</v>
      </c>
      <c r="C147">
        <v>79</v>
      </c>
    </row>
    <row r="148" spans="1:3" x14ac:dyDescent="0.45">
      <c r="A148" t="s">
        <v>17</v>
      </c>
      <c r="B148">
        <v>2050</v>
      </c>
      <c r="C148">
        <v>79</v>
      </c>
    </row>
    <row r="149" spans="1:3" x14ac:dyDescent="0.45">
      <c r="A149" t="s">
        <v>155</v>
      </c>
      <c r="B149">
        <v>2020</v>
      </c>
      <c r="C149">
        <v>16</v>
      </c>
    </row>
    <row r="150" spans="1:3" x14ac:dyDescent="0.45">
      <c r="A150" t="s">
        <v>155</v>
      </c>
      <c r="B150">
        <v>2030</v>
      </c>
      <c r="C150">
        <v>16</v>
      </c>
    </row>
    <row r="151" spans="1:3" x14ac:dyDescent="0.45">
      <c r="A151" t="s">
        <v>155</v>
      </c>
      <c r="B151">
        <v>2035</v>
      </c>
      <c r="C151">
        <v>16</v>
      </c>
    </row>
    <row r="152" spans="1:3" x14ac:dyDescent="0.45">
      <c r="A152" t="s">
        <v>155</v>
      </c>
      <c r="B152">
        <v>2040</v>
      </c>
      <c r="C152">
        <v>16</v>
      </c>
    </row>
    <row r="153" spans="1:3" x14ac:dyDescent="0.45">
      <c r="A153" t="s">
        <v>155</v>
      </c>
      <c r="B153">
        <v>2045</v>
      </c>
      <c r="C153">
        <v>16</v>
      </c>
    </row>
    <row r="154" spans="1:3" x14ac:dyDescent="0.45">
      <c r="A154" t="s">
        <v>155</v>
      </c>
      <c r="B154">
        <v>2050</v>
      </c>
      <c r="C154">
        <v>16</v>
      </c>
    </row>
    <row r="155" spans="1:3" x14ac:dyDescent="0.45">
      <c r="A155" t="s">
        <v>122</v>
      </c>
      <c r="B155">
        <v>2025</v>
      </c>
      <c r="C155">
        <v>11925</v>
      </c>
    </row>
    <row r="156" spans="1:3" x14ac:dyDescent="0.45">
      <c r="A156" t="s">
        <v>122</v>
      </c>
      <c r="B156">
        <v>2030</v>
      </c>
      <c r="C156">
        <v>11925</v>
      </c>
    </row>
    <row r="157" spans="1:3" x14ac:dyDescent="0.45">
      <c r="A157" t="s">
        <v>122</v>
      </c>
      <c r="B157">
        <v>2035</v>
      </c>
      <c r="C157">
        <v>11925</v>
      </c>
    </row>
    <row r="158" spans="1:3" x14ac:dyDescent="0.45">
      <c r="A158" t="s">
        <v>122</v>
      </c>
      <c r="B158">
        <v>2040</v>
      </c>
      <c r="C158">
        <v>11925</v>
      </c>
    </row>
    <row r="159" spans="1:3" x14ac:dyDescent="0.45">
      <c r="A159" t="s">
        <v>122</v>
      </c>
      <c r="B159">
        <v>2045</v>
      </c>
      <c r="C159">
        <v>11925</v>
      </c>
    </row>
    <row r="160" spans="1:3" x14ac:dyDescent="0.45">
      <c r="A160" t="s">
        <v>122</v>
      </c>
      <c r="B160">
        <v>2050</v>
      </c>
      <c r="C160">
        <v>11925</v>
      </c>
    </row>
    <row r="161" spans="1:3" x14ac:dyDescent="0.45">
      <c r="A161" t="s">
        <v>124</v>
      </c>
      <c r="B161">
        <v>2025</v>
      </c>
      <c r="C161">
        <v>52467</v>
      </c>
    </row>
    <row r="162" spans="1:3" x14ac:dyDescent="0.45">
      <c r="A162" t="s">
        <v>124</v>
      </c>
      <c r="B162">
        <v>2030</v>
      </c>
      <c r="C162" s="2">
        <v>44760.19999999999</v>
      </c>
    </row>
    <row r="163" spans="1:3" x14ac:dyDescent="0.45">
      <c r="A163" t="s">
        <v>124</v>
      </c>
      <c r="B163">
        <v>2035</v>
      </c>
      <c r="C163" s="2">
        <v>37053.4</v>
      </c>
    </row>
    <row r="164" spans="1:3" x14ac:dyDescent="0.45">
      <c r="A164" t="s">
        <v>124</v>
      </c>
      <c r="B164">
        <v>2040</v>
      </c>
      <c r="C164" s="2">
        <v>29346.600000000002</v>
      </c>
    </row>
    <row r="165" spans="1:3" x14ac:dyDescent="0.45">
      <c r="A165" t="s">
        <v>124</v>
      </c>
      <c r="B165">
        <v>2045</v>
      </c>
      <c r="C165" s="2">
        <v>21639.800000000003</v>
      </c>
    </row>
    <row r="166" spans="1:3" x14ac:dyDescent="0.45">
      <c r="A166" t="s">
        <v>124</v>
      </c>
      <c r="B166">
        <v>2050</v>
      </c>
      <c r="C166" s="2">
        <v>13933</v>
      </c>
    </row>
    <row r="167" spans="1:3" x14ac:dyDescent="0.45">
      <c r="A167" t="s">
        <v>125</v>
      </c>
      <c r="B167">
        <v>2025</v>
      </c>
      <c r="C167">
        <v>57233</v>
      </c>
    </row>
    <row r="168" spans="1:3" x14ac:dyDescent="0.45">
      <c r="A168" t="s">
        <v>125</v>
      </c>
      <c r="B168">
        <v>2030</v>
      </c>
      <c r="C168" s="2">
        <v>44760.2</v>
      </c>
    </row>
    <row r="169" spans="1:3" x14ac:dyDescent="0.45">
      <c r="A169" t="s">
        <v>125</v>
      </c>
      <c r="B169">
        <v>2035</v>
      </c>
      <c r="C169" s="2">
        <v>37053.4</v>
      </c>
    </row>
    <row r="170" spans="1:3" x14ac:dyDescent="0.45">
      <c r="A170" t="s">
        <v>125</v>
      </c>
      <c r="B170">
        <v>2040</v>
      </c>
      <c r="C170" s="2">
        <v>29346.600000000002</v>
      </c>
    </row>
    <row r="171" spans="1:3" x14ac:dyDescent="0.45">
      <c r="A171" t="s">
        <v>125</v>
      </c>
      <c r="B171">
        <v>2045</v>
      </c>
      <c r="C171" s="2">
        <v>21639.800000000003</v>
      </c>
    </row>
    <row r="172" spans="1:3" x14ac:dyDescent="0.45">
      <c r="A172" t="s">
        <v>125</v>
      </c>
      <c r="B172">
        <v>2050</v>
      </c>
      <c r="C172" s="2">
        <v>13933</v>
      </c>
    </row>
    <row r="173" spans="1:3" x14ac:dyDescent="0.45">
      <c r="A173" t="s">
        <v>160</v>
      </c>
      <c r="B173" s="13">
        <v>2030</v>
      </c>
      <c r="C173" s="2">
        <f>C155*2.5*C161/$C$161</f>
        <v>29812.5</v>
      </c>
    </row>
    <row r="174" spans="1:3" x14ac:dyDescent="0.45">
      <c r="A174" t="s">
        <v>160</v>
      </c>
      <c r="B174" s="3">
        <v>2035</v>
      </c>
      <c r="C174" s="2">
        <f t="shared" ref="C174:C177" si="0">C156*2.5*C162/$C$161</f>
        <v>25433.38598547658</v>
      </c>
    </row>
    <row r="175" spans="1:3" x14ac:dyDescent="0.45">
      <c r="A175" t="s">
        <v>160</v>
      </c>
      <c r="B175" s="3">
        <v>2040</v>
      </c>
      <c r="C175" s="2">
        <f t="shared" si="0"/>
        <v>21054.27197095317</v>
      </c>
    </row>
    <row r="176" spans="1:3" x14ac:dyDescent="0.45">
      <c r="A176" t="s">
        <v>160</v>
      </c>
      <c r="B176" s="3">
        <v>2045</v>
      </c>
      <c r="C176" s="2">
        <f t="shared" si="0"/>
        <v>16675.157956429757</v>
      </c>
    </row>
    <row r="177" spans="1:3" x14ac:dyDescent="0.45">
      <c r="A177" t="s">
        <v>160</v>
      </c>
      <c r="B177" s="14">
        <v>2050</v>
      </c>
      <c r="C177" s="2">
        <f t="shared" si="0"/>
        <v>12296.043941906344</v>
      </c>
    </row>
    <row r="178" spans="1:3" x14ac:dyDescent="0.45">
      <c r="A178" t="s">
        <v>163</v>
      </c>
      <c r="B178" s="13">
        <v>2030</v>
      </c>
      <c r="C178" s="2">
        <f>11124025/5000*10</f>
        <v>22248.05</v>
      </c>
    </row>
    <row r="179" spans="1:3" x14ac:dyDescent="0.45">
      <c r="A179" t="s">
        <v>163</v>
      </c>
      <c r="B179" s="3">
        <v>2035</v>
      </c>
      <c r="C179" s="2">
        <f>11124025/5000*10</f>
        <v>22248.05</v>
      </c>
    </row>
    <row r="180" spans="1:3" x14ac:dyDescent="0.45">
      <c r="A180" t="s">
        <v>163</v>
      </c>
      <c r="B180" s="3">
        <v>2040</v>
      </c>
      <c r="C180" s="2">
        <f>11124025/5000*10</f>
        <v>22248.05</v>
      </c>
    </row>
    <row r="181" spans="1:3" x14ac:dyDescent="0.45">
      <c r="A181" t="s">
        <v>163</v>
      </c>
      <c r="B181" s="3">
        <v>2045</v>
      </c>
      <c r="C181" s="2">
        <f>11124025/5000*10</f>
        <v>22248.05</v>
      </c>
    </row>
    <row r="182" spans="1:3" x14ac:dyDescent="0.45">
      <c r="A182" t="s">
        <v>163</v>
      </c>
      <c r="B182" s="14">
        <v>2050</v>
      </c>
      <c r="C182" s="2">
        <f>11124025/5000*10</f>
        <v>22248.05</v>
      </c>
    </row>
  </sheetData>
  <phoneticPr fontId="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Url xmlns="78f5d616-d986-4dbf-81f2-69af00c3db0e">
      <Url xsi:nil="true"/>
      <Description xsi:nil="true"/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</documentManagement>
</p:properties>
</file>

<file path=customXml/itemProps1.xml><?xml version="1.0" encoding="utf-8"?>
<ds:datastoreItem xmlns:ds="http://schemas.openxmlformats.org/officeDocument/2006/customXml" ds:itemID="{C0EECCBC-6E70-4F46-8D0C-AEB2EDB01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839328-69D4-44B9-B71A-729F78EABEA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88C3398-8628-4663-B736-BC459B320F8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E09A96-2069-4759-B3A5-3697E682722F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General_Data_Assumption</vt:lpstr>
      <vt:lpstr>Input</vt:lpstr>
      <vt:lpstr>Transformation</vt:lpstr>
      <vt:lpstr>_capex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Marx</cp:lastModifiedBy>
  <dcterms:created xsi:type="dcterms:W3CDTF">2024-08-08T14:52:10Z</dcterms:created>
  <dcterms:modified xsi:type="dcterms:W3CDTF">2024-11-30T11:42:43Z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43fb1e64-77c2-4537-a489-e26ef07ddded</vt:lpwstr>
  </property>
</Properties>
</file>