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mass\Desktop\"/>
    </mc:Choice>
  </mc:AlternateContent>
  <xr:revisionPtr revIDLastSave="0" documentId="13_ncr:1_{3AEB3E8A-7EF9-429D-909B-E5CA042E3D7A}" xr6:coauthVersionLast="47" xr6:coauthVersionMax="47" xr10:uidLastSave="{00000000-0000-0000-0000-000000000000}"/>
  <bookViews>
    <workbookView xWindow="-108" yWindow="-108" windowWidth="23256" windowHeight="13176" firstSheet="15" activeTab="19" xr2:uid="{F474659A-A8C4-485A-8152-5BB56639C3F5}"/>
  </bookViews>
  <sheets>
    <sheet name="Respuestas de formulario 1" sheetId="9" r:id="rId1"/>
    <sheet name="Competidores" sheetId="3" r:id="rId2"/>
    <sheet name="Análisis competidores" sheetId="4" r:id="rId3"/>
    <sheet name="Mercado Actual" sheetId="1" r:id="rId4"/>
    <sheet name="D. Procesos" sheetId="6" r:id="rId5"/>
    <sheet name="Estructura de planilla" sheetId="5" r:id="rId6"/>
    <sheet name="Mobiliario" sheetId="7" r:id="rId7"/>
    <sheet name="Licencia y Adecuación" sheetId="8" r:id="rId8"/>
    <sheet name="Precios Promedios" sheetId="10" r:id="rId9"/>
    <sheet name="Materia Prima_Inversión Inicial" sheetId="13" r:id="rId10"/>
    <sheet name="Servicios " sheetId="15" r:id="rId11"/>
    <sheet name="Inversión Total" sheetId="12" r:id="rId12"/>
    <sheet name="Balance proforma" sheetId="18" r:id="rId13"/>
    <sheet name="Flujo de Efectivo" sheetId="20" r:id="rId14"/>
    <sheet name="Estados de Resultado" sheetId="19" r:id="rId15"/>
    <sheet name="Presupuesto Mensual" sheetId="14" r:id="rId16"/>
    <sheet name="Presupuesto Anual" sheetId="17" r:id="rId17"/>
    <sheet name="Amortización" sheetId="16" r:id="rId18"/>
    <sheet name="Ventas_Ingresos" sheetId="11" r:id="rId19"/>
    <sheet name="Rentabilidad" sheetId="21" r:id="rId20"/>
  </sheets>
  <externalReferences>
    <externalReference r:id="rId21"/>
  </externalReferences>
  <definedNames>
    <definedName name="_xlnm._FilterDatabase" localSheetId="0" hidden="1">'Respuestas de formulario 1'!$A$1:$R$154</definedName>
    <definedName name="CODIGOS">#REF!</definedName>
    <definedName name="dias">[1]SALIDAS!$N$20:$P$24</definedName>
    <definedName name="FIN_14vo">[1]SALIDAS!#REF!</definedName>
    <definedName name="FIN_Aguinaldo">[1]SALIDAS!#REF!</definedName>
    <definedName name="FIN_MES">[1]SALIDAS!#REF!</definedName>
    <definedName name="FIN_SueldoNeto">[1]SALIDAS!#REF!</definedName>
    <definedName name="invent">[1]INVENTARIO!$B$8:$I$13</definedName>
    <definedName name="Planilla_1">[1]SALIDAS!$B$12:$R$14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K8" i="21" l="1"/>
  <c r="AK7" i="21"/>
  <c r="AK6" i="21"/>
  <c r="AK3" i="21"/>
  <c r="AG5" i="21"/>
  <c r="AH4" i="21" s="1"/>
  <c r="N5" i="21"/>
  <c r="K7" i="21"/>
  <c r="K6" i="21"/>
  <c r="B28" i="17"/>
  <c r="C28" i="17" s="1"/>
  <c r="D28" i="17" s="1"/>
  <c r="E28" i="17" s="1"/>
  <c r="F28" i="17" s="1"/>
  <c r="B34" i="18"/>
  <c r="N27" i="18"/>
  <c r="K27" i="18"/>
  <c r="B26" i="18"/>
  <c r="N23" i="18"/>
  <c r="N14" i="18"/>
  <c r="K23" i="18"/>
  <c r="K30" i="18" s="1"/>
  <c r="K31" i="18" s="1"/>
  <c r="H27" i="18"/>
  <c r="H23" i="18"/>
  <c r="H30" i="18" s="1"/>
  <c r="H31" i="18" s="1"/>
  <c r="H14" i="18"/>
  <c r="E27" i="18"/>
  <c r="E23" i="18"/>
  <c r="B23" i="18"/>
  <c r="B30" i="18" s="1"/>
  <c r="B27" i="18"/>
  <c r="C21" i="19"/>
  <c r="D21" i="19" s="1"/>
  <c r="E21" i="19" s="1"/>
  <c r="F21" i="19" s="1"/>
  <c r="D16" i="19"/>
  <c r="E16" i="19"/>
  <c r="F16" i="19"/>
  <c r="C16" i="19"/>
  <c r="C4" i="15"/>
  <c r="D4" i="15" s="1"/>
  <c r="B15" i="14"/>
  <c r="AH3" i="21" l="1"/>
  <c r="AG7" i="21" s="1"/>
  <c r="AK4" i="21" s="1"/>
  <c r="E14" i="18"/>
  <c r="N30" i="18"/>
  <c r="N31" i="18" s="1"/>
  <c r="E30" i="18"/>
  <c r="E31" i="18" s="1"/>
  <c r="K14" i="18"/>
  <c r="B31" i="18"/>
  <c r="D14" i="13" l="1"/>
  <c r="B33" i="17"/>
  <c r="B10" i="20"/>
  <c r="B12" i="20" s="1"/>
  <c r="B18" i="12"/>
  <c r="B20" i="12" s="1"/>
  <c r="B11" i="14"/>
  <c r="C12" i="14"/>
  <c r="D4" i="16"/>
  <c r="F8" i="16" s="1"/>
  <c r="C9" i="16" s="1"/>
  <c r="E20" i="11"/>
  <c r="E36" i="11" s="1"/>
  <c r="E52" i="11" s="1"/>
  <c r="E68" i="11" s="1"/>
  <c r="E84" i="11" s="1"/>
  <c r="E101" i="11" s="1"/>
  <c r="E118" i="11" s="1"/>
  <c r="E135" i="11" s="1"/>
  <c r="E152" i="11" s="1"/>
  <c r="B21" i="11"/>
  <c r="B37" i="11" s="1"/>
  <c r="B22" i="11"/>
  <c r="B38" i="11"/>
  <c r="C38" i="11" s="1"/>
  <c r="D38" i="11" s="1"/>
  <c r="B20" i="11"/>
  <c r="B36" i="11" s="1"/>
  <c r="B39" i="11"/>
  <c r="B40" i="11"/>
  <c r="B41" i="11"/>
  <c r="C41" i="11" s="1"/>
  <c r="D41" i="11" s="1"/>
  <c r="B4" i="21"/>
  <c r="O11" i="14"/>
  <c r="Q11" i="14" s="1"/>
  <c r="K4" i="16"/>
  <c r="K5" i="16"/>
  <c r="K6" i="16"/>
  <c r="K7" i="16"/>
  <c r="K3" i="16"/>
  <c r="C3" i="12"/>
  <c r="C4" i="11"/>
  <c r="D4" i="11" s="1"/>
  <c r="H4" i="11" s="1"/>
  <c r="F4" i="11"/>
  <c r="G4" i="11"/>
  <c r="C5" i="11"/>
  <c r="G5" i="11" s="1"/>
  <c r="F5" i="11"/>
  <c r="C6" i="11"/>
  <c r="G6" i="11" s="1"/>
  <c r="F6" i="11"/>
  <c r="C7" i="11"/>
  <c r="F7" i="11"/>
  <c r="C8" i="11"/>
  <c r="D8" i="11" s="1"/>
  <c r="H8" i="11" s="1"/>
  <c r="F8" i="11"/>
  <c r="C9" i="11"/>
  <c r="G9" i="11" s="1"/>
  <c r="F9" i="11"/>
  <c r="C10" i="11"/>
  <c r="G10" i="11" s="1"/>
  <c r="F10" i="11"/>
  <c r="B11" i="11"/>
  <c r="E11" i="11"/>
  <c r="E21" i="11"/>
  <c r="C22" i="11"/>
  <c r="D22" i="11" s="1"/>
  <c r="E22" i="11"/>
  <c r="E38" i="11" s="1"/>
  <c r="E54" i="11" s="1"/>
  <c r="B23" i="11"/>
  <c r="C23" i="11" s="1"/>
  <c r="E23" i="11"/>
  <c r="C24" i="11"/>
  <c r="D24" i="11" s="1"/>
  <c r="E24" i="11"/>
  <c r="C25" i="11"/>
  <c r="D25" i="11" s="1"/>
  <c r="E25" i="11"/>
  <c r="F25" i="11" s="1"/>
  <c r="B26" i="11"/>
  <c r="C26" i="11" s="1"/>
  <c r="D26" i="11" s="1"/>
  <c r="E26" i="11"/>
  <c r="E37" i="11"/>
  <c r="E53" i="11" s="1"/>
  <c r="E69" i="11" s="1"/>
  <c r="E85" i="11" s="1"/>
  <c r="E102" i="11" s="1"/>
  <c r="E119" i="11" s="1"/>
  <c r="E136" i="11" s="1"/>
  <c r="E153" i="11" s="1"/>
  <c r="E39" i="11"/>
  <c r="E55" i="11" s="1"/>
  <c r="E71" i="11" s="1"/>
  <c r="E87" i="11" s="1"/>
  <c r="E104" i="11" s="1"/>
  <c r="E121" i="11" s="1"/>
  <c r="E138" i="11" s="1"/>
  <c r="E155" i="11" s="1"/>
  <c r="E40" i="11"/>
  <c r="E56" i="11" s="1"/>
  <c r="E72" i="11" s="1"/>
  <c r="E88" i="11" s="1"/>
  <c r="E105" i="11" s="1"/>
  <c r="E122" i="11" s="1"/>
  <c r="E139" i="11" s="1"/>
  <c r="E156" i="11" s="1"/>
  <c r="C42" i="11"/>
  <c r="D42" i="11" s="1"/>
  <c r="E42" i="11"/>
  <c r="E58" i="11" s="1"/>
  <c r="E74" i="11" s="1"/>
  <c r="E90" i="11" s="1"/>
  <c r="E107" i="11" s="1"/>
  <c r="E124" i="11" s="1"/>
  <c r="E141" i="11" s="1"/>
  <c r="E158" i="11" s="1"/>
  <c r="B58" i="11"/>
  <c r="C58" i="11" s="1"/>
  <c r="D58" i="11" s="1"/>
  <c r="B186" i="11"/>
  <c r="C186" i="11"/>
  <c r="D186" i="11"/>
  <c r="E186" i="11"/>
  <c r="F186" i="11"/>
  <c r="G20" i="14"/>
  <c r="F20" i="14"/>
  <c r="E20" i="14"/>
  <c r="D20" i="14"/>
  <c r="C20" i="14"/>
  <c r="B20" i="14"/>
  <c r="L20" i="14"/>
  <c r="M20" i="14"/>
  <c r="N20" i="14"/>
  <c r="O20" i="14"/>
  <c r="P20" i="14"/>
  <c r="K20" i="14"/>
  <c r="K12" i="14"/>
  <c r="P12" i="14"/>
  <c r="O12" i="14"/>
  <c r="N12" i="14"/>
  <c r="M12" i="14"/>
  <c r="L12" i="14"/>
  <c r="E12" i="14"/>
  <c r="F12" i="14"/>
  <c r="G12" i="14"/>
  <c r="P19" i="14"/>
  <c r="O19" i="14"/>
  <c r="N19" i="14"/>
  <c r="M19" i="14"/>
  <c r="L19" i="14"/>
  <c r="K19" i="14"/>
  <c r="Q17" i="14"/>
  <c r="Q15" i="14"/>
  <c r="Q6" i="14"/>
  <c r="J4" i="7"/>
  <c r="J5" i="7"/>
  <c r="J6" i="7"/>
  <c r="J7" i="7"/>
  <c r="J8" i="7"/>
  <c r="J9" i="7"/>
  <c r="J10" i="7"/>
  <c r="J11" i="7"/>
  <c r="J12" i="7"/>
  <c r="J13" i="7"/>
  <c r="J14" i="7"/>
  <c r="J3" i="7"/>
  <c r="B57" i="11" l="1"/>
  <c r="C57" i="11" s="1"/>
  <c r="H42" i="11"/>
  <c r="B54" i="11"/>
  <c r="B70" i="11" s="1"/>
  <c r="C70" i="11" s="1"/>
  <c r="D70" i="11" s="1"/>
  <c r="H25" i="11"/>
  <c r="F20" i="11"/>
  <c r="C19" i="16"/>
  <c r="B25" i="17"/>
  <c r="B14" i="19" s="1"/>
  <c r="B10" i="21"/>
  <c r="F37" i="11"/>
  <c r="B53" i="11"/>
  <c r="C37" i="11"/>
  <c r="D37" i="11" s="1"/>
  <c r="H37" i="11" s="1"/>
  <c r="C21" i="11"/>
  <c r="C27" i="11" s="1"/>
  <c r="C12" i="16"/>
  <c r="J15" i="7"/>
  <c r="E41" i="11"/>
  <c r="H41" i="11" s="1"/>
  <c r="H24" i="11"/>
  <c r="F21" i="11"/>
  <c r="D10" i="11"/>
  <c r="H10" i="11" s="1"/>
  <c r="D5" i="11"/>
  <c r="H5" i="11" s="1"/>
  <c r="H58" i="11"/>
  <c r="D6" i="11"/>
  <c r="H6" i="11" s="1"/>
  <c r="C13" i="16"/>
  <c r="Q20" i="14"/>
  <c r="C11" i="16"/>
  <c r="D25" i="17" s="1"/>
  <c r="D14" i="19" s="1"/>
  <c r="C10" i="16"/>
  <c r="C25" i="17" s="1"/>
  <c r="C14" i="19" s="1"/>
  <c r="C54" i="11"/>
  <c r="D54" i="11" s="1"/>
  <c r="H54" i="11" s="1"/>
  <c r="F36" i="11"/>
  <c r="C36" i="11"/>
  <c r="G36" i="11" s="1"/>
  <c r="C20" i="11"/>
  <c r="B52" i="11"/>
  <c r="F52" i="11" s="1"/>
  <c r="B69" i="11"/>
  <c r="B86" i="11"/>
  <c r="B74" i="11"/>
  <c r="G25" i="11"/>
  <c r="F24" i="11"/>
  <c r="G8" i="11"/>
  <c r="D57" i="11"/>
  <c r="B73" i="11"/>
  <c r="D9" i="11"/>
  <c r="H9" i="11" s="1"/>
  <c r="F11" i="11"/>
  <c r="F4" i="21"/>
  <c r="E70" i="11"/>
  <c r="D20" i="11"/>
  <c r="F58" i="11"/>
  <c r="G58" i="11"/>
  <c r="F42" i="11"/>
  <c r="G42" i="11"/>
  <c r="F39" i="11"/>
  <c r="B27" i="11"/>
  <c r="G24" i="11"/>
  <c r="F22" i="11"/>
  <c r="G22" i="11"/>
  <c r="H22" i="11"/>
  <c r="E27" i="11"/>
  <c r="F38" i="11"/>
  <c r="G38" i="11"/>
  <c r="H38" i="11"/>
  <c r="G23" i="11"/>
  <c r="D23" i="11"/>
  <c r="H23" i="11" s="1"/>
  <c r="G20" i="11"/>
  <c r="D7" i="11"/>
  <c r="H7" i="11" s="1"/>
  <c r="H11" i="11" s="1"/>
  <c r="G7" i="11"/>
  <c r="G11" i="11" s="1"/>
  <c r="F26" i="11"/>
  <c r="G26" i="11"/>
  <c r="H26" i="11"/>
  <c r="F23" i="11"/>
  <c r="C11" i="11"/>
  <c r="Q19" i="14"/>
  <c r="Q12" i="14"/>
  <c r="D9" i="16"/>
  <c r="D19" i="16" s="1"/>
  <c r="B24" i="14" s="1"/>
  <c r="E43" i="11" l="1"/>
  <c r="F54" i="11"/>
  <c r="G37" i="11"/>
  <c r="F25" i="17"/>
  <c r="F14" i="19" s="1"/>
  <c r="E25" i="17"/>
  <c r="E14" i="19" s="1"/>
  <c r="S11" i="21"/>
  <c r="S7" i="21"/>
  <c r="S8" i="21"/>
  <c r="S12" i="21"/>
  <c r="S10" i="21"/>
  <c r="S9" i="21"/>
  <c r="S13" i="21"/>
  <c r="E27" i="17"/>
  <c r="J16" i="7"/>
  <c r="F27" i="17"/>
  <c r="C27" i="17"/>
  <c r="B27" i="17"/>
  <c r="D27" i="17"/>
  <c r="C20" i="16"/>
  <c r="C22" i="16"/>
  <c r="C53" i="11"/>
  <c r="F53" i="11"/>
  <c r="C21" i="16"/>
  <c r="C23" i="16"/>
  <c r="G41" i="11"/>
  <c r="F41" i="11"/>
  <c r="E57" i="11"/>
  <c r="H57" i="11" s="1"/>
  <c r="D21" i="11"/>
  <c r="H21" i="11" s="1"/>
  <c r="G21" i="11"/>
  <c r="E9" i="16"/>
  <c r="G54" i="11"/>
  <c r="D36" i="11"/>
  <c r="H36" i="11" s="1"/>
  <c r="B68" i="11"/>
  <c r="C68" i="11" s="1"/>
  <c r="D68" i="11" s="1"/>
  <c r="H68" i="11" s="1"/>
  <c r="C52" i="11"/>
  <c r="G52" i="11" s="1"/>
  <c r="F69" i="11"/>
  <c r="B85" i="11"/>
  <c r="C69" i="11"/>
  <c r="C86" i="11"/>
  <c r="D86" i="11" s="1"/>
  <c r="B103" i="11"/>
  <c r="C74" i="11"/>
  <c r="B90" i="11"/>
  <c r="F74" i="11"/>
  <c r="F40" i="11"/>
  <c r="F43" i="11" s="1"/>
  <c r="B56" i="11"/>
  <c r="C40" i="11"/>
  <c r="C73" i="11"/>
  <c r="B89" i="11"/>
  <c r="F27" i="11"/>
  <c r="B168" i="11"/>
  <c r="E5" i="21"/>
  <c r="C39" i="11"/>
  <c r="B55" i="11"/>
  <c r="B43" i="11"/>
  <c r="G4" i="21"/>
  <c r="M5" i="14"/>
  <c r="M7" i="14" s="1"/>
  <c r="P5" i="14"/>
  <c r="P7" i="14" s="1"/>
  <c r="L5" i="14"/>
  <c r="L7" i="14" s="1"/>
  <c r="K5" i="14"/>
  <c r="N5" i="14"/>
  <c r="N7" i="14" s="1"/>
  <c r="O5" i="14"/>
  <c r="O7" i="14" s="1"/>
  <c r="G27" i="11"/>
  <c r="D11" i="11"/>
  <c r="F70" i="11"/>
  <c r="G70" i="11"/>
  <c r="H70" i="11"/>
  <c r="E86" i="11"/>
  <c r="H20" i="11"/>
  <c r="D27" i="11"/>
  <c r="P24" i="14"/>
  <c r="L24" i="14"/>
  <c r="D24" i="14"/>
  <c r="C24" i="14"/>
  <c r="O24" i="14"/>
  <c r="K24" i="14"/>
  <c r="E24" i="14"/>
  <c r="M24" i="14"/>
  <c r="N24" i="14"/>
  <c r="F24" i="14"/>
  <c r="G24" i="14"/>
  <c r="H27" i="11" l="1"/>
  <c r="B169" i="11"/>
  <c r="T7" i="21"/>
  <c r="C5" i="17"/>
  <c r="D3" i="20" s="1"/>
  <c r="T8" i="21"/>
  <c r="T9" i="21"/>
  <c r="T10" i="21"/>
  <c r="T11" i="21"/>
  <c r="T12" i="21"/>
  <c r="T13" i="21"/>
  <c r="B26" i="17"/>
  <c r="B23" i="14"/>
  <c r="P23" i="14"/>
  <c r="L23" i="14"/>
  <c r="F23" i="14"/>
  <c r="O23" i="14"/>
  <c r="K23" i="14"/>
  <c r="C23" i="14"/>
  <c r="G23" i="14"/>
  <c r="D23" i="14"/>
  <c r="M23" i="14"/>
  <c r="E23" i="14"/>
  <c r="N23" i="14"/>
  <c r="E73" i="11"/>
  <c r="G73" i="11" s="1"/>
  <c r="E59" i="11"/>
  <c r="F57" i="11"/>
  <c r="G57" i="11"/>
  <c r="G53" i="11"/>
  <c r="D53" i="11"/>
  <c r="H53" i="11" s="1"/>
  <c r="F68" i="11"/>
  <c r="D52" i="11"/>
  <c r="H52" i="11" s="1"/>
  <c r="B84" i="11"/>
  <c r="C84" i="11" s="1"/>
  <c r="G68" i="11"/>
  <c r="G69" i="11"/>
  <c r="D69" i="11"/>
  <c r="H69" i="11" s="1"/>
  <c r="C85" i="11"/>
  <c r="F85" i="11"/>
  <c r="B102" i="11"/>
  <c r="B120" i="11"/>
  <c r="C103" i="11"/>
  <c r="D103" i="11" s="1"/>
  <c r="C90" i="11"/>
  <c r="B107" i="11"/>
  <c r="F90" i="11"/>
  <c r="D74" i="11"/>
  <c r="H74" i="11" s="1"/>
  <c r="G74" i="11"/>
  <c r="D40" i="11"/>
  <c r="H40" i="11" s="1"/>
  <c r="G40" i="11"/>
  <c r="F56" i="11"/>
  <c r="C56" i="11"/>
  <c r="B72" i="11"/>
  <c r="D73" i="11"/>
  <c r="C89" i="11"/>
  <c r="B106" i="11"/>
  <c r="C5" i="19"/>
  <c r="C6" i="19" s="1"/>
  <c r="E6" i="21"/>
  <c r="C55" i="11"/>
  <c r="B59" i="11"/>
  <c r="B71" i="11"/>
  <c r="F55" i="11"/>
  <c r="D39" i="11"/>
  <c r="H39" i="11" s="1"/>
  <c r="C43" i="11"/>
  <c r="G39" i="11"/>
  <c r="G43" i="11" s="1"/>
  <c r="F86" i="11"/>
  <c r="G86" i="11"/>
  <c r="H86" i="11"/>
  <c r="E103" i="11"/>
  <c r="K7" i="14"/>
  <c r="Q7" i="14" s="1"/>
  <c r="Q5" i="14"/>
  <c r="H24" i="14"/>
  <c r="Q24" i="14"/>
  <c r="F9" i="16"/>
  <c r="F19" i="16" s="1"/>
  <c r="E19" i="16"/>
  <c r="E34" i="18" l="1"/>
  <c r="H43" i="11"/>
  <c r="U11" i="21" s="1"/>
  <c r="E89" i="11"/>
  <c r="G89" i="11" s="1"/>
  <c r="F73" i="11"/>
  <c r="E75" i="11"/>
  <c r="D22" i="14"/>
  <c r="D21" i="14" s="1"/>
  <c r="B22" i="14"/>
  <c r="E22" i="14"/>
  <c r="F22" i="14"/>
  <c r="C22" i="14"/>
  <c r="C21" i="14" s="1"/>
  <c r="G22" i="14"/>
  <c r="G21" i="14" s="1"/>
  <c r="Q23" i="14"/>
  <c r="U9" i="21"/>
  <c r="U10" i="21"/>
  <c r="U13" i="21"/>
  <c r="U7" i="21"/>
  <c r="H73" i="11"/>
  <c r="F84" i="11"/>
  <c r="B101" i="11"/>
  <c r="C101" i="11" s="1"/>
  <c r="G85" i="11"/>
  <c r="D85" i="11"/>
  <c r="H85" i="11" s="1"/>
  <c r="C102" i="11"/>
  <c r="F102" i="11"/>
  <c r="B119" i="11"/>
  <c r="G84" i="11"/>
  <c r="D84" i="11"/>
  <c r="H84" i="11" s="1"/>
  <c r="C120" i="11"/>
  <c r="D120" i="11" s="1"/>
  <c r="B137" i="11"/>
  <c r="B124" i="11"/>
  <c r="C107" i="11"/>
  <c r="F107" i="11"/>
  <c r="D90" i="11"/>
  <c r="H90" i="11" s="1"/>
  <c r="G90" i="11"/>
  <c r="F72" i="11"/>
  <c r="C72" i="11"/>
  <c r="B88" i="11"/>
  <c r="F59" i="11"/>
  <c r="D56" i="11"/>
  <c r="H56" i="11" s="1"/>
  <c r="G56" i="11"/>
  <c r="B123" i="11"/>
  <c r="C106" i="11"/>
  <c r="D89" i="11"/>
  <c r="D55" i="11"/>
  <c r="C59" i="11"/>
  <c r="G55" i="11"/>
  <c r="C71" i="11"/>
  <c r="B75" i="11"/>
  <c r="B87" i="11"/>
  <c r="F71" i="11"/>
  <c r="D43" i="11"/>
  <c r="F103" i="11"/>
  <c r="G103" i="11"/>
  <c r="H103" i="11"/>
  <c r="E120" i="11"/>
  <c r="D10" i="16"/>
  <c r="E10" i="16" s="1"/>
  <c r="O22" i="14"/>
  <c r="O21" i="14" s="1"/>
  <c r="K22" i="14"/>
  <c r="E21" i="14"/>
  <c r="L22" i="14"/>
  <c r="L21" i="14" s="1"/>
  <c r="N22" i="14"/>
  <c r="N21" i="14" s="1"/>
  <c r="F21" i="14"/>
  <c r="P22" i="14"/>
  <c r="P21" i="14" s="1"/>
  <c r="M22" i="14"/>
  <c r="M21" i="14" s="1"/>
  <c r="B21" i="14"/>
  <c r="H89" i="11" l="1"/>
  <c r="G59" i="11"/>
  <c r="U12" i="21"/>
  <c r="U8" i="21"/>
  <c r="E106" i="11"/>
  <c r="F89" i="11"/>
  <c r="E91" i="11"/>
  <c r="B118" i="11"/>
  <c r="C118" i="11" s="1"/>
  <c r="F101" i="11"/>
  <c r="C119" i="11"/>
  <c r="B136" i="11"/>
  <c r="F119" i="11"/>
  <c r="G102" i="11"/>
  <c r="D102" i="11"/>
  <c r="H102" i="11" s="1"/>
  <c r="F118" i="11"/>
  <c r="B135" i="11"/>
  <c r="G101" i="11"/>
  <c r="D101" i="11"/>
  <c r="H101" i="11" s="1"/>
  <c r="C137" i="11"/>
  <c r="D137" i="11" s="1"/>
  <c r="B154" i="11"/>
  <c r="C154" i="11" s="1"/>
  <c r="D154" i="11" s="1"/>
  <c r="D107" i="11"/>
  <c r="H107" i="11" s="1"/>
  <c r="G107" i="11"/>
  <c r="C124" i="11"/>
  <c r="B141" i="11"/>
  <c r="F124" i="11"/>
  <c r="F75" i="11"/>
  <c r="F88" i="11"/>
  <c r="B105" i="11"/>
  <c r="C88" i="11"/>
  <c r="D72" i="11"/>
  <c r="H72" i="11" s="1"/>
  <c r="G72" i="11"/>
  <c r="G106" i="11"/>
  <c r="D106" i="11"/>
  <c r="H106" i="11" s="1"/>
  <c r="C123" i="11"/>
  <c r="B140" i="11"/>
  <c r="G71" i="11"/>
  <c r="D71" i="11"/>
  <c r="C75" i="11"/>
  <c r="H55" i="11"/>
  <c r="H59" i="11" s="1"/>
  <c r="D59" i="11"/>
  <c r="B170" i="11"/>
  <c r="D5" i="19"/>
  <c r="D6" i="19" s="1"/>
  <c r="E7" i="21"/>
  <c r="D5" i="17"/>
  <c r="E3" i="20" s="1"/>
  <c r="C87" i="11"/>
  <c r="B91" i="11"/>
  <c r="B104" i="11"/>
  <c r="F87" i="11"/>
  <c r="E20" i="16"/>
  <c r="C26" i="17"/>
  <c r="F10" i="16"/>
  <c r="D20" i="16"/>
  <c r="F120" i="11"/>
  <c r="E137" i="11"/>
  <c r="G120" i="11"/>
  <c r="H120" i="11"/>
  <c r="K21" i="14"/>
  <c r="Q22" i="14"/>
  <c r="H34" i="18" l="1"/>
  <c r="E123" i="11"/>
  <c r="E108" i="11"/>
  <c r="F106" i="11"/>
  <c r="V10" i="21"/>
  <c r="V13" i="21"/>
  <c r="V8" i="21"/>
  <c r="V9" i="21"/>
  <c r="V11" i="21"/>
  <c r="V12" i="21"/>
  <c r="V7" i="21"/>
  <c r="F20" i="16"/>
  <c r="C136" i="11"/>
  <c r="B153" i="11"/>
  <c r="F136" i="11"/>
  <c r="G119" i="11"/>
  <c r="D119" i="11"/>
  <c r="H119" i="11" s="1"/>
  <c r="B152" i="11"/>
  <c r="C135" i="11"/>
  <c r="F135" i="11"/>
  <c r="G118" i="11"/>
  <c r="D118" i="11"/>
  <c r="H118" i="11" s="1"/>
  <c r="C141" i="11"/>
  <c r="B158" i="11"/>
  <c r="F141" i="11"/>
  <c r="G124" i="11"/>
  <c r="D124" i="11"/>
  <c r="H124" i="11" s="1"/>
  <c r="F91" i="11"/>
  <c r="G75" i="11"/>
  <c r="D88" i="11"/>
  <c r="H88" i="11" s="1"/>
  <c r="G88" i="11"/>
  <c r="B122" i="11"/>
  <c r="C105" i="11"/>
  <c r="F105" i="11"/>
  <c r="B157" i="11"/>
  <c r="C140" i="11"/>
  <c r="D123" i="11"/>
  <c r="C104" i="11"/>
  <c r="B108" i="11"/>
  <c r="F104" i="11"/>
  <c r="B121" i="11"/>
  <c r="H71" i="11"/>
  <c r="H75" i="11" s="1"/>
  <c r="D75" i="11"/>
  <c r="G87" i="11"/>
  <c r="D87" i="11"/>
  <c r="C91" i="11"/>
  <c r="B171" i="11"/>
  <c r="E8" i="21"/>
  <c r="E5" i="19"/>
  <c r="E6" i="19" s="1"/>
  <c r="E5" i="17"/>
  <c r="F3" i="20" s="1"/>
  <c r="D11" i="16"/>
  <c r="F137" i="11"/>
  <c r="E154" i="11"/>
  <c r="G137" i="11"/>
  <c r="H137" i="11"/>
  <c r="Q21" i="14"/>
  <c r="K34" i="18" l="1"/>
  <c r="H123" i="11"/>
  <c r="E140" i="11"/>
  <c r="F123" i="11"/>
  <c r="E125" i="11"/>
  <c r="G91" i="11"/>
  <c r="F108" i="11"/>
  <c r="G123" i="11"/>
  <c r="W8" i="21"/>
  <c r="W9" i="21"/>
  <c r="W10" i="21"/>
  <c r="W11" i="21"/>
  <c r="W12" i="21"/>
  <c r="W13" i="21"/>
  <c r="W7" i="21"/>
  <c r="D21" i="16"/>
  <c r="E11" i="16"/>
  <c r="C153" i="11"/>
  <c r="F153" i="11"/>
  <c r="D136" i="11"/>
  <c r="H136" i="11" s="1"/>
  <c r="G136" i="11"/>
  <c r="D135" i="11"/>
  <c r="H135" i="11" s="1"/>
  <c r="G135" i="11"/>
  <c r="C152" i="11"/>
  <c r="F152" i="11"/>
  <c r="C158" i="11"/>
  <c r="F158" i="11"/>
  <c r="G141" i="11"/>
  <c r="D141" i="11"/>
  <c r="H141" i="11" s="1"/>
  <c r="B139" i="11"/>
  <c r="C122" i="11"/>
  <c r="F122" i="11"/>
  <c r="D105" i="11"/>
  <c r="H105" i="11" s="1"/>
  <c r="G105" i="11"/>
  <c r="C157" i="11"/>
  <c r="G140" i="11"/>
  <c r="D140" i="11"/>
  <c r="H140" i="11" s="1"/>
  <c r="C121" i="11"/>
  <c r="B138" i="11"/>
  <c r="F121" i="11"/>
  <c r="F125" i="11" s="1"/>
  <c r="B125" i="11"/>
  <c r="B172" i="11"/>
  <c r="F5" i="17"/>
  <c r="G3" i="20" s="1"/>
  <c r="F5" i="19"/>
  <c r="F6" i="19" s="1"/>
  <c r="E9" i="21"/>
  <c r="E10" i="21" s="1"/>
  <c r="H87" i="11"/>
  <c r="H91" i="11" s="1"/>
  <c r="D91" i="11"/>
  <c r="G104" i="11"/>
  <c r="D104" i="11"/>
  <c r="C108" i="11"/>
  <c r="G154" i="11"/>
  <c r="H154" i="11"/>
  <c r="F154" i="11"/>
  <c r="N34" i="18" l="1"/>
  <c r="G108" i="11"/>
  <c r="F11" i="16"/>
  <c r="E157" i="11"/>
  <c r="F140" i="11"/>
  <c r="E142" i="11"/>
  <c r="D153" i="11"/>
  <c r="H153" i="11" s="1"/>
  <c r="G153" i="11"/>
  <c r="D152" i="11"/>
  <c r="H152" i="11" s="1"/>
  <c r="G152" i="11"/>
  <c r="D158" i="11"/>
  <c r="H158" i="11" s="1"/>
  <c r="G158" i="11"/>
  <c r="C139" i="11"/>
  <c r="F139" i="11"/>
  <c r="B156" i="11"/>
  <c r="G122" i="11"/>
  <c r="D122" i="11"/>
  <c r="H122" i="11" s="1"/>
  <c r="D157" i="11"/>
  <c r="H157" i="11" s="1"/>
  <c r="G157" i="11"/>
  <c r="C125" i="11"/>
  <c r="G121" i="11"/>
  <c r="D121" i="11"/>
  <c r="F138" i="11"/>
  <c r="B142" i="11"/>
  <c r="C138" i="11"/>
  <c r="B155" i="11"/>
  <c r="H104" i="11"/>
  <c r="H108" i="11" s="1"/>
  <c r="D108" i="11"/>
  <c r="D26" i="17"/>
  <c r="E21" i="16"/>
  <c r="G125" i="11" l="1"/>
  <c r="E159" i="11"/>
  <c r="F157" i="11"/>
  <c r="D12" i="16"/>
  <c r="F142" i="11"/>
  <c r="C156" i="11"/>
  <c r="F156" i="11"/>
  <c r="G139" i="11"/>
  <c r="D139" i="11"/>
  <c r="H139" i="11" s="1"/>
  <c r="G138" i="11"/>
  <c r="D138" i="11"/>
  <c r="C142" i="11"/>
  <c r="F155" i="11"/>
  <c r="C155" i="11"/>
  <c r="B159" i="11"/>
  <c r="H121" i="11"/>
  <c r="H125" i="11" s="1"/>
  <c r="D125" i="11"/>
  <c r="F21" i="16"/>
  <c r="D22" i="16" l="1"/>
  <c r="E12" i="16"/>
  <c r="G142" i="11"/>
  <c r="G156" i="11"/>
  <c r="D156" i="11"/>
  <c r="H156" i="11" s="1"/>
  <c r="F159" i="11"/>
  <c r="D142" i="11"/>
  <c r="H138" i="11"/>
  <c r="H142" i="11" s="1"/>
  <c r="D155" i="11"/>
  <c r="G155" i="11"/>
  <c r="G159" i="11" s="1"/>
  <c r="C159" i="11"/>
  <c r="E26" i="17" l="1"/>
  <c r="E22" i="16"/>
  <c r="F12" i="16"/>
  <c r="H155" i="11"/>
  <c r="H159" i="11" s="1"/>
  <c r="D159" i="11"/>
  <c r="F22" i="16" l="1"/>
  <c r="D13" i="16"/>
  <c r="C6" i="15"/>
  <c r="D6" i="15" s="1"/>
  <c r="E6" i="15" s="1"/>
  <c r="F6" i="15" s="1"/>
  <c r="G6" i="15" s="1"/>
  <c r="B8" i="15"/>
  <c r="C7" i="15"/>
  <c r="D7" i="15" s="1"/>
  <c r="E7" i="15" s="1"/>
  <c r="F7" i="15" s="1"/>
  <c r="G7" i="15" s="1"/>
  <c r="C5" i="15"/>
  <c r="D5" i="15" s="1"/>
  <c r="E5" i="15" s="1"/>
  <c r="F5" i="15" s="1"/>
  <c r="G5" i="15" s="1"/>
  <c r="C8" i="15"/>
  <c r="H6" i="14"/>
  <c r="H21" i="14"/>
  <c r="H22" i="14"/>
  <c r="H23" i="14"/>
  <c r="H17" i="14"/>
  <c r="B21" i="17" s="1"/>
  <c r="H15" i="14"/>
  <c r="C19" i="14"/>
  <c r="D19" i="14"/>
  <c r="E19" i="14"/>
  <c r="F19" i="14"/>
  <c r="G19" i="14"/>
  <c r="B19" i="14"/>
  <c r="D11" i="14"/>
  <c r="H11" i="14" s="1"/>
  <c r="B13" i="17" s="1"/>
  <c r="C13" i="17" s="1"/>
  <c r="B12" i="14"/>
  <c r="H20" i="14"/>
  <c r="B24" i="17" s="1"/>
  <c r="C13" i="12"/>
  <c r="D13" i="12" s="1"/>
  <c r="B9" i="12"/>
  <c r="D9" i="12" s="1"/>
  <c r="J6" i="13"/>
  <c r="J15" i="13"/>
  <c r="C10" i="12" s="1"/>
  <c r="D10" i="12" s="1"/>
  <c r="I15" i="13"/>
  <c r="I6" i="13"/>
  <c r="C5" i="12"/>
  <c r="D5" i="12" s="1"/>
  <c r="B23" i="17" s="1"/>
  <c r="C8" i="12"/>
  <c r="C14" i="13"/>
  <c r="D4" i="13"/>
  <c r="D6" i="13"/>
  <c r="C7" i="13"/>
  <c r="D5" i="13"/>
  <c r="D3" i="13"/>
  <c r="C21" i="17" l="1"/>
  <c r="C20" i="19" s="1"/>
  <c r="B20" i="19"/>
  <c r="C12" i="12"/>
  <c r="B22" i="17"/>
  <c r="B19" i="19" s="1"/>
  <c r="B27" i="19"/>
  <c r="B12" i="17"/>
  <c r="B17" i="19"/>
  <c r="C23" i="17"/>
  <c r="C17" i="19" s="1"/>
  <c r="C15" i="13"/>
  <c r="C18" i="14"/>
  <c r="P18" i="14"/>
  <c r="L18" i="14"/>
  <c r="M18" i="14"/>
  <c r="O18" i="14"/>
  <c r="K18" i="14"/>
  <c r="Q18" i="14" s="1"/>
  <c r="B12" i="12"/>
  <c r="N18" i="14"/>
  <c r="E13" i="16"/>
  <c r="D23" i="16"/>
  <c r="D8" i="12"/>
  <c r="D12" i="14"/>
  <c r="H12" i="14" s="1"/>
  <c r="C24" i="17"/>
  <c r="H19" i="14"/>
  <c r="D8" i="15"/>
  <c r="C22" i="17" s="1"/>
  <c r="C19" i="19" s="1"/>
  <c r="E4" i="15"/>
  <c r="E18" i="14"/>
  <c r="B18" i="14"/>
  <c r="D18" i="14"/>
  <c r="F18" i="14"/>
  <c r="G18" i="14"/>
  <c r="I16" i="13"/>
  <c r="J16" i="13"/>
  <c r="D7" i="13"/>
  <c r="D15" i="13" s="1"/>
  <c r="C12" i="17" l="1"/>
  <c r="B14" i="17"/>
  <c r="C7" i="20" s="1"/>
  <c r="B10" i="19"/>
  <c r="C27" i="19"/>
  <c r="D12" i="12"/>
  <c r="E23" i="16"/>
  <c r="F26" i="17"/>
  <c r="F13" i="16"/>
  <c r="F23" i="16" s="1"/>
  <c r="D21" i="17"/>
  <c r="H18" i="14"/>
  <c r="D12" i="17"/>
  <c r="T3" i="21"/>
  <c r="D24" i="17"/>
  <c r="D27" i="19" s="1"/>
  <c r="D23" i="17"/>
  <c r="D17" i="19" s="1"/>
  <c r="E8" i="15"/>
  <c r="D22" i="17" s="1"/>
  <c r="D19" i="19" s="1"/>
  <c r="F4" i="15"/>
  <c r="B7" i="12"/>
  <c r="D7" i="12" s="1"/>
  <c r="C10" i="19" l="1"/>
  <c r="C14" i="17"/>
  <c r="D7" i="20" s="1"/>
  <c r="E21" i="17"/>
  <c r="E20" i="19" s="1"/>
  <c r="D20" i="19"/>
  <c r="D10" i="19"/>
  <c r="S4" i="21"/>
  <c r="B9" i="19"/>
  <c r="D13" i="17"/>
  <c r="D14" i="17" s="1"/>
  <c r="E7" i="20" s="1"/>
  <c r="E24" i="17"/>
  <c r="U3" i="21"/>
  <c r="E12" i="17"/>
  <c r="E23" i="17"/>
  <c r="E17" i="19" s="1"/>
  <c r="G4" i="15"/>
  <c r="G8" i="15" s="1"/>
  <c r="F22" i="17" s="1"/>
  <c r="F19" i="19" s="1"/>
  <c r="F8" i="15"/>
  <c r="E22" i="17" s="1"/>
  <c r="E19" i="19" s="1"/>
  <c r="L4" i="10"/>
  <c r="F4" i="10"/>
  <c r="N4" i="10"/>
  <c r="J4" i="10"/>
  <c r="H4" i="10"/>
  <c r="D4" i="10"/>
  <c r="B4" i="10"/>
  <c r="B11" i="19" l="1"/>
  <c r="F21" i="17"/>
  <c r="F20" i="19" s="1"/>
  <c r="E27" i="19"/>
  <c r="E10" i="19"/>
  <c r="T4" i="21"/>
  <c r="C9" i="19"/>
  <c r="C11" i="19" s="1"/>
  <c r="E9" i="18" s="1"/>
  <c r="F12" i="17"/>
  <c r="V3" i="21"/>
  <c r="F24" i="17"/>
  <c r="E13" i="17"/>
  <c r="E14" i="17" s="1"/>
  <c r="F7" i="20" s="1"/>
  <c r="F23" i="17"/>
  <c r="F17" i="19" s="1"/>
  <c r="C5" i="14"/>
  <c r="C7" i="14" s="1"/>
  <c r="D5" i="14"/>
  <c r="D7" i="14" s="1"/>
  <c r="G5" i="14"/>
  <c r="G7" i="14" s="1"/>
  <c r="F5" i="14"/>
  <c r="F7" i="14" s="1"/>
  <c r="B5" i="14"/>
  <c r="E5" i="14"/>
  <c r="E7" i="14" s="1"/>
  <c r="B9" i="18" l="1"/>
  <c r="F10" i="19"/>
  <c r="C24" i="19"/>
  <c r="F27" i="19"/>
  <c r="U4" i="21"/>
  <c r="D9" i="19"/>
  <c r="D11" i="19" s="1"/>
  <c r="W3" i="21"/>
  <c r="F13" i="17"/>
  <c r="F14" i="17" s="1"/>
  <c r="G7" i="20" s="1"/>
  <c r="B7" i="14"/>
  <c r="H5" i="14"/>
  <c r="B5" i="17" s="1"/>
  <c r="B8" i="17" l="1"/>
  <c r="C3" i="20"/>
  <c r="C5" i="20" s="1"/>
  <c r="C9" i="20" s="1"/>
  <c r="S3" i="21"/>
  <c r="D24" i="19"/>
  <c r="H9" i="18"/>
  <c r="V4" i="21"/>
  <c r="E9" i="19"/>
  <c r="E11" i="19" s="1"/>
  <c r="B5" i="19"/>
  <c r="B6" i="19" s="1"/>
  <c r="B24" i="19" s="1"/>
  <c r="H7" i="14"/>
  <c r="F7" i="8"/>
  <c r="B4" i="12" s="1"/>
  <c r="D4" i="12" s="1"/>
  <c r="B7" i="8"/>
  <c r="B3" i="12" s="1"/>
  <c r="H30" i="5"/>
  <c r="C28" i="5"/>
  <c r="H5" i="7"/>
  <c r="G15" i="7"/>
  <c r="F15" i="7"/>
  <c r="H3" i="7"/>
  <c r="H4" i="7"/>
  <c r="H6" i="7"/>
  <c r="H7" i="7"/>
  <c r="H8" i="7"/>
  <c r="H9" i="7"/>
  <c r="H10" i="7"/>
  <c r="H11" i="7"/>
  <c r="H12" i="7"/>
  <c r="H13" i="7"/>
  <c r="H14" i="7"/>
  <c r="H24" i="6"/>
  <c r="H7" i="5"/>
  <c r="I7" i="5" s="1"/>
  <c r="H8" i="5"/>
  <c r="I8" i="5" s="1"/>
  <c r="H9" i="5"/>
  <c r="J9" i="5" s="1"/>
  <c r="I9" i="5"/>
  <c r="C10" i="5"/>
  <c r="D10" i="5"/>
  <c r="E10" i="5"/>
  <c r="F10" i="5"/>
  <c r="G10" i="5"/>
  <c r="H16" i="5"/>
  <c r="I16" i="5" s="1"/>
  <c r="H17" i="5"/>
  <c r="I17" i="5" s="1"/>
  <c r="H18" i="5"/>
  <c r="H19" i="5"/>
  <c r="H20" i="5"/>
  <c r="I20" i="5" s="1"/>
  <c r="C21" i="5"/>
  <c r="D21" i="5"/>
  <c r="E21" i="5"/>
  <c r="F21" i="5"/>
  <c r="G21" i="5"/>
  <c r="D18" i="3"/>
  <c r="D17" i="3"/>
  <c r="D16" i="3"/>
  <c r="D15" i="3"/>
  <c r="D14" i="3"/>
  <c r="D13" i="3"/>
  <c r="G5" i="3"/>
  <c r="G9" i="3"/>
  <c r="G8" i="3"/>
  <c r="G7" i="3"/>
  <c r="G6" i="3"/>
  <c r="G4" i="3"/>
  <c r="D26" i="1"/>
  <c r="E26" i="1"/>
  <c r="D27" i="1"/>
  <c r="E27" i="1"/>
  <c r="C27" i="1"/>
  <c r="C26" i="1"/>
  <c r="E21" i="1"/>
  <c r="D21" i="1"/>
  <c r="C21" i="1"/>
  <c r="D20" i="1"/>
  <c r="D25" i="1" s="1"/>
  <c r="E20" i="1"/>
  <c r="E25" i="1" s="1"/>
  <c r="C20" i="1"/>
  <c r="C25" i="1" s="1"/>
  <c r="B19" i="17" l="1"/>
  <c r="B16" i="19"/>
  <c r="Z3" i="21"/>
  <c r="B31" i="17"/>
  <c r="E24" i="19"/>
  <c r="K9" i="18"/>
  <c r="W4" i="21"/>
  <c r="F9" i="19"/>
  <c r="F11" i="19" s="1"/>
  <c r="K20" i="5"/>
  <c r="K19" i="5"/>
  <c r="K18" i="5"/>
  <c r="K17" i="5"/>
  <c r="L17" i="5" s="1"/>
  <c r="K16" i="5"/>
  <c r="J20" i="5"/>
  <c r="J19" i="5"/>
  <c r="J18" i="5"/>
  <c r="J17" i="5"/>
  <c r="J16" i="5"/>
  <c r="H21" i="5"/>
  <c r="I19" i="5"/>
  <c r="I18" i="5"/>
  <c r="K7" i="5"/>
  <c r="J7" i="5"/>
  <c r="L19" i="5"/>
  <c r="M19" i="5" s="1"/>
  <c r="D3" i="12"/>
  <c r="H15" i="7"/>
  <c r="B6" i="12" s="1"/>
  <c r="D6" i="12" s="1"/>
  <c r="B13" i="18" s="1"/>
  <c r="B14" i="18" s="1"/>
  <c r="I10" i="5"/>
  <c r="H10" i="5"/>
  <c r="K8" i="5"/>
  <c r="K9" i="5"/>
  <c r="L9" i="5" s="1"/>
  <c r="M9" i="5" s="1"/>
  <c r="J8" i="5"/>
  <c r="J10" i="5" s="1"/>
  <c r="D24" i="1"/>
  <c r="D22" i="1" s="1"/>
  <c r="D23" i="1" s="1"/>
  <c r="C24" i="1"/>
  <c r="C22" i="1" s="1"/>
  <c r="C23" i="1" s="1"/>
  <c r="E24" i="1"/>
  <c r="E22" i="1" s="1"/>
  <c r="E23" i="1" s="1"/>
  <c r="B18" i="17" l="1"/>
  <c r="C18" i="17" s="1"/>
  <c r="D18" i="17" s="1"/>
  <c r="E18" i="17" s="1"/>
  <c r="F18" i="17" s="1"/>
  <c r="B15" i="19"/>
  <c r="C15" i="19" s="1"/>
  <c r="D15" i="19" s="1"/>
  <c r="E15" i="19" s="1"/>
  <c r="F15" i="19" s="1"/>
  <c r="Z4" i="21"/>
  <c r="I21" i="5"/>
  <c r="J21" i="5"/>
  <c r="K21" i="5"/>
  <c r="L20" i="5"/>
  <c r="M20" i="5" s="1"/>
  <c r="I29" i="5" s="1"/>
  <c r="F24" i="19"/>
  <c r="N9" i="18"/>
  <c r="L18" i="5"/>
  <c r="M18" i="5" s="1"/>
  <c r="N18" i="5" s="1"/>
  <c r="L7" i="5"/>
  <c r="M7" i="5" s="1"/>
  <c r="L16" i="5"/>
  <c r="M16" i="5"/>
  <c r="D25" i="5"/>
  <c r="N9" i="5"/>
  <c r="E27" i="5" s="1"/>
  <c r="D27" i="5"/>
  <c r="K10" i="5"/>
  <c r="J27" i="5"/>
  <c r="N19" i="5"/>
  <c r="I28" i="5"/>
  <c r="N20" i="5"/>
  <c r="N7" i="5"/>
  <c r="E25" i="5" s="1"/>
  <c r="L8" i="5"/>
  <c r="M8" i="5" s="1"/>
  <c r="M17" i="5" s="1"/>
  <c r="N17" i="5" s="1"/>
  <c r="Z5" i="21" l="1"/>
  <c r="L21" i="5"/>
  <c r="I27" i="5"/>
  <c r="Q20" i="5"/>
  <c r="R20" i="5"/>
  <c r="J29" i="5" s="1"/>
  <c r="O20" i="5"/>
  <c r="P20" i="5"/>
  <c r="I26" i="5"/>
  <c r="Q19" i="5"/>
  <c r="O19" i="5"/>
  <c r="P19" i="5"/>
  <c r="R19" i="5"/>
  <c r="J28" i="5" s="1"/>
  <c r="N16" i="5"/>
  <c r="I25" i="5"/>
  <c r="I30" i="5" s="1"/>
  <c r="M21" i="5"/>
  <c r="Q17" i="5"/>
  <c r="R17" i="5"/>
  <c r="O17" i="5"/>
  <c r="P17" i="5"/>
  <c r="N8" i="5"/>
  <c r="E26" i="5" s="1"/>
  <c r="E28" i="5" s="1"/>
  <c r="D26" i="5"/>
  <c r="D28" i="5" s="1"/>
  <c r="B11" i="12" s="1"/>
  <c r="B14" i="12" s="1"/>
  <c r="L10" i="5"/>
  <c r="M10" i="5"/>
  <c r="K16" i="14" s="1"/>
  <c r="Q16" i="5" l="1"/>
  <c r="Q21" i="5" s="1"/>
  <c r="F17" i="17" s="1"/>
  <c r="F29" i="17" s="1"/>
  <c r="G8" i="20" s="1"/>
  <c r="R16" i="5"/>
  <c r="R21" i="5" s="1"/>
  <c r="N21" i="5"/>
  <c r="C17" i="17" s="1"/>
  <c r="C29" i="17" s="1"/>
  <c r="D8" i="20" s="1"/>
  <c r="O16" i="5"/>
  <c r="O21" i="5" s="1"/>
  <c r="D17" i="17" s="1"/>
  <c r="D29" i="17" s="1"/>
  <c r="E8" i="20" s="1"/>
  <c r="P16" i="5"/>
  <c r="P21" i="5" s="1"/>
  <c r="E17" i="17" s="1"/>
  <c r="E29" i="17" s="1"/>
  <c r="F8" i="20" s="1"/>
  <c r="J26" i="5"/>
  <c r="O16" i="14"/>
  <c r="O25" i="14" s="1"/>
  <c r="M16" i="14"/>
  <c r="M25" i="14" s="1"/>
  <c r="L16" i="14"/>
  <c r="L25" i="14" s="1"/>
  <c r="N16" i="14"/>
  <c r="N25" i="14" s="1"/>
  <c r="P16" i="14"/>
  <c r="P25" i="14" s="1"/>
  <c r="P27" i="14" s="1"/>
  <c r="E16" i="14"/>
  <c r="E25" i="14" s="1"/>
  <c r="E27" i="14" s="1"/>
  <c r="E29" i="14" s="1"/>
  <c r="F16" i="14"/>
  <c r="F25" i="14" s="1"/>
  <c r="F27" i="14" s="1"/>
  <c r="F29" i="14" s="1"/>
  <c r="C16" i="14"/>
  <c r="C25" i="14" s="1"/>
  <c r="G16" i="14"/>
  <c r="G25" i="14" s="1"/>
  <c r="D16" i="14"/>
  <c r="D25" i="14" s="1"/>
  <c r="D27" i="14" s="1"/>
  <c r="D29" i="14" s="1"/>
  <c r="B16" i="14"/>
  <c r="B25" i="14" s="1"/>
  <c r="B27" i="14" s="1"/>
  <c r="C11" i="12"/>
  <c r="C14" i="12" s="1"/>
  <c r="B15" i="12" s="1"/>
  <c r="N10" i="5"/>
  <c r="B17" i="17" s="1"/>
  <c r="B29" i="17" s="1"/>
  <c r="C8" i="20" l="1"/>
  <c r="C12" i="20" s="1"/>
  <c r="B35" i="17"/>
  <c r="D18" i="19"/>
  <c r="D22" i="19" s="1"/>
  <c r="D25" i="19" s="1"/>
  <c r="B18" i="19"/>
  <c r="B22" i="19" s="1"/>
  <c r="B25" i="19" s="1"/>
  <c r="B35" i="18" s="1"/>
  <c r="B36" i="18" s="1"/>
  <c r="C18" i="19"/>
  <c r="C22" i="19" s="1"/>
  <c r="C25" i="19" s="1"/>
  <c r="C8" i="21"/>
  <c r="D8" i="21" s="1"/>
  <c r="F8" i="21" s="1"/>
  <c r="E18" i="19"/>
  <c r="E22" i="19" s="1"/>
  <c r="E25" i="19" s="1"/>
  <c r="F18" i="19"/>
  <c r="F22" i="19" s="1"/>
  <c r="F25" i="19" s="1"/>
  <c r="G27" i="14"/>
  <c r="G29" i="14" s="1"/>
  <c r="C27" i="14"/>
  <c r="C29" i="14" s="1"/>
  <c r="B29" i="14"/>
  <c r="C6" i="21"/>
  <c r="D6" i="21" s="1"/>
  <c r="F6" i="21" s="1"/>
  <c r="C9" i="21"/>
  <c r="D9" i="21" s="1"/>
  <c r="F9" i="21" s="1"/>
  <c r="J25" i="5"/>
  <c r="J30" i="5" s="1"/>
  <c r="C7" i="21"/>
  <c r="D7" i="21" s="1"/>
  <c r="F7" i="21" s="1"/>
  <c r="C5" i="21"/>
  <c r="D11" i="12"/>
  <c r="D14" i="12" s="1"/>
  <c r="B21" i="12"/>
  <c r="Q16" i="14"/>
  <c r="Q25" i="14" s="1"/>
  <c r="Q27" i="14" s="1"/>
  <c r="K25" i="14"/>
  <c r="K27" i="14" s="1"/>
  <c r="K29" i="14" s="1"/>
  <c r="H16" i="14"/>
  <c r="M27" i="14"/>
  <c r="M29" i="14" s="1"/>
  <c r="L27" i="14"/>
  <c r="L29" i="14" s="1"/>
  <c r="N27" i="14"/>
  <c r="N29" i="14" s="1"/>
  <c r="O27" i="14"/>
  <c r="O29" i="14" s="1"/>
  <c r="N35" i="18" l="1"/>
  <c r="N36" i="18" s="1"/>
  <c r="N39" i="18" s="1"/>
  <c r="N40" i="18" s="1"/>
  <c r="N8" i="18"/>
  <c r="N10" i="18" s="1"/>
  <c r="N17" i="18" s="1"/>
  <c r="N18" i="18" s="1"/>
  <c r="K35" i="18"/>
  <c r="K36" i="18" s="1"/>
  <c r="K39" i="18" s="1"/>
  <c r="K40" i="18" s="1"/>
  <c r="K8" i="18"/>
  <c r="H35" i="18"/>
  <c r="H36" i="18" s="1"/>
  <c r="H39" i="18" s="1"/>
  <c r="H40" i="18" s="1"/>
  <c r="H8" i="18"/>
  <c r="H10" i="18" s="1"/>
  <c r="H17" i="18" s="1"/>
  <c r="H18" i="18" s="1"/>
  <c r="E35" i="18"/>
  <c r="E36" i="18" s="1"/>
  <c r="E39" i="18" s="1"/>
  <c r="E40" i="18" s="1"/>
  <c r="E8" i="18"/>
  <c r="E10" i="18" s="1"/>
  <c r="E17" i="18" s="1"/>
  <c r="E18" i="18" s="1"/>
  <c r="B39" i="18"/>
  <c r="B40" i="18" s="1"/>
  <c r="B8" i="18"/>
  <c r="B10" i="18" s="1"/>
  <c r="K10" i="18"/>
  <c r="K17" i="18" s="1"/>
  <c r="K18" i="18" s="1"/>
  <c r="H27" i="14"/>
  <c r="H29" i="14"/>
  <c r="D5" i="21"/>
  <c r="C10" i="21"/>
  <c r="G9" i="21"/>
  <c r="G8" i="21"/>
  <c r="G7" i="21"/>
  <c r="H25" i="14"/>
  <c r="P29" i="14"/>
  <c r="Q29" i="14" s="1"/>
  <c r="B17" i="18" l="1"/>
  <c r="B18" i="18" s="1"/>
  <c r="F5" i="21"/>
  <c r="K4" i="21" s="1"/>
  <c r="D10" i="21"/>
  <c r="F10" i="21" l="1"/>
  <c r="H5" i="21"/>
  <c r="G5" i="21"/>
  <c r="G6" i="21"/>
  <c r="K3" i="21"/>
  <c r="C7" i="17"/>
  <c r="D4" i="20" l="1"/>
  <c r="D5" i="20" s="1"/>
  <c r="D9" i="20" s="1"/>
  <c r="D12" i="20" s="1"/>
  <c r="C8" i="17"/>
  <c r="G10" i="21"/>
  <c r="H6" i="21"/>
  <c r="H7" i="21" s="1"/>
  <c r="H8" i="21" s="1"/>
  <c r="K5" i="21" s="1"/>
  <c r="AA3" i="21" l="1"/>
  <c r="C31" i="17"/>
  <c r="H9" i="21"/>
  <c r="H10" i="21" s="1"/>
  <c r="C35" i="17" l="1"/>
  <c r="D7" i="17" s="1"/>
  <c r="AA4" i="21"/>
  <c r="D8" i="17"/>
  <c r="E4" i="20"/>
  <c r="E5" i="20" s="1"/>
  <c r="E9" i="20" s="1"/>
  <c r="E12" i="20" s="1"/>
  <c r="AA5" i="21" l="1"/>
  <c r="D31" i="17"/>
  <c r="AB3" i="21"/>
  <c r="D35" i="17" l="1"/>
  <c r="E7" i="17" s="1"/>
  <c r="AB4" i="21"/>
  <c r="E8" i="17"/>
  <c r="F4" i="20"/>
  <c r="F5" i="20" s="1"/>
  <c r="F9" i="20" s="1"/>
  <c r="F12" i="20" s="1"/>
  <c r="AB5" i="21" l="1"/>
  <c r="E31" i="17"/>
  <c r="AC3" i="21"/>
  <c r="E35" i="17" l="1"/>
  <c r="F7" i="17" s="1"/>
  <c r="AC4" i="21"/>
  <c r="F8" i="17"/>
  <c r="G4" i="20"/>
  <c r="G5" i="20" s="1"/>
  <c r="G9" i="20" s="1"/>
  <c r="G12" i="20" s="1"/>
  <c r="AC5" i="21" l="1"/>
  <c r="F31" i="17"/>
  <c r="AD3" i="21"/>
  <c r="AD4" i="21" l="1"/>
  <c r="AK9" i="21" s="1"/>
  <c r="F35" i="17"/>
  <c r="AD5"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Kevin José Mejía</author>
  </authors>
  <commentList>
    <comment ref="B2" authorId="0" shapeId="0" xr:uid="{A824ECA9-CC22-41A2-BBB4-93678C3682D6}">
      <text>
        <r>
          <rPr>
            <b/>
            <sz val="9"/>
            <color indexed="81"/>
            <rFont val="Tahoma"/>
            <charset val="1"/>
          </rPr>
          <t>Kevin José Mejía:</t>
        </r>
        <r>
          <rPr>
            <sz val="9"/>
            <color indexed="81"/>
            <rFont val="Tahoma"/>
            <charset val="1"/>
          </rPr>
          <t xml:space="preserve">
Revisar y tomar como referencia el estado de resultado que le comparti.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Kevin José Mejía</author>
  </authors>
  <commentList>
    <comment ref="B24" authorId="0" shapeId="0" xr:uid="{C42BB6EB-F9FF-4E5C-9F1F-76CDFA377E19}">
      <text>
        <r>
          <rPr>
            <b/>
            <sz val="9"/>
            <color indexed="81"/>
            <rFont val="Tahoma"/>
            <charset val="1"/>
          </rPr>
          <t>Kevin José Mejía:</t>
        </r>
        <r>
          <rPr>
            <sz val="9"/>
            <color indexed="81"/>
            <rFont val="Tahoma"/>
            <charset val="1"/>
          </rPr>
          <t xml:space="preserve">
Le comentaba que en los primeros cinco años no se paga ISR.</t>
        </r>
      </text>
    </comment>
    <comment ref="A37" authorId="0" shapeId="0" xr:uid="{0FA13D25-972F-4535-ACD1-2EF3FB24502E}">
      <text>
        <r>
          <rPr>
            <b/>
            <sz val="9"/>
            <color indexed="81"/>
            <rFont val="Tahoma"/>
            <charset val="1"/>
          </rPr>
          <t>Kevin José Mejía:</t>
        </r>
        <r>
          <rPr>
            <sz val="9"/>
            <color indexed="81"/>
            <rFont val="Tahoma"/>
            <charset val="1"/>
          </rPr>
          <t xml:space="preserve">
En general los detalles de esta hoja obedecen a que en el presupuesto mensual no tomo el valor total que declara en la hoja de inversión total.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Kevin José Mejía</author>
  </authors>
  <commentList>
    <comment ref="AF1" authorId="0" shapeId="0" xr:uid="{735A919B-1B17-49F0-AB20-F326CC790476}">
      <text>
        <r>
          <rPr>
            <b/>
            <sz val="9"/>
            <color indexed="81"/>
            <rFont val="Tahoma"/>
            <charset val="1"/>
          </rPr>
          <t>Kevin José Mejía:</t>
        </r>
        <r>
          <rPr>
            <sz val="9"/>
            <color indexed="81"/>
            <rFont val="Tahoma"/>
            <charset val="1"/>
          </rPr>
          <t xml:space="preserve">
El calculo de C/B es incorrecto, para determinar el mismo hay que estimar la tasa de descuento (ela cual es el Coste de Capital mas la prima de riesgo), con esta determinaremos el valor actual de los ingresos y egresos (a estos ultimos le sumaremos la inversión inicial).
Al tener listos estos datos dividiremos los ingresos entre el valor actual neto de los egresos mas la inversión y obtendremos la relación costo beneficio.</t>
        </r>
      </text>
    </comment>
  </commentList>
</comments>
</file>

<file path=xl/sharedStrings.xml><?xml version="1.0" encoding="utf-8"?>
<sst xmlns="http://schemas.openxmlformats.org/spreadsheetml/2006/main" count="3745" uniqueCount="647">
  <si>
    <t>Mujeres</t>
  </si>
  <si>
    <t>Hombres</t>
  </si>
  <si>
    <t>Poblacion 2021</t>
  </si>
  <si>
    <t>Poblacion 2025</t>
  </si>
  <si>
    <t>Poblacion 2030</t>
  </si>
  <si>
    <t>Población total</t>
  </si>
  <si>
    <t>Mercado actual en tendencia</t>
  </si>
  <si>
    <t>Fuente: Elaboración propia con datos sacados de INE, 2021.</t>
  </si>
  <si>
    <t>Población potencial</t>
  </si>
  <si>
    <t>Porcentajes Hombres</t>
  </si>
  <si>
    <t>Demanda potencial insatisfecha</t>
  </si>
  <si>
    <t>Porcentajes Mujeres</t>
  </si>
  <si>
    <t>Mercado meta</t>
  </si>
  <si>
    <t>Mercado meta hombres</t>
  </si>
  <si>
    <t>Mercado meta mujeres</t>
  </si>
  <si>
    <t>https://www.instagram.com/project.vintagehn/</t>
  </si>
  <si>
    <t>project-vintagehn</t>
  </si>
  <si>
    <t>Instagram</t>
  </si>
  <si>
    <t>Comayagua</t>
  </si>
  <si>
    <t>Segunda mano</t>
  </si>
  <si>
    <t>Ropa Vintage</t>
  </si>
  <si>
    <t>Project Vintage</t>
  </si>
  <si>
    <t>https://www.instagram.com/vcloset_hn/</t>
  </si>
  <si>
    <t>vcloset_hn</t>
  </si>
  <si>
    <t>Danli</t>
  </si>
  <si>
    <t>Vintage Closet</t>
  </si>
  <si>
    <t>https://www.instagram.com/vintage_lucyhn/</t>
  </si>
  <si>
    <t>vintage_lucyhn</t>
  </si>
  <si>
    <t>Tegucigalpa</t>
  </si>
  <si>
    <t>Vintage Lucy</t>
  </si>
  <si>
    <t>https://www.instagram.com/vintage_store1995/?hl=es</t>
  </si>
  <si>
    <t>vintage_store1995</t>
  </si>
  <si>
    <t>Vintage Store</t>
  </si>
  <si>
    <t>https://www.instagram.com/vintage__hn/?hl=es</t>
  </si>
  <si>
    <t>vintage_hn</t>
  </si>
  <si>
    <t>Vintage Clothes</t>
  </si>
  <si>
    <t>https://www.instagram.com/mad.hn/?hl=es</t>
  </si>
  <si>
    <t>mad.hn</t>
  </si>
  <si>
    <t>MAD</t>
  </si>
  <si>
    <t>URL</t>
  </si>
  <si>
    <t>Usuario</t>
  </si>
  <si>
    <t>Sitio</t>
  </si>
  <si>
    <t>Estimación de venta mensual</t>
  </si>
  <si>
    <t>Clientes</t>
  </si>
  <si>
    <t>Ubicación</t>
  </si>
  <si>
    <t>Tipo de ropa</t>
  </si>
  <si>
    <t>Producto</t>
  </si>
  <si>
    <t>Nombre de la empresa</t>
  </si>
  <si>
    <t>No.</t>
  </si>
  <si>
    <t>COMPETIDORES "THE PINK MASS"</t>
  </si>
  <si>
    <t>PUNTOS A ANÁLIZAR</t>
  </si>
  <si>
    <t>The Pink Mass</t>
  </si>
  <si>
    <t>SIGLAS</t>
  </si>
  <si>
    <t>TPM</t>
  </si>
  <si>
    <t>MAD HN</t>
  </si>
  <si>
    <t>VCS</t>
  </si>
  <si>
    <t>VSE</t>
  </si>
  <si>
    <t>VLY</t>
  </si>
  <si>
    <t>PVE</t>
  </si>
  <si>
    <t>VCT</t>
  </si>
  <si>
    <t>Venta de ropa en linea</t>
  </si>
  <si>
    <t>Distribución a domicilio</t>
  </si>
  <si>
    <t>x</t>
  </si>
  <si>
    <t xml:space="preserve">Personalización de tallas </t>
  </si>
  <si>
    <t>Venta de artículos sin uso previo</t>
  </si>
  <si>
    <t xml:space="preserve">Distintas formas de pago  </t>
  </si>
  <si>
    <t>Puntos Fuertes y Débiles</t>
  </si>
  <si>
    <t>TOTAL</t>
  </si>
  <si>
    <t>VENDEDOR 2</t>
  </si>
  <si>
    <t>VENDEDOR 1</t>
  </si>
  <si>
    <t>MARKETING 1</t>
  </si>
  <si>
    <t>LUCIA MEDINA</t>
  </si>
  <si>
    <t>ANDREA MASS</t>
  </si>
  <si>
    <t>TOTAL%</t>
  </si>
  <si>
    <t>RAP
0.45%</t>
  </si>
  <si>
    <t>IVM
1.45%</t>
  </si>
  <si>
    <t>IHSS
2.5%</t>
  </si>
  <si>
    <t>HORAS EXTRAS</t>
  </si>
  <si>
    <t>SEMANAS TRABAJADAS</t>
  </si>
  <si>
    <t>DÍAS TRABAJADOS</t>
  </si>
  <si>
    <t>HORAS TRABAJADAS</t>
  </si>
  <si>
    <t>SUELDO DIARIO</t>
  </si>
  <si>
    <t>MENSUAL</t>
  </si>
  <si>
    <t>S.S.</t>
  </si>
  <si>
    <t>MDO</t>
  </si>
  <si>
    <t>NOMBRE Y APELLIDOS</t>
  </si>
  <si>
    <t>PLANILLA DE PERSONAL EL QUINTO AÑO</t>
  </si>
  <si>
    <t>ANUAL</t>
  </si>
  <si>
    <t>PLANILLA DE PERSONAL EL PRIMER AÑO</t>
  </si>
  <si>
    <t>Análisis</t>
  </si>
  <si>
    <t>Atención al cliente</t>
  </si>
  <si>
    <t>Operación</t>
  </si>
  <si>
    <t>Empresa</t>
  </si>
  <si>
    <t>Fecha</t>
  </si>
  <si>
    <t>Método</t>
  </si>
  <si>
    <t>Elaborado</t>
  </si>
  <si>
    <t>Actual</t>
  </si>
  <si>
    <t>Descripción</t>
  </si>
  <si>
    <t>Andrea Lucia Mass Medina</t>
  </si>
  <si>
    <t>12 de Diciembre, 2021</t>
  </si>
  <si>
    <t>Departamento</t>
  </si>
  <si>
    <t>Caja/Atención al cliente</t>
  </si>
  <si>
    <t>Tiempo (Seg.)</t>
  </si>
  <si>
    <t>Bienvenida al cliente</t>
  </si>
  <si>
    <t>Ofrecer productos disponibles</t>
  </si>
  <si>
    <t>Atender al cliente</t>
  </si>
  <si>
    <t>Concretar el pedido</t>
  </si>
  <si>
    <t>Finalizar el pedido</t>
  </si>
  <si>
    <t xml:space="preserve">Realizar la factura </t>
  </si>
  <si>
    <t>Recibir importe económico</t>
  </si>
  <si>
    <t>Impresión de factura</t>
  </si>
  <si>
    <t>Introducción de dinero en caja</t>
  </si>
  <si>
    <t>Dar cambio si se requiere</t>
  </si>
  <si>
    <t>Preparar producto para envio</t>
  </si>
  <si>
    <t>Venta de Producto en Fisico y Virtual</t>
  </si>
  <si>
    <t xml:space="preserve">Preparar embalaje </t>
  </si>
  <si>
    <t xml:space="preserve">Despachar pedido </t>
  </si>
  <si>
    <t>Agradecer al cliente</t>
  </si>
  <si>
    <t>Total</t>
  </si>
  <si>
    <t>Simbología</t>
  </si>
  <si>
    <t>Figura</t>
  </si>
  <si>
    <t>Significado</t>
  </si>
  <si>
    <t>Inspección</t>
  </si>
  <si>
    <t>Inspeccionar producto</t>
  </si>
  <si>
    <t>Transporte</t>
  </si>
  <si>
    <t>Combinado</t>
  </si>
  <si>
    <t>Almacén</t>
  </si>
  <si>
    <t>Demora</t>
  </si>
  <si>
    <t>Nombre</t>
  </si>
  <si>
    <t>Ancho</t>
  </si>
  <si>
    <t>Fondo</t>
  </si>
  <si>
    <t>Alto</t>
  </si>
  <si>
    <t>Cantidad</t>
  </si>
  <si>
    <t>Precio</t>
  </si>
  <si>
    <t>Dimensiones</t>
  </si>
  <si>
    <t>Maniquí</t>
  </si>
  <si>
    <t>Escritorio</t>
  </si>
  <si>
    <t>Vitrina</t>
  </si>
  <si>
    <t>Silla</t>
  </si>
  <si>
    <t>Estantería/Armario</t>
  </si>
  <si>
    <t>Computadora</t>
  </si>
  <si>
    <t>Espejos Grande</t>
  </si>
  <si>
    <t>Espejos Pequeños</t>
  </si>
  <si>
    <t>Barra Cortina</t>
  </si>
  <si>
    <t>Silla Ejecutiva</t>
  </si>
  <si>
    <t>Maquina de Coser</t>
  </si>
  <si>
    <t>Recepcionador</t>
  </si>
  <si>
    <t>Previsión de personal necesario de primer año</t>
  </si>
  <si>
    <t>Puesto</t>
  </si>
  <si>
    <t>Salario Mensual</t>
  </si>
  <si>
    <t>Salario Anual</t>
  </si>
  <si>
    <t>CEO</t>
  </si>
  <si>
    <t>Administrador</t>
  </si>
  <si>
    <t>Vendedor 1</t>
  </si>
  <si>
    <t xml:space="preserve">TOTAL </t>
  </si>
  <si>
    <t>Administrador Marketing</t>
  </si>
  <si>
    <t>Administrador RHH</t>
  </si>
  <si>
    <t>Vendedor 2</t>
  </si>
  <si>
    <t>Salario 5to año</t>
  </si>
  <si>
    <t>Pago en efectivo al recibir mi pedido, Pagar con mi tarjeta al recibir mi pedido</t>
  </si>
  <si>
    <t>Sí</t>
  </si>
  <si>
    <t>Delivery o Servicio a Domicilio, Página web propia, Aplicación propia en su móvil</t>
  </si>
  <si>
    <t>Joyería/Relojería, Maquillaje</t>
  </si>
  <si>
    <t>Años 90's</t>
  </si>
  <si>
    <t>Seguir tendencia en moda</t>
  </si>
  <si>
    <t>Camisa/Blusa, Pantalón</t>
  </si>
  <si>
    <t>En ocasiones</t>
  </si>
  <si>
    <t>No tengo cuenta</t>
  </si>
  <si>
    <t>Mucho uso</t>
  </si>
  <si>
    <t>L. 11, 000.00 - L. 18, 000.00</t>
  </si>
  <si>
    <t>42 - 49</t>
  </si>
  <si>
    <t>Masculino</t>
  </si>
  <si>
    <t>Pago en efectivo al recibir mi pedido</t>
  </si>
  <si>
    <t>Aplicación propia en su móvil</t>
  </si>
  <si>
    <t>Maquillaje</t>
  </si>
  <si>
    <t>Años 80's</t>
  </si>
  <si>
    <t>Imponer tu propio estilo</t>
  </si>
  <si>
    <t>Camisa/Blusa</t>
  </si>
  <si>
    <t>Mediano uso</t>
  </si>
  <si>
    <t>Neutro</t>
  </si>
  <si>
    <t>26 - 33</t>
  </si>
  <si>
    <t>Femenino</t>
  </si>
  <si>
    <t>Página web propia</t>
  </si>
  <si>
    <t>Joyería/Relojería</t>
  </si>
  <si>
    <t>No</t>
  </si>
  <si>
    <t>Pantalón</t>
  </si>
  <si>
    <t>L. 8, 000.00 - L. 15, 000.00</t>
  </si>
  <si>
    <t>Pagar con mi tarjeta al recibir mi pedido</t>
  </si>
  <si>
    <t>Delivery o Servicio a Domicilio</t>
  </si>
  <si>
    <t>Accesorios para cabello</t>
  </si>
  <si>
    <t>Camisa/Blusa, Zapatos</t>
  </si>
  <si>
    <t>Cuando hay promociones</t>
  </si>
  <si>
    <t>Bolsos/Carteras, Accesorios para cabello, Maquillaje</t>
  </si>
  <si>
    <t>Pago en linea con tarjeta</t>
  </si>
  <si>
    <t>Años 70's</t>
  </si>
  <si>
    <t>Faldas</t>
  </si>
  <si>
    <t>A fin de mes</t>
  </si>
  <si>
    <t>L. 51, 000. 00 en adelante.</t>
  </si>
  <si>
    <t>L. 35, 000.00 - L. 42, 000.00</t>
  </si>
  <si>
    <t>34 - 41</t>
  </si>
  <si>
    <t>Vestidos</t>
  </si>
  <si>
    <t>Poco uso</t>
  </si>
  <si>
    <t>Bolsos/Carteras</t>
  </si>
  <si>
    <t>18 - 25</t>
  </si>
  <si>
    <t>Pantalón, Zapatos</t>
  </si>
  <si>
    <t>Joyería/Relojería, Bolsos/Carteras, Maquillaje</t>
  </si>
  <si>
    <t>Una vez al mes</t>
  </si>
  <si>
    <t>L. 27, 000.00 - L. 34, 000.00</t>
  </si>
  <si>
    <t>Años 60's</t>
  </si>
  <si>
    <t>Pago en linea con tarjeta, Pagar en efectivo en la sucursal</t>
  </si>
  <si>
    <t>Joyería/Relojería, Accesorios para cabello</t>
  </si>
  <si>
    <t>En ocasiones, Cuando hay promociones</t>
  </si>
  <si>
    <t>L. 19, 000.00 - L. 26, 000.00</t>
  </si>
  <si>
    <t>Camisa/Blusa, Pantalón, Vestidos, Zapatos</t>
  </si>
  <si>
    <t>58 o más</t>
  </si>
  <si>
    <t>Camisa/Blusa, Sacos/Blazer</t>
  </si>
  <si>
    <t>Pagar en efectivo en la sucursal</t>
  </si>
  <si>
    <t>Joyería/Relojería, Bolsos/Carteras</t>
  </si>
  <si>
    <t>Camisa/Blusa, Pantalón, Zapatos</t>
  </si>
  <si>
    <t>Delivery o Servicio a Domicilio, Página web propia</t>
  </si>
  <si>
    <t>Joyería/Relojería, Bolsos/Carteras, Accesorios para cabello</t>
  </si>
  <si>
    <t>Camisa/Blusa, Pantalón, Vestidos, Faldas, Zapatos</t>
  </si>
  <si>
    <t>Joyería/Relojería, Bolsos/Carteras, Accesorios para cabello, Corsé, Maquillaje</t>
  </si>
  <si>
    <t>Años 90's, Años 80's</t>
  </si>
  <si>
    <t>Camisa/Blusa, Vestidos</t>
  </si>
  <si>
    <t>Una vez al mes, A fin de mes</t>
  </si>
  <si>
    <t>Accesorios para cabello, Maquillaje</t>
  </si>
  <si>
    <t>Camisa/Blusa, Sacos/Blazer, Pantalón</t>
  </si>
  <si>
    <t>Pagar con mi tarjeta al recibir mi pedido, Pagar en efectivo en la sucursal</t>
  </si>
  <si>
    <t>Corsé, Maquillaje</t>
  </si>
  <si>
    <t>Pago en efectivo al recibir mi pedido, Pagar en efectivo en la sucursal</t>
  </si>
  <si>
    <t>Página web propia, Aplicación propia en su móvil</t>
  </si>
  <si>
    <t>Bolsos/Carteras, Corsé</t>
  </si>
  <si>
    <t>Corsé</t>
  </si>
  <si>
    <t>Camisa/Blusa, Sacos/Blazer, Pantalón, Vestidos</t>
  </si>
  <si>
    <t>Sacos/Blazer</t>
  </si>
  <si>
    <t>Zapatos</t>
  </si>
  <si>
    <t>Pago en efectivo al recibir mi pedido, Pago en linea con tarjeta</t>
  </si>
  <si>
    <t>Vestidos, Zapatos</t>
  </si>
  <si>
    <t>Una vez a la semana</t>
  </si>
  <si>
    <t>Pago en linea con tarjeta, Pagar con mi tarjeta al recibir mi pedido</t>
  </si>
  <si>
    <t>Joyería/Relojería, Bolsos/Carteras, Corsé</t>
  </si>
  <si>
    <t>Años 80's, Años 70's, Años 60's</t>
  </si>
  <si>
    <t>Una vez al mes, Cuando hay promociones</t>
  </si>
  <si>
    <t>Bolsos/Carteras, Accesorios para cabello, Corsé</t>
  </si>
  <si>
    <t>Años 90's, Años 70's, Años 60's</t>
  </si>
  <si>
    <t>Camisa/Blusa, Pantalón, Vestidos</t>
  </si>
  <si>
    <t>Pago en efectivo al recibir mi pedido, Pago en linea con tarjeta, Pagar con mi tarjeta al recibir mi pedido, Pagar en efectivo en la sucursal</t>
  </si>
  <si>
    <t>Sacos/Blazer, Pantalón</t>
  </si>
  <si>
    <t>Indefinido</t>
  </si>
  <si>
    <t>Delivery o Servicio a Domicilio, Aplicación propia en su móvil</t>
  </si>
  <si>
    <t>Años 80's, Años 70's</t>
  </si>
  <si>
    <t>Sacos/Blazer, Pantalón, Vestidos, Zapatos</t>
  </si>
  <si>
    <t>A fin de mes, En ocasiones, Cuando hay promociones</t>
  </si>
  <si>
    <t>Camisa/Blusa, Sacos/Blazer, Pantalón, Vestidos, Faldas, Zapatos</t>
  </si>
  <si>
    <t>Joyería/Relojería, Bolsos/Carteras, Accesorios para cabello, Maquillaje</t>
  </si>
  <si>
    <t>Camisa/Blusa, Faldas, Zapatos</t>
  </si>
  <si>
    <t>50 - 57</t>
  </si>
  <si>
    <t>Joyería/Relojería, Bolsos/Carteras, Corsé, Maquillaje</t>
  </si>
  <si>
    <t>A fin de mes, Cuando hay promociones</t>
  </si>
  <si>
    <t>Bolsos/Carteras, Accesorios para cabello</t>
  </si>
  <si>
    <t>L. 43, 000.00 - L. 50, 000.00</t>
  </si>
  <si>
    <t>Accesorios para cabello, Corsé</t>
  </si>
  <si>
    <t>Años 70's, Años 60's</t>
  </si>
  <si>
    <t>Camisa/Blusa, Vestidos, Zapatos</t>
  </si>
  <si>
    <t>Camisa/Blusa, Sacos/Blazer, Pantalón, Zapatos</t>
  </si>
  <si>
    <t>Joyería/Relojería, Accesorios para cabello, Corsé, Maquillaje</t>
  </si>
  <si>
    <t>Camisa/Blusa, Pantalón, Faldas</t>
  </si>
  <si>
    <t>Camisa/Blusa, Sacos/Blazer, Vestidos, Zapatos</t>
  </si>
  <si>
    <t>Una vez al mes, En ocasiones</t>
  </si>
  <si>
    <t>A fin de mes, En ocasiones</t>
  </si>
  <si>
    <t>Joyería/Relojería, Corsé</t>
  </si>
  <si>
    <t>Vestidos, Faldas</t>
  </si>
  <si>
    <t>Años 80's, Años 60's</t>
  </si>
  <si>
    <t>Bolsos/Carteras, Maquillaje</t>
  </si>
  <si>
    <t>Joyería/Relojería, Corsé, Maquillaje</t>
  </si>
  <si>
    <t>Una vez a la semana, Cuando hay promociones</t>
  </si>
  <si>
    <t>Joyería, Accesorios para cabello</t>
  </si>
  <si>
    <t>Joyería, Accesorios para cabello, Maquillaje</t>
  </si>
  <si>
    <t>En ocaciones</t>
  </si>
  <si>
    <t>Joyería, Bolsos/Carteras</t>
  </si>
  <si>
    <t>Joyería</t>
  </si>
  <si>
    <t>Joyería, Bolsos/Carteras, Accesorios para cabello</t>
  </si>
  <si>
    <t>En ocaciones, Cuando hay promociones</t>
  </si>
  <si>
    <t>Corsets</t>
  </si>
  <si>
    <t>Pago en efectivo al recibir mi pedido, Pago en linea con tarjeta, Pagar con mi tarjeta al recibir mi pedido</t>
  </si>
  <si>
    <t>Joyería, Bolsos/Carteras, Accesorios para cabello, Corsets, Maquillaje</t>
  </si>
  <si>
    <t>Años 90's, Años 80's, Años 70's, Años 60's</t>
  </si>
  <si>
    <t>Pantalón, Vestidos</t>
  </si>
  <si>
    <t>Una vez al mes, En ocaciones</t>
  </si>
  <si>
    <t>Joyería, Bolsos/Carteras, Maquillaje</t>
  </si>
  <si>
    <t>¿Cuál es su método de pago preferido?</t>
  </si>
  <si>
    <t>¿Le gustaría tener ropa personalizada a su talla?</t>
  </si>
  <si>
    <t>¿Qué servicios gustaría que se ofrecieran?</t>
  </si>
  <si>
    <t>Aparte de prendas de vestir, ¿qué accesorios quisieras que "The Pink Mass", vendiese?</t>
  </si>
  <si>
    <t>¿De qué año prefieres tu estilo retro?</t>
  </si>
  <si>
    <t>¿Le gustaría que se vendiese ropa estilo: ¿Retro/Clásico?</t>
  </si>
  <si>
    <t>¿Le gusta el estilo retro en ropa?</t>
  </si>
  <si>
    <t>¿Le gusta vestir a la moda o imponer su propio estilo?</t>
  </si>
  <si>
    <t>¿Qué pieza de ropa compra con mayor frecuencia?</t>
  </si>
  <si>
    <t>¿Con qué frecuencia compra ropa?</t>
  </si>
  <si>
    <t>¿Cuál es su ingreso económico?</t>
  </si>
  <si>
    <t>Mencione su edad:</t>
  </si>
  <si>
    <t>¿Cuál es tu identidad de género?</t>
  </si>
  <si>
    <t>Marca temporal</t>
  </si>
  <si>
    <t>Facebook</t>
  </si>
  <si>
    <t>TikTok</t>
  </si>
  <si>
    <t>Twitter</t>
  </si>
  <si>
    <t>Actividad</t>
  </si>
  <si>
    <t>Costo</t>
  </si>
  <si>
    <t>Tiempo de Entrega</t>
  </si>
  <si>
    <t>Escritura de Constitución como Empresa</t>
  </si>
  <si>
    <t>Registro Mercantil</t>
  </si>
  <si>
    <t>Permiso de Operación</t>
  </si>
  <si>
    <t>Solvencia Municipal</t>
  </si>
  <si>
    <t>Constancia de Compatibilidad Urbanística</t>
  </si>
  <si>
    <t>5 horas</t>
  </si>
  <si>
    <t>24 horas</t>
  </si>
  <si>
    <t>2 horas</t>
  </si>
  <si>
    <t>1 hora</t>
  </si>
  <si>
    <t>Tabla y Yeso</t>
  </si>
  <si>
    <t xml:space="preserve">Pintura </t>
  </si>
  <si>
    <t>Herramienta para pintar</t>
  </si>
  <si>
    <t>Mano de Obra</t>
  </si>
  <si>
    <t xml:space="preserve">Alquiler </t>
  </si>
  <si>
    <t>Proveedor</t>
  </si>
  <si>
    <t>Larach y Cía</t>
  </si>
  <si>
    <t>Pinturas Americanas</t>
  </si>
  <si>
    <t>Ayudante independiente</t>
  </si>
  <si>
    <t>Arrendamiento de local</t>
  </si>
  <si>
    <t>Entrega</t>
  </si>
  <si>
    <t>CAMISAS</t>
  </si>
  <si>
    <t>PANTALONES</t>
  </si>
  <si>
    <t>VESTIDOS</t>
  </si>
  <si>
    <t>FALDAS</t>
  </si>
  <si>
    <t>BOLSAS</t>
  </si>
  <si>
    <t>CADENAS</t>
  </si>
  <si>
    <t>PAYAMAS</t>
  </si>
  <si>
    <t>PRECIO PROMEDIO</t>
  </si>
  <si>
    <t>PRECIO NORMAL</t>
  </si>
  <si>
    <t>ADECUACIÓN DE PRECIOS PARA CÁLCULOS</t>
  </si>
  <si>
    <t xml:space="preserve">Precio </t>
  </si>
  <si>
    <t>Mes</t>
  </si>
  <si>
    <t>Anual</t>
  </si>
  <si>
    <t>Diaria</t>
  </si>
  <si>
    <t>Mensual</t>
  </si>
  <si>
    <t>Camisas</t>
  </si>
  <si>
    <t>Pantalones</t>
  </si>
  <si>
    <t>Payamas</t>
  </si>
  <si>
    <t>Bolsas</t>
  </si>
  <si>
    <t>Cadenas</t>
  </si>
  <si>
    <t>Diario</t>
  </si>
  <si>
    <t>VENTAS AÑO 2021</t>
  </si>
  <si>
    <t>VENTAS AÑO 2025</t>
  </si>
  <si>
    <t>VENTAS AÑO 2028</t>
  </si>
  <si>
    <t>VENTAS AÑO 2022</t>
  </si>
  <si>
    <t>VENTAS AÑO 2023</t>
  </si>
  <si>
    <t>VENTAS AÑO 2024</t>
  </si>
  <si>
    <t>VENTAS AÑO 2026</t>
  </si>
  <si>
    <t>VENTAS AÑO 2027</t>
  </si>
  <si>
    <t xml:space="preserve">AÑO </t>
  </si>
  <si>
    <t>ESTIMACIONES DE VENTA 2021 - 2025</t>
  </si>
  <si>
    <t>VENTAS AÑO 2029</t>
  </si>
  <si>
    <t>VENTAS AÑO 2030</t>
  </si>
  <si>
    <t>AUMENTOS</t>
  </si>
  <si>
    <t>IMAE</t>
  </si>
  <si>
    <t>INFLACIÓN</t>
  </si>
  <si>
    <t>AUMENTO 2AÑO</t>
  </si>
  <si>
    <t>DESCRIPCIÓN</t>
  </si>
  <si>
    <t>34 horas</t>
  </si>
  <si>
    <t>Permisos y Licencias</t>
  </si>
  <si>
    <t>Maquinaria y equipo</t>
  </si>
  <si>
    <t>Acondicionamiento local</t>
  </si>
  <si>
    <t>Alquiler local (mensual)</t>
  </si>
  <si>
    <t>Productos  (Inversión Inicial)</t>
  </si>
  <si>
    <t>Sueldos (1 mes)</t>
  </si>
  <si>
    <t>DETALLE</t>
  </si>
  <si>
    <t>CANTIDAD</t>
  </si>
  <si>
    <t>PRECIO</t>
  </si>
  <si>
    <t>FECHAS DE PEDIDO</t>
  </si>
  <si>
    <t>FECHAS DE ENTREGA</t>
  </si>
  <si>
    <t>Ier pedido</t>
  </si>
  <si>
    <t>2do pedido</t>
  </si>
  <si>
    <t>4to pedido</t>
  </si>
  <si>
    <t>3er pedido</t>
  </si>
  <si>
    <t>5to pedido</t>
  </si>
  <si>
    <t>6to pedido</t>
  </si>
  <si>
    <t>7mo pedido</t>
  </si>
  <si>
    <t>8vo pedido</t>
  </si>
  <si>
    <t>9no pedido</t>
  </si>
  <si>
    <t>10mo pedido</t>
  </si>
  <si>
    <t>11mo pedido</t>
  </si>
  <si>
    <t>12mo pedido</t>
  </si>
  <si>
    <t xml:space="preserve">TOTAL INVERSIÓN INICIAL </t>
  </si>
  <si>
    <t>TOTAL 2DA INVERSIÓN</t>
  </si>
  <si>
    <t xml:space="preserve">TOTAL INVERSIÓN </t>
  </si>
  <si>
    <t>Productos (2da inversión)</t>
  </si>
  <si>
    <t>INVERSIÓN INICIAL</t>
  </si>
  <si>
    <t>INVERSIÓN ANUAL</t>
  </si>
  <si>
    <t>TOTAL ANUAL</t>
  </si>
  <si>
    <t>INVERSIÓN INICIAL DE COMPRA DE PRODUCTOS</t>
  </si>
  <si>
    <t>Empaque (Inversión Inicial)</t>
  </si>
  <si>
    <t>Empaque (2da inversión)</t>
  </si>
  <si>
    <t xml:space="preserve">Marketing </t>
  </si>
  <si>
    <t>ENERO</t>
  </si>
  <si>
    <t>FEBRERO</t>
  </si>
  <si>
    <t>MARZO</t>
  </si>
  <si>
    <t>ABRIL</t>
  </si>
  <si>
    <t>MAYO</t>
  </si>
  <si>
    <t>JUNIO</t>
  </si>
  <si>
    <t>JULIO</t>
  </si>
  <si>
    <t>AGOSTO</t>
  </si>
  <si>
    <t>SEPTIEMBRE</t>
  </si>
  <si>
    <t>OCTUBRE</t>
  </si>
  <si>
    <t>NOVIEMBRE</t>
  </si>
  <si>
    <t>DICIEMBRE</t>
  </si>
  <si>
    <t>PRIMER SEMESTRE</t>
  </si>
  <si>
    <t>TOTAL SEMESTRAL</t>
  </si>
  <si>
    <t>INGRESOS</t>
  </si>
  <si>
    <t>Ingresos Ordinarios</t>
  </si>
  <si>
    <t>Ingresos extraordinarios</t>
  </si>
  <si>
    <t>Total Ingresos</t>
  </si>
  <si>
    <t>Materia Prima</t>
  </si>
  <si>
    <t>Sueldos y Salarios directos</t>
  </si>
  <si>
    <t>Total Egresos Directos</t>
  </si>
  <si>
    <t>EGRESOS</t>
  </si>
  <si>
    <t>Directos</t>
  </si>
  <si>
    <t>Indirectos</t>
  </si>
  <si>
    <t>Servicios públicos</t>
  </si>
  <si>
    <t>Alquileres</t>
  </si>
  <si>
    <t>Impuestos a pagar</t>
  </si>
  <si>
    <t>Otros Gastos</t>
  </si>
  <si>
    <t>Total Egresos Indirectos</t>
  </si>
  <si>
    <r>
      <t xml:space="preserve">Total Egresos </t>
    </r>
    <r>
      <rPr>
        <i/>
        <sz val="11"/>
        <color theme="1"/>
        <rFont val="Times New Roman"/>
        <family val="1"/>
      </rPr>
      <t>(Directos+Indirectos)</t>
    </r>
  </si>
  <si>
    <t>Pérdida o Ganáncia mensual presupuestada</t>
  </si>
  <si>
    <t>Marketing</t>
  </si>
  <si>
    <t>Financiamiento</t>
  </si>
  <si>
    <t>Amortización</t>
  </si>
  <si>
    <t>Depreciación</t>
  </si>
  <si>
    <t>Empaques/Etiquetas</t>
  </si>
  <si>
    <t>COMPRA DE MERCADERÍA ONLINE</t>
  </si>
  <si>
    <t>Actividades</t>
  </si>
  <si>
    <t>Días</t>
  </si>
  <si>
    <t>Duración</t>
  </si>
  <si>
    <t>Predecesor</t>
  </si>
  <si>
    <t>Designar presupuesto</t>
  </si>
  <si>
    <t>Buscar proveedor</t>
  </si>
  <si>
    <t>Seleccionar productos</t>
  </si>
  <si>
    <t>Analizar costos vrs presupuesto</t>
  </si>
  <si>
    <t>Realizar la compra</t>
  </si>
  <si>
    <t>Esperar el envio</t>
  </si>
  <si>
    <t>Depositar para el envio</t>
  </si>
  <si>
    <t>----</t>
  </si>
  <si>
    <t>A</t>
  </si>
  <si>
    <t>B</t>
  </si>
  <si>
    <t>C</t>
  </si>
  <si>
    <t>D</t>
  </si>
  <si>
    <t>E</t>
  </si>
  <si>
    <t>F</t>
  </si>
  <si>
    <t>Promocionar parte del producto</t>
  </si>
  <si>
    <t>Promocionar la otra parte</t>
  </si>
  <si>
    <t>G</t>
  </si>
  <si>
    <t>E1</t>
  </si>
  <si>
    <t>F1</t>
  </si>
  <si>
    <t>SERVICIOS PÚBLICOS</t>
  </si>
  <si>
    <t>EEH</t>
  </si>
  <si>
    <t>SANAA</t>
  </si>
  <si>
    <t xml:space="preserve">Claro </t>
  </si>
  <si>
    <t xml:space="preserve">Servicio </t>
  </si>
  <si>
    <t>1er año</t>
  </si>
  <si>
    <t>2do año</t>
  </si>
  <si>
    <t>3er año</t>
  </si>
  <si>
    <t>4to año</t>
  </si>
  <si>
    <t>5to año</t>
  </si>
  <si>
    <t>Hondutel</t>
  </si>
  <si>
    <t>DEPRECIACIÓN</t>
  </si>
  <si>
    <t>AÑOS</t>
  </si>
  <si>
    <t>PRESUPUESTO DE INGRESOS</t>
  </si>
  <si>
    <t>Ingresos Extraordinarios</t>
  </si>
  <si>
    <t>Ingresos</t>
  </si>
  <si>
    <t>Inversión</t>
  </si>
  <si>
    <t>Propia</t>
  </si>
  <si>
    <t>Inversión necesitada</t>
  </si>
  <si>
    <t>Intereses</t>
  </si>
  <si>
    <t>Tiempo (Años)</t>
  </si>
  <si>
    <t>CUSTOMER</t>
  </si>
  <si>
    <t xml:space="preserve">Cuota </t>
  </si>
  <si>
    <t>Interés</t>
  </si>
  <si>
    <t>Pago Principal</t>
  </si>
  <si>
    <t>Saldo</t>
  </si>
  <si>
    <t>Gasto de capital BANPROVI</t>
  </si>
  <si>
    <t>CUOTAS ANUALES</t>
  </si>
  <si>
    <t>1er Año</t>
  </si>
  <si>
    <t>2do Año</t>
  </si>
  <si>
    <t>3er Año</t>
  </si>
  <si>
    <t xml:space="preserve"> Año Cero</t>
  </si>
  <si>
    <t>SEGUNDO SEMESTRE</t>
  </si>
  <si>
    <t>PRESUPUESTO DETALLADO AL PRIMER AÑO</t>
  </si>
  <si>
    <t>NEGOCIO NUEVO</t>
  </si>
  <si>
    <t>ACTIVIDAD</t>
  </si>
  <si>
    <t>H</t>
  </si>
  <si>
    <t>Identificación de necesidades</t>
  </si>
  <si>
    <t>Brainstorming</t>
  </si>
  <si>
    <t>Evaluación de Ideas</t>
  </si>
  <si>
    <t>Investigación de Mercado</t>
  </si>
  <si>
    <t xml:space="preserve">Evaluación de Investigación </t>
  </si>
  <si>
    <t>Análisis de datos de investigación</t>
  </si>
  <si>
    <t>Elaboración de Plan de Negocios</t>
  </si>
  <si>
    <t>Ejecución de Plan de Negocios</t>
  </si>
  <si>
    <t xml:space="preserve">Financiamiento </t>
  </si>
  <si>
    <t xml:space="preserve">Compras necesarias </t>
  </si>
  <si>
    <t>Reclutamiento de Personal</t>
  </si>
  <si>
    <t>Instalación de compras (ya sea mobiliario)</t>
  </si>
  <si>
    <t>Contratación de personal</t>
  </si>
  <si>
    <t>Inauguración de Negocio</t>
  </si>
  <si>
    <t>Semanas</t>
  </si>
  <si>
    <t>--</t>
  </si>
  <si>
    <t>I</t>
  </si>
  <si>
    <t>J</t>
  </si>
  <si>
    <t>J1</t>
  </si>
  <si>
    <t>K</t>
  </si>
  <si>
    <t>L</t>
  </si>
  <si>
    <t>PRODUCTO O SERVICIO NUEVO</t>
  </si>
  <si>
    <t>Elaboración de Plan de Acción</t>
  </si>
  <si>
    <t>Ejecución de plan de acción</t>
  </si>
  <si>
    <t>Reclutamiento de Personal (si es necesario) si no capacitación</t>
  </si>
  <si>
    <t>Contratación de personal (sólo si lo requiere)</t>
  </si>
  <si>
    <t>Inauguración de Servicio o vender producto innovador</t>
  </si>
  <si>
    <t>Servicios</t>
  </si>
  <si>
    <t>Valor de pago</t>
  </si>
  <si>
    <t xml:space="preserve"> Costo </t>
  </si>
  <si>
    <t>4to Año</t>
  </si>
  <si>
    <t>5to Año</t>
  </si>
  <si>
    <t>INVERSIÓN INICIAL DE COMPRA DE PRODUCTOS PARA EMPAQUE</t>
  </si>
  <si>
    <r>
      <t xml:space="preserve">Materia Prima 
</t>
    </r>
    <r>
      <rPr>
        <i/>
        <sz val="11"/>
        <color theme="1"/>
        <rFont val="Times New Roman"/>
        <family val="1"/>
      </rPr>
      <t>(Criterio de crecimiento al IMAE 15.6%+ Clientela 10%)</t>
    </r>
  </si>
  <si>
    <r>
      <t xml:space="preserve">Empaques/Etiquetas
</t>
    </r>
    <r>
      <rPr>
        <i/>
        <sz val="11"/>
        <color theme="1"/>
        <rFont val="Times New Roman"/>
        <family val="1"/>
      </rPr>
      <t>(Criterio de crecimiento al IMAE 15.6%+ Clientela 10% + Inflación del 5%)</t>
    </r>
  </si>
  <si>
    <r>
      <t xml:space="preserve">Marketing
</t>
    </r>
    <r>
      <rPr>
        <i/>
        <sz val="11"/>
        <color theme="1"/>
        <rFont val="Times New Roman"/>
        <family val="1"/>
      </rPr>
      <t>(Criterio de crecimiento a  Clientela 10%)</t>
    </r>
  </si>
  <si>
    <r>
      <t xml:space="preserve">Alquileres
</t>
    </r>
    <r>
      <rPr>
        <i/>
        <sz val="11"/>
        <color theme="1"/>
        <rFont val="Times New Roman"/>
        <family val="1"/>
      </rPr>
      <t>(Criterio de crecimiento inflación 5%)</t>
    </r>
  </si>
  <si>
    <r>
      <t xml:space="preserve">Financiamiento
</t>
    </r>
    <r>
      <rPr>
        <i/>
        <sz val="11"/>
        <color theme="1"/>
        <rFont val="Times New Roman"/>
        <family val="1"/>
      </rPr>
      <t>(Cuotas en los primeros 03 años)</t>
    </r>
  </si>
  <si>
    <t>Saldo acumulado del año anterior</t>
  </si>
  <si>
    <r>
      <t xml:space="preserve">Total Egresos  </t>
    </r>
    <r>
      <rPr>
        <i/>
        <sz val="11"/>
        <color theme="1"/>
        <rFont val="Times New Roman"/>
        <family val="1"/>
      </rPr>
      <t>(Directos+Indirectos)</t>
    </r>
  </si>
  <si>
    <t>PRESUPUESTO DETALLADO A LOS PRIMEROS 05 AÑOS</t>
  </si>
  <si>
    <t>THE PINK MASS</t>
  </si>
  <si>
    <t>Balance General Pro Forma</t>
  </si>
  <si>
    <t>31 de Diciembre 2022</t>
  </si>
  <si>
    <t>Capital Social</t>
  </si>
  <si>
    <t xml:space="preserve">ACTIVOS </t>
  </si>
  <si>
    <t>PASIVOS</t>
  </si>
  <si>
    <t>PATRIMONIO</t>
  </si>
  <si>
    <t>Alquiler</t>
  </si>
  <si>
    <t>31 de Diciembre 2023</t>
  </si>
  <si>
    <t>31 de Diciembre 2024</t>
  </si>
  <si>
    <t>31 de Diciembre 2025</t>
  </si>
  <si>
    <t>ESTADO DE RESULTADOS 1 A 5 AÑOS</t>
  </si>
  <si>
    <t>Saldo total</t>
  </si>
  <si>
    <t>Total Egresos</t>
  </si>
  <si>
    <t>FLUJO DE EFECTIVO 1 A 5 AÑOS</t>
  </si>
  <si>
    <t>FLUJO</t>
  </si>
  <si>
    <t>ANÁLISIS DE RENTABILIDAD</t>
  </si>
  <si>
    <t>INVERSIÓN</t>
  </si>
  <si>
    <t>COSTOS</t>
  </si>
  <si>
    <t xml:space="preserve">SALDO </t>
  </si>
  <si>
    <t>FLUJO ACUMUADO</t>
  </si>
  <si>
    <t xml:space="preserve">VAN </t>
  </si>
  <si>
    <t>Periodo de Recuperación</t>
  </si>
  <si>
    <t>Meses</t>
  </si>
  <si>
    <r>
      <t xml:space="preserve">AÑOS DE ESTUDIO </t>
    </r>
    <r>
      <rPr>
        <b/>
        <i/>
        <sz val="11"/>
        <color theme="1"/>
        <rFont val="Times New Roman"/>
        <family val="1"/>
      </rPr>
      <t>(5 Años)</t>
    </r>
  </si>
  <si>
    <t>TASA INTERNA DE RETORNO</t>
  </si>
  <si>
    <t>CALCULO DE RENTABILIDAD CON INDICADORES FINANCIEROS</t>
  </si>
  <si>
    <t>TASA DE RENDIMIENTO MINIMA ACEPTABLE</t>
  </si>
  <si>
    <t>Rentabilidad promedio del sector</t>
  </si>
  <si>
    <t>TMAR</t>
  </si>
  <si>
    <t>Premio de riesgo Hondureño</t>
  </si>
  <si>
    <t>Inflación del mercado</t>
  </si>
  <si>
    <t>PUNTO DE EQUILIBRIO</t>
  </si>
  <si>
    <t>PUNTO DE EQUILIBRIO EN LEMPIRAS</t>
  </si>
  <si>
    <t>PUNTO DE EQUILIBRIO EN %</t>
  </si>
  <si>
    <t>PUNTO DE EQUILIBRIO EN VENTAS</t>
  </si>
  <si>
    <t>CF/(1-(COSTOSVARIABLES/VENTAS))</t>
  </si>
  <si>
    <t>CF/(1-(COSTOSVARIABLES/VENTAS))*100</t>
  </si>
  <si>
    <t>Ingresos/precio de venta unitario</t>
  </si>
  <si>
    <t>RETORNO DE LA INVERSIÓN</t>
  </si>
  <si>
    <t>Ingreso-inversión/inversión</t>
  </si>
  <si>
    <t>Ingreso</t>
  </si>
  <si>
    <t>Relación Costo-Beneficio</t>
  </si>
  <si>
    <t>La tmar según datos del mercado representa una tasa alta. Formula Inflación/Riesgo.</t>
  </si>
  <si>
    <t>Formula</t>
  </si>
  <si>
    <t>Productos</t>
  </si>
  <si>
    <t>2do</t>
  </si>
  <si>
    <t>3ro</t>
  </si>
  <si>
    <t>4to</t>
  </si>
  <si>
    <t>5to</t>
  </si>
  <si>
    <t>6to</t>
  </si>
  <si>
    <t>Previsión de personal necesario del quinto año</t>
  </si>
  <si>
    <t>PRESUPUESTO DE INVERSION ANUAL O EGRESOS</t>
  </si>
  <si>
    <t>Monto</t>
  </si>
  <si>
    <t>Financiamiento BANPROVI</t>
  </si>
  <si>
    <t>Inversión Cubierta TPM</t>
  </si>
  <si>
    <t>Caja chica/Administrativa</t>
  </si>
  <si>
    <r>
      <t>Capital Social</t>
    </r>
    <r>
      <rPr>
        <i/>
        <sz val="11"/>
        <color theme="1"/>
        <rFont val="Times New Roman"/>
        <family val="1"/>
      </rPr>
      <t xml:space="preserve"> (1er año)</t>
    </r>
  </si>
  <si>
    <t>Primer año</t>
  </si>
  <si>
    <t>Tercer año</t>
  </si>
  <si>
    <t>Cuarto año</t>
  </si>
  <si>
    <t>Quinto año</t>
  </si>
  <si>
    <t>31 de Diciembre 2026</t>
  </si>
  <si>
    <t>Año Cero</t>
  </si>
  <si>
    <t>Ventas</t>
  </si>
  <si>
    <t xml:space="preserve">Costos </t>
  </si>
  <si>
    <t xml:space="preserve">Materia Prima </t>
  </si>
  <si>
    <t>Etiquetas</t>
  </si>
  <si>
    <t>Total Costos</t>
  </si>
  <si>
    <t>Gastos</t>
  </si>
  <si>
    <t>Acondicionamiento</t>
  </si>
  <si>
    <t>Sueldos</t>
  </si>
  <si>
    <t>Honorarios</t>
  </si>
  <si>
    <t>Total Gastos</t>
  </si>
  <si>
    <t>Ingresos Brutos</t>
  </si>
  <si>
    <t>Utilidades</t>
  </si>
  <si>
    <t xml:space="preserve">Impuestos </t>
  </si>
  <si>
    <t xml:space="preserve">Inventario </t>
  </si>
  <si>
    <t xml:space="preserve">Caja </t>
  </si>
  <si>
    <t>Activos Corrientes</t>
  </si>
  <si>
    <t>Activos No Corrientes o Fijos</t>
  </si>
  <si>
    <t>-</t>
  </si>
  <si>
    <t>(Corrientes + Fijos)</t>
  </si>
  <si>
    <t xml:space="preserve">Total Activos </t>
  </si>
  <si>
    <t xml:space="preserve">Total </t>
  </si>
  <si>
    <t>Total Pasivos</t>
  </si>
  <si>
    <t>Pasivo No Corrientes o Fijos</t>
  </si>
  <si>
    <t>Pasivos Corrientes</t>
  </si>
  <si>
    <t xml:space="preserve"> Pasivos y Capital Contable</t>
  </si>
  <si>
    <t>(Pasivos + Capital)</t>
  </si>
  <si>
    <t>Segundo año</t>
  </si>
  <si>
    <t>Maquinaria y Equipo</t>
  </si>
  <si>
    <t>Saldo Acumulado del Año Anterior</t>
  </si>
  <si>
    <t>Egresos Directos</t>
  </si>
  <si>
    <t>Egresos Indirectos</t>
  </si>
  <si>
    <t>Periodo de Recuperación toma 2 años, 11 meses y 12 días. Tasa (K) 18%</t>
  </si>
  <si>
    <t>VNA Ingresos</t>
  </si>
  <si>
    <t>VNA Egresos</t>
  </si>
  <si>
    <t>Costo/Beneficio</t>
  </si>
  <si>
    <t>Tasa de descuento</t>
  </si>
  <si>
    <t>Coste de capital</t>
  </si>
  <si>
    <t>Coste de Capital</t>
  </si>
  <si>
    <t>Prima de riesgo 2021</t>
  </si>
  <si>
    <t>VNA Egreso + Inversión</t>
  </si>
  <si>
    <t>La relación C/B es 1.05 con lo cual, es mayor a "1" y elproyecto se puede considerar debido a que el beneficio es mayor a los costos generados.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</si>
</sst>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8" formatCode="&quot;L&quot;#,##0.00;[Red]\-&quot;L&quot;#,##0.00"/>
    <numFmt numFmtId="44" formatCode="_-&quot;L&quot;* #,##0.00_-;\-&quot;L&quot;* #,##0.00_-;_-&quot;L&quot;* &quot;-&quot;??_-;_-@_-"/>
    <numFmt numFmtId="164" formatCode="&quot;L&quot;#,##0"/>
    <numFmt numFmtId="165" formatCode="&quot;L&quot;#,##0.00"/>
    <numFmt numFmtId="166" formatCode="m/d/yyyy\ h:mm:ss"/>
    <numFmt numFmtId="167" formatCode="_-[$L-480A]* #,##0.00_-;\-[$L-480A]* #,##0.00_-;_-[$L-480A]* &quot;-&quot;??_-;_-@_-"/>
    <numFmt numFmtId="168" formatCode="0.0%"/>
    <numFmt numFmtId="169" formatCode="[$-F800]dddd\,\ mmmm\ dd\,\ yyyy"/>
    <numFmt numFmtId="170" formatCode="_-&quot;L&quot;* #,##0.0_-;\-&quot;L&quot;* #,##0.0_-;_-&quot;L&quot;* &quot;-&quot;??_-;_-@_-"/>
    <numFmt numFmtId="171" formatCode="0.0"/>
  </numFmts>
  <fonts count="16" x14ac:knownFonts="1">
    <font>
      <sz val="11"/>
      <color theme="1"/>
      <name val="Calibri"/>
      <family val="2"/>
      <scheme val="minor"/>
    </font>
    <font>
      <sz val="8"/>
      <name val="Calibri"/>
      <family val="2"/>
      <scheme val="minor"/>
    </font>
    <font>
      <sz val="11"/>
      <color theme="1"/>
      <name val="Times New Roman"/>
      <family val="1"/>
    </font>
    <font>
      <b/>
      <sz val="11"/>
      <color theme="1"/>
      <name val="Times New Roman"/>
      <family val="1"/>
    </font>
    <font>
      <i/>
      <sz val="8"/>
      <color theme="1"/>
      <name val="Times New Roman"/>
      <family val="1"/>
    </font>
    <font>
      <sz val="11"/>
      <color theme="1"/>
      <name val="Calibri"/>
      <family val="2"/>
      <scheme val="minor"/>
    </font>
    <font>
      <b/>
      <sz val="11"/>
      <color theme="1"/>
      <name val="Calibri"/>
      <family val="2"/>
      <scheme val="minor"/>
    </font>
    <font>
      <sz val="10"/>
      <color rgb="FF000000"/>
      <name val="Arial"/>
      <family val="2"/>
    </font>
    <font>
      <sz val="10"/>
      <color theme="1"/>
      <name val="Arial"/>
      <family val="2"/>
    </font>
    <font>
      <b/>
      <i/>
      <sz val="11"/>
      <color theme="1"/>
      <name val="Times New Roman"/>
      <family val="1"/>
    </font>
    <font>
      <i/>
      <sz val="11"/>
      <color theme="1"/>
      <name val="Times New Roman"/>
      <family val="1"/>
    </font>
    <font>
      <b/>
      <sz val="11"/>
      <color rgb="FF000000"/>
      <name val="Times New Roman"/>
      <family val="1"/>
    </font>
    <font>
      <sz val="11"/>
      <color rgb="FF000000"/>
      <name val="Times New Roman"/>
      <family val="1"/>
    </font>
    <font>
      <sz val="9"/>
      <color indexed="81"/>
      <name val="Tahoma"/>
      <charset val="1"/>
    </font>
    <font>
      <b/>
      <sz val="9"/>
      <color indexed="81"/>
      <name val="Tahoma"/>
      <charset val="1"/>
    </font>
    <font>
      <b/>
      <i/>
      <sz val="12"/>
      <color theme="1"/>
      <name val="Times New Roman"/>
      <family val="1"/>
    </font>
  </fonts>
  <fills count="11">
    <fill>
      <patternFill patternType="none"/>
    </fill>
    <fill>
      <patternFill patternType="gray125"/>
    </fill>
    <fill>
      <patternFill patternType="solid">
        <fgColor theme="4"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BDD7EE"/>
        <bgColor indexed="64"/>
      </patternFill>
    </fill>
    <fill>
      <patternFill patternType="solid">
        <fgColor rgb="FF9BC2E6"/>
        <bgColor indexed="64"/>
      </patternFill>
    </fill>
    <fill>
      <patternFill patternType="solid">
        <fgColor rgb="FFFFFF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thin">
        <color indexed="64"/>
      </top>
      <bottom style="double">
        <color indexed="64"/>
      </bottom>
      <diagonal/>
    </border>
    <border>
      <left/>
      <right/>
      <top style="double">
        <color indexed="64"/>
      </top>
      <bottom/>
      <diagonal/>
    </border>
    <border>
      <left style="thin">
        <color indexed="64"/>
      </left>
      <right/>
      <top style="double">
        <color indexed="64"/>
      </top>
      <bottom/>
      <diagonal/>
    </border>
    <border>
      <left/>
      <right style="thin">
        <color indexed="64"/>
      </right>
      <top/>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thin">
        <color indexed="64"/>
      </right>
      <top/>
      <bottom style="double">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s>
  <cellStyleXfs count="4">
    <xf numFmtId="0" fontId="0" fillId="0" borderId="0"/>
    <xf numFmtId="44" fontId="5" fillId="0" borderId="0" applyFont="0" applyFill="0" applyBorder="0" applyAlignment="0" applyProtection="0"/>
    <xf numFmtId="0" fontId="7" fillId="0" borderId="0"/>
    <xf numFmtId="9" fontId="5" fillId="0" borderId="0" applyFont="0" applyFill="0" applyBorder="0" applyAlignment="0" applyProtection="0"/>
  </cellStyleXfs>
  <cellXfs count="352">
    <xf numFmtId="0" fontId="0" fillId="0" borderId="0" xfId="0"/>
    <xf numFmtId="3" fontId="0" fillId="0" borderId="0" xfId="0" applyNumberFormat="1" applyAlignment="1">
      <alignment horizontal="center" vertical="center"/>
    </xf>
    <xf numFmtId="0" fontId="3" fillId="0" borderId="1" xfId="0" applyFont="1" applyBorder="1"/>
    <xf numFmtId="0" fontId="3" fillId="0" borderId="0" xfId="0" applyFont="1" applyBorder="1"/>
    <xf numFmtId="0" fontId="3" fillId="0" borderId="0" xfId="0" applyFont="1" applyFill="1" applyBorder="1" applyAlignment="1">
      <alignment horizontal="center"/>
    </xf>
    <xf numFmtId="0" fontId="3" fillId="0" borderId="2" xfId="0" applyFont="1" applyBorder="1"/>
    <xf numFmtId="0" fontId="3" fillId="0" borderId="4" xfId="0" applyFont="1" applyBorder="1"/>
    <xf numFmtId="0" fontId="3" fillId="0" borderId="7" xfId="0" applyFont="1" applyBorder="1"/>
    <xf numFmtId="3" fontId="2" fillId="0" borderId="0" xfId="0" applyNumberFormat="1" applyFont="1" applyBorder="1" applyAlignment="1">
      <alignment horizontal="right" vertical="center" wrapText="1"/>
    </xf>
    <xf numFmtId="3" fontId="2" fillId="0" borderId="2" xfId="0" applyNumberFormat="1" applyFont="1" applyBorder="1" applyAlignment="1">
      <alignment horizontal="right" vertical="center" wrapText="1"/>
    </xf>
    <xf numFmtId="3" fontId="2" fillId="0" borderId="7" xfId="0" applyNumberFormat="1" applyFont="1" applyBorder="1" applyAlignment="1">
      <alignment horizontal="right" vertical="center" wrapText="1"/>
    </xf>
    <xf numFmtId="3" fontId="2" fillId="0" borderId="11" xfId="0" applyNumberFormat="1" applyFont="1" applyBorder="1" applyAlignment="1">
      <alignment horizontal="right" vertical="center" wrapText="1"/>
    </xf>
    <xf numFmtId="3" fontId="2" fillId="0" borderId="12" xfId="0" applyNumberFormat="1" applyFont="1" applyBorder="1" applyAlignment="1">
      <alignment horizontal="right" vertical="center" wrapText="1"/>
    </xf>
    <xf numFmtId="3" fontId="2" fillId="0" borderId="13" xfId="0" applyNumberFormat="1" applyFont="1" applyBorder="1" applyAlignment="1">
      <alignment horizontal="right" vertical="center" wrapText="1"/>
    </xf>
    <xf numFmtId="0" fontId="3" fillId="0" borderId="3" xfId="0" applyFont="1" applyBorder="1"/>
    <xf numFmtId="3" fontId="2" fillId="0" borderId="9" xfId="0" applyNumberFormat="1" applyFont="1" applyBorder="1" applyAlignment="1">
      <alignment horizontal="right" vertical="center" wrapText="1"/>
    </xf>
    <xf numFmtId="3" fontId="2" fillId="0" borderId="6" xfId="0" applyNumberFormat="1" applyFont="1" applyBorder="1" applyAlignment="1">
      <alignment horizontal="right" vertical="center" wrapText="1"/>
    </xf>
    <xf numFmtId="3" fontId="2" fillId="0" borderId="8" xfId="0" applyNumberFormat="1" applyFont="1" applyBorder="1" applyAlignment="1">
      <alignment horizontal="right" vertical="center" wrapText="1"/>
    </xf>
    <xf numFmtId="0" fontId="0" fillId="0" borderId="0" xfId="0" applyBorder="1"/>
    <xf numFmtId="0" fontId="0" fillId="0" borderId="7" xfId="0" applyBorder="1"/>
    <xf numFmtId="0" fontId="0" fillId="0" borderId="5" xfId="0" applyBorder="1"/>
    <xf numFmtId="3" fontId="0" fillId="0" borderId="14" xfId="0" applyNumberFormat="1" applyBorder="1"/>
    <xf numFmtId="3" fontId="0" fillId="0" borderId="5" xfId="0" applyNumberFormat="1" applyBorder="1"/>
    <xf numFmtId="3" fontId="0" fillId="0" borderId="10" xfId="0" applyNumberFormat="1" applyBorder="1"/>
    <xf numFmtId="3" fontId="0" fillId="0" borderId="6" xfId="0" applyNumberFormat="1" applyBorder="1"/>
    <xf numFmtId="3" fontId="0" fillId="0" borderId="12" xfId="0" applyNumberFormat="1" applyBorder="1"/>
    <xf numFmtId="3" fontId="0" fillId="0" borderId="8" xfId="0" applyNumberFormat="1" applyBorder="1"/>
    <xf numFmtId="3" fontId="0" fillId="0" borderId="7" xfId="0" applyNumberFormat="1" applyBorder="1"/>
    <xf numFmtId="3" fontId="0" fillId="0" borderId="13" xfId="0" applyNumberFormat="1" applyBorder="1"/>
    <xf numFmtId="0" fontId="0" fillId="0" borderId="15" xfId="0" applyBorder="1"/>
    <xf numFmtId="10" fontId="0" fillId="0" borderId="16" xfId="0" applyNumberFormat="1" applyBorder="1"/>
    <xf numFmtId="10" fontId="0" fillId="0" borderId="13" xfId="0" applyNumberFormat="1" applyBorder="1"/>
    <xf numFmtId="0" fontId="0" fillId="0" borderId="0" xfId="0" applyFill="1" applyBorder="1"/>
    <xf numFmtId="0" fontId="0" fillId="0" borderId="15" xfId="0" applyFill="1" applyBorder="1"/>
    <xf numFmtId="0" fontId="0" fillId="0" borderId="7" xfId="0" applyFill="1" applyBorder="1"/>
    <xf numFmtId="3" fontId="0" fillId="0" borderId="16" xfId="0" applyNumberFormat="1" applyBorder="1"/>
    <xf numFmtId="0" fontId="2" fillId="0" borderId="0" xfId="0" applyFont="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0" xfId="0" applyFont="1" applyAlignment="1">
      <alignment horizontal="left" vertical="center"/>
    </xf>
    <xf numFmtId="0" fontId="2" fillId="0" borderId="17" xfId="0" applyFont="1" applyBorder="1" applyAlignment="1">
      <alignment horizontal="left" vertical="center"/>
    </xf>
    <xf numFmtId="0" fontId="2" fillId="0" borderId="6" xfId="0" applyFont="1" applyBorder="1" applyAlignment="1">
      <alignment horizontal="left" vertical="center"/>
    </xf>
    <xf numFmtId="164" fontId="2" fillId="0" borderId="17" xfId="0" applyNumberFormat="1" applyFont="1" applyBorder="1" applyAlignment="1">
      <alignment horizontal="center" vertical="center"/>
    </xf>
    <xf numFmtId="3" fontId="2" fillId="0" borderId="17" xfId="0" applyNumberFormat="1" applyFont="1" applyBorder="1" applyAlignment="1">
      <alignment horizontal="left" vertical="center"/>
    </xf>
    <xf numFmtId="0" fontId="2" fillId="0" borderId="19" xfId="0" applyFont="1" applyBorder="1" applyAlignment="1">
      <alignment horizontal="center" vertical="center" wrapText="1"/>
    </xf>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2" fillId="0" borderId="17" xfId="0" applyFont="1" applyBorder="1" applyAlignment="1">
      <alignment horizontal="center" vertical="center" textRotation="90"/>
    </xf>
    <xf numFmtId="0" fontId="2" fillId="0" borderId="0" xfId="0" applyFont="1" applyAlignment="1">
      <alignment horizontal="center" vertical="center" textRotation="90"/>
    </xf>
    <xf numFmtId="0" fontId="2" fillId="0" borderId="22" xfId="0" applyFont="1" applyBorder="1" applyAlignment="1">
      <alignment horizontal="center" vertical="center"/>
    </xf>
    <xf numFmtId="0" fontId="2" fillId="0" borderId="0" xfId="0" applyFont="1" applyBorder="1" applyAlignment="1">
      <alignment vertical="center"/>
    </xf>
    <xf numFmtId="0" fontId="2" fillId="0" borderId="23" xfId="0" applyFont="1" applyBorder="1" applyAlignment="1">
      <alignment vertical="center"/>
    </xf>
    <xf numFmtId="0" fontId="2" fillId="0" borderId="22" xfId="0" applyFont="1" applyBorder="1" applyAlignment="1">
      <alignment vertical="center"/>
    </xf>
    <xf numFmtId="0" fontId="2" fillId="0" borderId="24" xfId="0" applyFont="1" applyBorder="1" applyAlignment="1">
      <alignment vertical="center"/>
    </xf>
    <xf numFmtId="0" fontId="2" fillId="0" borderId="3" xfId="0" applyFont="1" applyBorder="1" applyAlignment="1">
      <alignment vertical="center"/>
    </xf>
    <xf numFmtId="0" fontId="3" fillId="0" borderId="0" xfId="0" applyFont="1" applyBorder="1" applyAlignment="1">
      <alignment horizontal="center" vertical="center" textRotation="90"/>
    </xf>
    <xf numFmtId="0" fontId="0" fillId="0" borderId="0" xfId="0" applyAlignment="1">
      <alignment horizontal="center" vertical="center" textRotation="90"/>
    </xf>
    <xf numFmtId="0" fontId="0" fillId="0" borderId="17" xfId="0" applyBorder="1" applyAlignment="1">
      <alignment horizontal="center" vertical="center" textRotation="90"/>
    </xf>
    <xf numFmtId="44" fontId="3" fillId="0" borderId="12" xfId="0" applyNumberFormat="1" applyFont="1" applyBorder="1" applyAlignment="1">
      <alignment horizontal="center" vertical="center"/>
    </xf>
    <xf numFmtId="44" fontId="3" fillId="0" borderId="6" xfId="0" applyNumberFormat="1" applyFont="1" applyBorder="1" applyAlignment="1">
      <alignment horizontal="center" vertical="center"/>
    </xf>
    <xf numFmtId="44" fontId="3" fillId="0" borderId="0" xfId="0" applyNumberFormat="1" applyFont="1" applyAlignment="1">
      <alignment horizontal="center" vertical="center"/>
    </xf>
    <xf numFmtId="0" fontId="3" fillId="0" borderId="0" xfId="0" applyFont="1" applyAlignment="1">
      <alignment horizontal="center"/>
    </xf>
    <xf numFmtId="165" fontId="2" fillId="0" borderId="25" xfId="0" applyNumberFormat="1" applyFont="1" applyBorder="1" applyAlignment="1">
      <alignment horizontal="center"/>
    </xf>
    <xf numFmtId="44" fontId="2" fillId="0" borderId="26" xfId="0" applyNumberFormat="1" applyFont="1" applyBorder="1" applyAlignment="1">
      <alignment horizontal="center"/>
    </xf>
    <xf numFmtId="44" fontId="2" fillId="0" borderId="27" xfId="0" applyNumberFormat="1" applyFont="1" applyBorder="1" applyAlignment="1">
      <alignment horizontal="center"/>
    </xf>
    <xf numFmtId="44" fontId="2" fillId="0" borderId="28" xfId="0" applyNumberFormat="1" applyFont="1" applyBorder="1" applyAlignment="1">
      <alignment horizontal="center"/>
    </xf>
    <xf numFmtId="0" fontId="2" fillId="0" borderId="27" xfId="0" applyFont="1" applyBorder="1" applyAlignment="1">
      <alignment horizontal="center"/>
    </xf>
    <xf numFmtId="44" fontId="2" fillId="0" borderId="25" xfId="1" applyFont="1" applyFill="1" applyBorder="1" applyAlignment="1">
      <alignment horizontal="center"/>
    </xf>
    <xf numFmtId="165" fontId="2" fillId="0" borderId="12" xfId="0" applyNumberFormat="1" applyFont="1" applyBorder="1" applyAlignment="1">
      <alignment horizontal="center"/>
    </xf>
    <xf numFmtId="44" fontId="2" fillId="0" borderId="6" xfId="0" applyNumberFormat="1" applyFont="1" applyBorder="1" applyAlignment="1">
      <alignment horizontal="center"/>
    </xf>
    <xf numFmtId="44" fontId="2" fillId="0" borderId="0" xfId="0" applyNumberFormat="1" applyFont="1" applyAlignment="1">
      <alignment horizontal="center"/>
    </xf>
    <xf numFmtId="44" fontId="2" fillId="0" borderId="17" xfId="0" applyNumberFormat="1" applyFont="1" applyBorder="1" applyAlignment="1">
      <alignment horizontal="center"/>
    </xf>
    <xf numFmtId="0" fontId="2" fillId="0" borderId="0" xfId="0" applyFont="1" applyAlignment="1">
      <alignment horizontal="center"/>
    </xf>
    <xf numFmtId="44" fontId="2" fillId="0" borderId="12" xfId="1" applyFont="1" applyFill="1" applyBorder="1" applyAlignment="1">
      <alignment horizontal="center"/>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3" xfId="0" applyFont="1" applyBorder="1" applyAlignment="1">
      <alignment horizontal="center" vertical="center" wrapText="1"/>
    </xf>
    <xf numFmtId="0" fontId="6" fillId="0" borderId="0" xfId="0" applyFont="1" applyAlignment="1">
      <alignment horizontal="center" vertical="center"/>
    </xf>
    <xf numFmtId="0" fontId="2" fillId="0" borderId="0" xfId="0" applyFont="1"/>
    <xf numFmtId="0" fontId="3" fillId="0" borderId="1" xfId="0" applyFont="1" applyBorder="1" applyAlignment="1">
      <alignment horizontal="center" vertical="center"/>
    </xf>
    <xf numFmtId="0" fontId="3" fillId="0" borderId="0" xfId="0" applyFont="1" applyAlignment="1">
      <alignment horizontal="center" vertical="center"/>
    </xf>
    <xf numFmtId="0" fontId="2" fillId="0" borderId="1" xfId="0" applyFont="1" applyBorder="1"/>
    <xf numFmtId="0" fontId="2" fillId="0" borderId="1" xfId="0" applyFont="1" applyBorder="1" applyAlignment="1">
      <alignment horizontal="center"/>
    </xf>
    <xf numFmtId="0" fontId="2" fillId="0" borderId="1" xfId="0" applyFont="1" applyBorder="1" applyAlignment="1">
      <alignment horizontal="left" vertical="center"/>
    </xf>
    <xf numFmtId="0" fontId="0" fillId="0" borderId="0" xfId="0" applyAlignment="1">
      <alignment horizontal="center"/>
    </xf>
    <xf numFmtId="44" fontId="0" fillId="0" borderId="0" xfId="0" applyNumberFormat="1" applyAlignment="1">
      <alignment horizontal="center"/>
    </xf>
    <xf numFmtId="0" fontId="3" fillId="0" borderId="1" xfId="0" applyFont="1" applyBorder="1" applyAlignment="1">
      <alignment vertical="center"/>
    </xf>
    <xf numFmtId="44" fontId="2"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3" borderId="1" xfId="0" applyFont="1" applyFill="1" applyBorder="1" applyAlignment="1">
      <alignment horizontal="center" vertical="center"/>
    </xf>
    <xf numFmtId="44" fontId="3" fillId="0" borderId="1" xfId="0" applyNumberFormat="1" applyFont="1" applyBorder="1" applyAlignment="1">
      <alignment horizontal="center" vertical="center"/>
    </xf>
    <xf numFmtId="44" fontId="2" fillId="0" borderId="1" xfId="0" applyNumberFormat="1" applyFont="1" applyBorder="1" applyAlignment="1">
      <alignment horizontal="center" vertical="center"/>
    </xf>
    <xf numFmtId="0" fontId="7" fillId="0" borderId="0" xfId="2"/>
    <xf numFmtId="0" fontId="8" fillId="0" borderId="0" xfId="2" applyFont="1"/>
    <xf numFmtId="166" fontId="8" fillId="0" borderId="0" xfId="2" applyNumberFormat="1" applyFont="1"/>
    <xf numFmtId="44" fontId="3" fillId="0" borderId="1" xfId="0" applyNumberFormat="1" applyFont="1" applyBorder="1"/>
    <xf numFmtId="44" fontId="2" fillId="0" borderId="1" xfId="0" applyNumberFormat="1" applyFont="1" applyBorder="1"/>
    <xf numFmtId="3" fontId="2" fillId="0" borderId="1" xfId="0" applyNumberFormat="1" applyFont="1" applyBorder="1"/>
    <xf numFmtId="0" fontId="3" fillId="3" borderId="1" xfId="0" applyFont="1" applyFill="1" applyBorder="1" applyAlignment="1">
      <alignment horizontal="center"/>
    </xf>
    <xf numFmtId="44" fontId="2" fillId="0" borderId="0" xfId="0" applyNumberFormat="1" applyFont="1"/>
    <xf numFmtId="44" fontId="2" fillId="0" borderId="22" xfId="0" applyNumberFormat="1" applyFont="1" applyBorder="1"/>
    <xf numFmtId="167" fontId="2" fillId="0" borderId="22" xfId="0" applyNumberFormat="1" applyFont="1" applyBorder="1"/>
    <xf numFmtId="0" fontId="6" fillId="0" borderId="0" xfId="0" applyFont="1"/>
    <xf numFmtId="44" fontId="3" fillId="4" borderId="1" xfId="0" applyNumberFormat="1" applyFont="1" applyFill="1" applyBorder="1"/>
    <xf numFmtId="44" fontId="2" fillId="0" borderId="0" xfId="0" applyNumberFormat="1" applyFont="1" applyAlignment="1">
      <alignment horizontal="center" vertical="center"/>
    </xf>
    <xf numFmtId="0" fontId="3" fillId="0" borderId="34" xfId="0" applyFont="1" applyBorder="1" applyAlignment="1">
      <alignment horizontal="center" vertical="center"/>
    </xf>
    <xf numFmtId="44" fontId="3" fillId="0" borderId="34" xfId="0" applyNumberFormat="1" applyFont="1" applyBorder="1" applyAlignment="1">
      <alignment horizontal="center" vertical="center"/>
    </xf>
    <xf numFmtId="0" fontId="2" fillId="0" borderId="14" xfId="0" applyFont="1" applyBorder="1" applyAlignment="1">
      <alignment horizontal="center" vertical="center"/>
    </xf>
    <xf numFmtId="44" fontId="2" fillId="0" borderId="14" xfId="0" applyNumberFormat="1" applyFont="1" applyBorder="1" applyAlignment="1">
      <alignment horizontal="center" vertical="center"/>
    </xf>
    <xf numFmtId="0" fontId="3" fillId="4" borderId="1" xfId="0" applyFont="1" applyFill="1" applyBorder="1" applyAlignment="1">
      <alignment horizontal="center" vertical="center"/>
    </xf>
    <xf numFmtId="44" fontId="3" fillId="4" borderId="1" xfId="0" applyNumberFormat="1" applyFont="1" applyFill="1" applyBorder="1" applyAlignment="1">
      <alignment horizontal="center" vertical="center"/>
    </xf>
    <xf numFmtId="3" fontId="2" fillId="0" borderId="1" xfId="0" applyNumberFormat="1" applyFont="1" applyBorder="1" applyAlignment="1">
      <alignment horizontal="center" vertical="center"/>
    </xf>
    <xf numFmtId="3" fontId="2" fillId="0" borderId="14" xfId="0" applyNumberFormat="1" applyFont="1" applyBorder="1" applyAlignment="1">
      <alignment horizontal="center" vertical="center"/>
    </xf>
    <xf numFmtId="3" fontId="3" fillId="0" borderId="34" xfId="0" applyNumberFormat="1" applyFont="1" applyBorder="1" applyAlignment="1">
      <alignment horizontal="center" vertical="center"/>
    </xf>
    <xf numFmtId="3" fontId="0" fillId="0" borderId="0" xfId="0" applyNumberFormat="1"/>
    <xf numFmtId="10" fontId="0" fillId="0" borderId="0" xfId="0" applyNumberFormat="1"/>
    <xf numFmtId="2" fontId="2" fillId="0" borderId="0" xfId="0" applyNumberFormat="1" applyFont="1" applyAlignment="1">
      <alignment horizontal="center" vertical="center"/>
    </xf>
    <xf numFmtId="44" fontId="2" fillId="0" borderId="1" xfId="0" applyNumberFormat="1" applyFont="1" applyBorder="1" applyAlignment="1">
      <alignment horizontal="center" vertical="center"/>
    </xf>
    <xf numFmtId="0" fontId="3" fillId="0" borderId="0" xfId="0" applyFont="1"/>
    <xf numFmtId="9" fontId="2" fillId="0" borderId="1" xfId="0" applyNumberFormat="1" applyFont="1" applyBorder="1"/>
    <xf numFmtId="168" fontId="2" fillId="0" borderId="1" xfId="0" applyNumberFormat="1" applyFont="1" applyBorder="1"/>
    <xf numFmtId="0" fontId="3" fillId="0" borderId="1" xfId="0" applyFont="1" applyBorder="1" applyAlignment="1">
      <alignment horizontal="center"/>
    </xf>
    <xf numFmtId="44" fontId="3" fillId="0" borderId="1" xfId="0" applyNumberFormat="1" applyFont="1" applyBorder="1" applyAlignment="1">
      <alignment horizontal="center" vertical="center"/>
    </xf>
    <xf numFmtId="0" fontId="3" fillId="0" borderId="1" xfId="0" applyFont="1" applyBorder="1" applyAlignment="1">
      <alignment horizontal="center" vertical="center"/>
    </xf>
    <xf numFmtId="44" fontId="2" fillId="0" borderId="22" xfId="0" applyNumberFormat="1" applyFont="1" applyBorder="1" applyAlignment="1">
      <alignment horizontal="center"/>
    </xf>
    <xf numFmtId="44" fontId="3" fillId="0" borderId="1" xfId="0" applyNumberFormat="1" applyFont="1" applyBorder="1" applyAlignment="1">
      <alignment horizontal="center"/>
    </xf>
    <xf numFmtId="0" fontId="2" fillId="0" borderId="0" xfId="0" applyFont="1" applyAlignment="1">
      <alignment horizontal="center" vertical="center"/>
    </xf>
    <xf numFmtId="0" fontId="3" fillId="5" borderId="1" xfId="0" applyFont="1" applyFill="1" applyBorder="1" applyAlignment="1">
      <alignment horizontal="center"/>
    </xf>
    <xf numFmtId="44" fontId="3" fillId="0" borderId="12" xfId="0" applyNumberFormat="1" applyFont="1" applyBorder="1" applyAlignment="1">
      <alignment horizontal="center" vertical="center"/>
    </xf>
    <xf numFmtId="44" fontId="3" fillId="0" borderId="34" xfId="0" applyNumberFormat="1" applyFont="1" applyBorder="1" applyAlignment="1">
      <alignment horizontal="center" vertical="center"/>
    </xf>
    <xf numFmtId="0" fontId="3" fillId="5" borderId="1" xfId="0" applyFont="1" applyFill="1" applyBorder="1" applyAlignment="1">
      <alignment horizontal="center" vertical="center"/>
    </xf>
    <xf numFmtId="0" fontId="3" fillId="5" borderId="1" xfId="0" applyFont="1" applyFill="1" applyBorder="1"/>
    <xf numFmtId="0" fontId="0" fillId="0" borderId="1" xfId="0" applyBorder="1"/>
    <xf numFmtId="169" fontId="2" fillId="0" borderId="1" xfId="0" applyNumberFormat="1" applyFont="1" applyBorder="1"/>
    <xf numFmtId="17" fontId="2" fillId="0" borderId="1" xfId="0" applyNumberFormat="1" applyFont="1" applyBorder="1"/>
    <xf numFmtId="16" fontId="2" fillId="0" borderId="1" xfId="0" applyNumberFormat="1" applyFont="1" applyBorder="1"/>
    <xf numFmtId="44" fontId="0" fillId="0" borderId="0" xfId="0" applyNumberFormat="1"/>
    <xf numFmtId="44" fontId="2" fillId="0" borderId="0" xfId="0" applyNumberFormat="1" applyFont="1" applyBorder="1"/>
    <xf numFmtId="44" fontId="2" fillId="0" borderId="17" xfId="0" applyNumberFormat="1" applyFont="1" applyBorder="1"/>
    <xf numFmtId="0" fontId="2" fillId="0" borderId="12" xfId="0" applyFont="1" applyBorder="1"/>
    <xf numFmtId="44" fontId="3" fillId="0" borderId="22" xfId="0" applyNumberFormat="1" applyFont="1" applyBorder="1"/>
    <xf numFmtId="0" fontId="3" fillId="0" borderId="9" xfId="0" applyFont="1" applyBorder="1"/>
    <xf numFmtId="0" fontId="3" fillId="0" borderId="6" xfId="0" applyFont="1" applyBorder="1"/>
    <xf numFmtId="0" fontId="3" fillId="0" borderId="34" xfId="0" applyFont="1" applyBorder="1"/>
    <xf numFmtId="44" fontId="3" fillId="0" borderId="4" xfId="0" applyNumberFormat="1" applyFont="1" applyBorder="1"/>
    <xf numFmtId="0" fontId="3" fillId="4" borderId="1" xfId="0" applyFont="1" applyFill="1" applyBorder="1"/>
    <xf numFmtId="44" fontId="2" fillId="0" borderId="35" xfId="0" applyNumberFormat="1" applyFont="1" applyBorder="1"/>
    <xf numFmtId="170" fontId="3" fillId="0" borderId="34" xfId="0" applyNumberFormat="1" applyFont="1" applyBorder="1" applyAlignment="1">
      <alignment horizontal="center" vertical="center"/>
    </xf>
    <xf numFmtId="0" fontId="3" fillId="0" borderId="0" xfId="0" applyFont="1" applyAlignment="1">
      <alignment horizontal="left"/>
    </xf>
    <xf numFmtId="0" fontId="3" fillId="0" borderId="1" xfId="0" applyFont="1" applyBorder="1" applyAlignment="1">
      <alignment horizontal="left"/>
    </xf>
    <xf numFmtId="0" fontId="3" fillId="0" borderId="1" xfId="0" quotePrefix="1" applyFont="1" applyBorder="1" applyAlignment="1">
      <alignment horizontal="left"/>
    </xf>
    <xf numFmtId="0" fontId="3" fillId="0" borderId="1" xfId="0" applyFont="1" applyBorder="1" applyAlignment="1">
      <alignment horizontal="left" vertical="center"/>
    </xf>
    <xf numFmtId="0" fontId="6" fillId="0" borderId="1" xfId="0" applyFont="1" applyBorder="1" applyAlignment="1">
      <alignment horizontal="center" vertical="center"/>
    </xf>
    <xf numFmtId="0" fontId="3" fillId="6" borderId="1" xfId="0" applyFont="1" applyFill="1" applyBorder="1"/>
    <xf numFmtId="0" fontId="3" fillId="0" borderId="1" xfId="0" applyFont="1" applyFill="1" applyBorder="1"/>
    <xf numFmtId="0" fontId="2" fillId="0" borderId="1" xfId="0" applyFont="1" applyBorder="1" applyAlignment="1">
      <alignment wrapText="1"/>
    </xf>
    <xf numFmtId="0" fontId="2" fillId="0" borderId="6" xfId="0" applyFont="1" applyBorder="1"/>
    <xf numFmtId="0" fontId="10" fillId="0" borderId="6" xfId="0" applyFont="1" applyBorder="1"/>
    <xf numFmtId="44" fontId="2" fillId="0" borderId="23" xfId="0" applyNumberFormat="1" applyFont="1" applyBorder="1"/>
    <xf numFmtId="0" fontId="2" fillId="0" borderId="34" xfId="0" applyFont="1" applyBorder="1"/>
    <xf numFmtId="44" fontId="2" fillId="0" borderId="23" xfId="0" applyNumberFormat="1" applyFont="1" applyBorder="1" applyAlignment="1">
      <alignment horizontal="center"/>
    </xf>
    <xf numFmtId="0" fontId="3" fillId="0" borderId="1" xfId="0" applyFont="1" applyFill="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xf numFmtId="10" fontId="2" fillId="0" borderId="0" xfId="0" applyNumberFormat="1" applyFont="1"/>
    <xf numFmtId="9" fontId="3" fillId="0" borderId="1" xfId="0" applyNumberFormat="1" applyFont="1" applyBorder="1"/>
    <xf numFmtId="9" fontId="3" fillId="0" borderId="0" xfId="0" applyNumberFormat="1" applyFont="1" applyBorder="1"/>
    <xf numFmtId="0" fontId="3" fillId="0" borderId="1" xfId="0" applyFont="1" applyFill="1" applyBorder="1" applyAlignment="1">
      <alignment horizontal="center"/>
    </xf>
    <xf numFmtId="0" fontId="2" fillId="0" borderId="1" xfId="0" applyFont="1" applyFill="1" applyBorder="1" applyAlignment="1">
      <alignment horizontal="center"/>
    </xf>
    <xf numFmtId="44" fontId="2" fillId="0" borderId="1" xfId="0" applyNumberFormat="1" applyFont="1" applyFill="1" applyBorder="1" applyAlignment="1">
      <alignment horizontal="center"/>
    </xf>
    <xf numFmtId="8" fontId="2" fillId="0" borderId="1" xfId="0" applyNumberFormat="1" applyFont="1" applyFill="1" applyBorder="1" applyAlignment="1">
      <alignment horizontal="center"/>
    </xf>
    <xf numFmtId="10" fontId="2" fillId="0" borderId="1" xfId="0" applyNumberFormat="1" applyFont="1" applyBorder="1"/>
    <xf numFmtId="9" fontId="3" fillId="5" borderId="1" xfId="0" applyNumberFormat="1" applyFont="1" applyFill="1" applyBorder="1"/>
    <xf numFmtId="44" fontId="3" fillId="5" borderId="1" xfId="0" applyNumberFormat="1" applyFont="1" applyFill="1" applyBorder="1" applyAlignment="1">
      <alignment horizontal="center"/>
    </xf>
    <xf numFmtId="44" fontId="2" fillId="5" borderId="1" xfId="0" applyNumberFormat="1" applyFont="1" applyFill="1" applyBorder="1"/>
    <xf numFmtId="0" fontId="0" fillId="0" borderId="0" xfId="0" applyAlignment="1">
      <alignment horizontal="center" vertical="center"/>
    </xf>
    <xf numFmtId="0" fontId="2" fillId="0" borderId="1" xfId="0" applyFont="1" applyBorder="1" applyAlignment="1">
      <alignment horizontal="justify" vertical="center" wrapText="1"/>
    </xf>
    <xf numFmtId="44"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3" fillId="3" borderId="1" xfId="0" applyFont="1" applyFill="1" applyBorder="1" applyAlignment="1">
      <alignment horizontal="justify" vertical="center" wrapText="1"/>
    </xf>
    <xf numFmtId="44" fontId="2" fillId="0" borderId="1" xfId="0" applyNumberFormat="1" applyFont="1" applyFill="1" applyBorder="1" applyAlignment="1">
      <alignment horizontal="center" vertical="center" wrapText="1"/>
    </xf>
    <xf numFmtId="44" fontId="3" fillId="5" borderId="1" xfId="0" applyNumberFormat="1" applyFont="1" applyFill="1" applyBorder="1" applyAlignment="1">
      <alignment horizontal="center" vertical="center"/>
    </xf>
    <xf numFmtId="0" fontId="3" fillId="5" borderId="1" xfId="0" applyFont="1" applyFill="1" applyBorder="1" applyAlignment="1">
      <alignment vertical="center"/>
    </xf>
    <xf numFmtId="0" fontId="3" fillId="5" borderId="1" xfId="0" applyFont="1" applyFill="1" applyBorder="1" applyAlignment="1">
      <alignment horizontal="center" vertical="center" wrapText="1"/>
    </xf>
    <xf numFmtId="44" fontId="3" fillId="5" borderId="1" xfId="0" applyNumberFormat="1"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17" xfId="0" applyFont="1" applyFill="1" applyBorder="1" applyAlignment="1">
      <alignment horizontal="center" vertical="center"/>
    </xf>
    <xf numFmtId="0" fontId="11" fillId="7" borderId="30" xfId="0" applyFont="1" applyFill="1" applyBorder="1" applyAlignment="1">
      <alignment horizontal="center" vertical="center" wrapText="1"/>
    </xf>
    <xf numFmtId="0" fontId="11" fillId="7" borderId="31" xfId="0" applyFont="1" applyFill="1" applyBorder="1" applyAlignment="1">
      <alignment horizontal="center" vertical="center" wrapText="1"/>
    </xf>
    <xf numFmtId="0" fontId="12" fillId="0" borderId="32" xfId="0" applyFont="1" applyBorder="1" applyAlignment="1">
      <alignment horizontal="justify" vertical="center" wrapText="1"/>
    </xf>
    <xf numFmtId="8" fontId="12" fillId="0" borderId="33" xfId="0" applyNumberFormat="1" applyFont="1" applyBorder="1" applyAlignment="1">
      <alignment horizontal="center" vertical="center" wrapText="1"/>
    </xf>
    <xf numFmtId="0" fontId="12" fillId="0" borderId="33" xfId="0" applyFont="1" applyBorder="1" applyAlignment="1">
      <alignment horizontal="center" vertical="center" wrapText="1"/>
    </xf>
    <xf numFmtId="0" fontId="11" fillId="8" borderId="32" xfId="0" applyFont="1" applyFill="1" applyBorder="1" applyAlignment="1">
      <alignment horizontal="justify" vertical="center" wrapText="1"/>
    </xf>
    <xf numFmtId="0" fontId="2" fillId="0" borderId="6" xfId="0" applyFont="1" applyBorder="1" applyAlignment="1">
      <alignment wrapText="1"/>
    </xf>
    <xf numFmtId="0" fontId="6" fillId="0" borderId="0" xfId="0" applyFont="1" applyBorder="1" applyAlignment="1">
      <alignment horizontal="center"/>
    </xf>
    <xf numFmtId="0" fontId="3" fillId="0" borderId="0" xfId="0" applyFont="1" applyBorder="1" applyAlignment="1">
      <alignment horizontal="center" vertical="center" wrapText="1"/>
    </xf>
    <xf numFmtId="165" fontId="2" fillId="0" borderId="0" xfId="0" applyNumberFormat="1" applyFont="1" applyBorder="1" applyAlignment="1">
      <alignment horizontal="center"/>
    </xf>
    <xf numFmtId="44" fontId="3" fillId="0" borderId="0" xfId="0" applyNumberFormat="1" applyFont="1" applyBorder="1" applyAlignment="1">
      <alignment horizontal="center" vertical="center"/>
    </xf>
    <xf numFmtId="44" fontId="2" fillId="0" borderId="6" xfId="0" applyNumberFormat="1" applyFont="1" applyBorder="1"/>
    <xf numFmtId="0" fontId="3" fillId="0" borderId="12" xfId="0" applyFont="1" applyBorder="1"/>
    <xf numFmtId="9" fontId="2" fillId="0" borderId="0" xfId="0" applyNumberFormat="1" applyFont="1"/>
    <xf numFmtId="8" fontId="2" fillId="0" borderId="1" xfId="0" applyNumberFormat="1" applyFont="1" applyBorder="1"/>
    <xf numFmtId="2" fontId="2" fillId="0" borderId="1" xfId="0" applyNumberFormat="1" applyFont="1" applyBorder="1"/>
    <xf numFmtId="1" fontId="2" fillId="0" borderId="1" xfId="0" applyNumberFormat="1" applyFont="1" applyBorder="1"/>
    <xf numFmtId="0" fontId="3" fillId="0" borderId="34" xfId="0" applyFont="1" applyFill="1" applyBorder="1" applyAlignment="1">
      <alignment horizontal="center" vertical="center"/>
    </xf>
    <xf numFmtId="44" fontId="3" fillId="0" borderId="1" xfId="0" applyNumberFormat="1" applyFont="1" applyFill="1" applyBorder="1"/>
    <xf numFmtId="10" fontId="3" fillId="0" borderId="1" xfId="0" applyNumberFormat="1" applyFont="1" applyBorder="1"/>
    <xf numFmtId="44" fontId="3" fillId="0" borderId="1" xfId="0" applyNumberFormat="1" applyFont="1" applyBorder="1" applyAlignment="1">
      <alignment horizontal="center" vertical="center"/>
    </xf>
    <xf numFmtId="171" fontId="3" fillId="0" borderId="34" xfId="0" applyNumberFormat="1" applyFont="1" applyBorder="1" applyAlignment="1">
      <alignment horizontal="center" vertical="center"/>
    </xf>
    <xf numFmtId="168" fontId="2" fillId="0" borderId="1" xfId="0" applyNumberFormat="1" applyFont="1" applyBorder="1" applyAlignment="1">
      <alignment horizontal="center" vertical="center"/>
    </xf>
    <xf numFmtId="165" fontId="3" fillId="0" borderId="12" xfId="0" applyNumberFormat="1" applyFont="1" applyBorder="1" applyAlignment="1">
      <alignment horizontal="center" vertical="center"/>
    </xf>
    <xf numFmtId="165" fontId="2" fillId="0" borderId="12" xfId="0" applyNumberFormat="1" applyFont="1" applyFill="1" applyBorder="1" applyAlignment="1">
      <alignment horizontal="center"/>
    </xf>
    <xf numFmtId="0" fontId="2" fillId="0" borderId="0" xfId="0" applyFont="1" applyFill="1" applyBorder="1" applyAlignment="1">
      <alignment horizontal="center" vertical="center"/>
    </xf>
    <xf numFmtId="8" fontId="2" fillId="0" borderId="0" xfId="0" applyNumberFormat="1" applyFont="1" applyFill="1" applyBorder="1" applyAlignment="1">
      <alignment horizontal="center"/>
    </xf>
    <xf numFmtId="44" fontId="2" fillId="0" borderId="0" xfId="0" applyNumberFormat="1" applyFont="1" applyFill="1" applyBorder="1" applyAlignment="1">
      <alignment horizontal="center"/>
    </xf>
    <xf numFmtId="8" fontId="2" fillId="0" borderId="17" xfId="0" applyNumberFormat="1" applyFont="1" applyBorder="1"/>
    <xf numFmtId="4" fontId="2" fillId="0" borderId="0" xfId="0" applyNumberFormat="1" applyFont="1"/>
    <xf numFmtId="0" fontId="3" fillId="0" borderId="1" xfId="0" applyFont="1" applyBorder="1" applyAlignment="1">
      <alignment horizontal="center" vertical="center" wrapText="1"/>
    </xf>
    <xf numFmtId="44" fontId="2" fillId="0" borderId="1" xfId="0" applyNumberFormat="1" applyFont="1" applyBorder="1" applyAlignment="1">
      <alignment horizontal="justify" vertical="center" wrapText="1"/>
    </xf>
    <xf numFmtId="0" fontId="3" fillId="0" borderId="0" xfId="0" applyFont="1" applyBorder="1" applyAlignment="1">
      <alignment horizontal="center"/>
    </xf>
    <xf numFmtId="0" fontId="2" fillId="0" borderId="24" xfId="0" applyFont="1" applyBorder="1"/>
    <xf numFmtId="44" fontId="2" fillId="0" borderId="34" xfId="0" applyNumberFormat="1" applyFont="1" applyBorder="1"/>
    <xf numFmtId="44" fontId="10" fillId="0" borderId="34" xfId="0" applyNumberFormat="1" applyFont="1" applyBorder="1"/>
    <xf numFmtId="167" fontId="2" fillId="0" borderId="0" xfId="0" applyNumberFormat="1" applyFont="1"/>
    <xf numFmtId="167" fontId="3" fillId="0" borderId="1" xfId="0" applyNumberFormat="1" applyFont="1" applyBorder="1"/>
    <xf numFmtId="167" fontId="2" fillId="0" borderId="1" xfId="0" applyNumberFormat="1" applyFont="1" applyBorder="1"/>
    <xf numFmtId="0" fontId="3" fillId="9" borderId="6" xfId="0" applyFont="1" applyFill="1" applyBorder="1"/>
    <xf numFmtId="44" fontId="2" fillId="9" borderId="0" xfId="0" applyNumberFormat="1" applyFont="1" applyFill="1" applyBorder="1"/>
    <xf numFmtId="0" fontId="2" fillId="9" borderId="0" xfId="0" applyFont="1" applyFill="1" applyBorder="1"/>
    <xf numFmtId="44" fontId="2" fillId="9" borderId="1" xfId="0" applyNumberFormat="1" applyFont="1" applyFill="1" applyBorder="1"/>
    <xf numFmtId="0" fontId="3" fillId="10" borderId="6" xfId="0" applyFont="1" applyFill="1" applyBorder="1"/>
    <xf numFmtId="44" fontId="2" fillId="10" borderId="0" xfId="0" applyNumberFormat="1" applyFont="1" applyFill="1" applyBorder="1"/>
    <xf numFmtId="44" fontId="2" fillId="10" borderId="1" xfId="0" applyNumberFormat="1" applyFont="1" applyFill="1" applyBorder="1"/>
    <xf numFmtId="44" fontId="2" fillId="10" borderId="0" xfId="0" applyNumberFormat="1" applyFont="1" applyFill="1"/>
    <xf numFmtId="0" fontId="3" fillId="10" borderId="9" xfId="0" applyFont="1" applyFill="1" applyBorder="1"/>
    <xf numFmtId="44" fontId="2" fillId="10" borderId="2" xfId="0" applyNumberFormat="1" applyFont="1" applyFill="1" applyBorder="1"/>
    <xf numFmtId="0" fontId="2" fillId="10" borderId="0" xfId="0" applyFont="1" applyFill="1" applyBorder="1"/>
    <xf numFmtId="0" fontId="3" fillId="0" borderId="3" xfId="0" applyFont="1" applyBorder="1" applyAlignment="1"/>
    <xf numFmtId="0" fontId="3" fillId="0" borderId="11" xfId="0" applyFont="1" applyBorder="1"/>
    <xf numFmtId="0" fontId="10" fillId="0" borderId="12" xfId="0" applyFont="1" applyBorder="1"/>
    <xf numFmtId="44" fontId="2" fillId="0" borderId="9" xfId="0" applyNumberFormat="1" applyFont="1" applyBorder="1"/>
    <xf numFmtId="0" fontId="2" fillId="0" borderId="11" xfId="0" applyFont="1" applyBorder="1"/>
    <xf numFmtId="44" fontId="10" fillId="0" borderId="35" xfId="0" applyNumberFormat="1" applyFont="1" applyBorder="1"/>
    <xf numFmtId="44" fontId="10" fillId="0" borderId="17" xfId="0" applyNumberFormat="1" applyFont="1" applyBorder="1"/>
    <xf numFmtId="0" fontId="3" fillId="9" borderId="11" xfId="0" applyFont="1" applyFill="1" applyBorder="1"/>
    <xf numFmtId="44" fontId="2" fillId="9" borderId="9" xfId="0" applyNumberFormat="1" applyFont="1" applyFill="1" applyBorder="1"/>
    <xf numFmtId="0" fontId="3" fillId="9" borderId="0" xfId="0" applyFont="1" applyFill="1" applyBorder="1" applyAlignment="1">
      <alignment horizontal="center"/>
    </xf>
    <xf numFmtId="0" fontId="0" fillId="9" borderId="0" xfId="0" applyFill="1"/>
    <xf numFmtId="0" fontId="2" fillId="0" borderId="0" xfId="0" applyNumberFormat="1" applyFont="1"/>
    <xf numFmtId="8" fontId="2" fillId="0" borderId="0" xfId="0" applyNumberFormat="1" applyFont="1"/>
    <xf numFmtId="9" fontId="2" fillId="0" borderId="0" xfId="3" applyFont="1"/>
    <xf numFmtId="168" fontId="2" fillId="0" borderId="0" xfId="3" applyNumberFormat="1" applyFont="1"/>
    <xf numFmtId="10" fontId="2" fillId="0" borderId="0" xfId="3" applyNumberFormat="1" applyFont="1"/>
    <xf numFmtId="44" fontId="2" fillId="0" borderId="0" xfId="0" applyNumberFormat="1" applyFont="1" applyBorder="1" applyAlignment="1">
      <alignment horizontal="justify" vertical="center" wrapText="1"/>
    </xf>
    <xf numFmtId="0" fontId="2" fillId="0" borderId="0" xfId="0" applyFont="1" applyBorder="1"/>
    <xf numFmtId="0" fontId="2" fillId="0" borderId="27" xfId="0" applyFont="1" applyBorder="1" applyAlignment="1">
      <alignment horizontal="justify" vertical="center" wrapText="1"/>
    </xf>
    <xf numFmtId="44" fontId="2" fillId="0" borderId="27" xfId="0" applyNumberFormat="1" applyFont="1" applyBorder="1" applyAlignment="1">
      <alignment horizontal="justify" vertical="center" wrapText="1"/>
    </xf>
    <xf numFmtId="0" fontId="2" fillId="0" borderId="0" xfId="0" applyFont="1" applyBorder="1" applyAlignment="1">
      <alignment horizontal="justify" vertical="center"/>
    </xf>
    <xf numFmtId="2" fontId="2" fillId="0" borderId="0" xfId="0" applyNumberFormat="1" applyFont="1"/>
    <xf numFmtId="0" fontId="9" fillId="0" borderId="0" xfId="0" applyFont="1"/>
    <xf numFmtId="0" fontId="2" fillId="0" borderId="27" xfId="0" applyFont="1" applyBorder="1" applyAlignment="1"/>
    <xf numFmtId="8" fontId="2" fillId="0" borderId="27" xfId="0" applyNumberFormat="1" applyFont="1" applyBorder="1"/>
    <xf numFmtId="0" fontId="10" fillId="0" borderId="0" xfId="0" applyFont="1" applyAlignment="1">
      <alignment wrapText="1"/>
    </xf>
    <xf numFmtId="0" fontId="3" fillId="0" borderId="7" xfId="0" applyFont="1" applyBorder="1" applyAlignment="1">
      <alignment horizontal="center" vertical="center"/>
    </xf>
    <xf numFmtId="0" fontId="2" fillId="0" borderId="5" xfId="0" applyFont="1" applyBorder="1" applyAlignment="1">
      <alignment horizontal="center" vertical="center"/>
    </xf>
    <xf numFmtId="0" fontId="2" fillId="0" borderId="21" xfId="0" applyFont="1" applyBorder="1" applyAlignment="1">
      <alignment horizontal="center" vertical="center"/>
    </xf>
    <xf numFmtId="0" fontId="2" fillId="0" borderId="9" xfId="0" applyFont="1" applyBorder="1" applyAlignment="1">
      <alignment horizontal="center" vertical="center"/>
    </xf>
    <xf numFmtId="0" fontId="2" fillId="0" borderId="8" xfId="0" applyFont="1" applyBorder="1" applyAlignment="1">
      <alignment horizontal="center" vertical="center"/>
    </xf>
    <xf numFmtId="0" fontId="2" fillId="0" borderId="7" xfId="0" applyFont="1" applyBorder="1" applyAlignment="1">
      <alignment horizontal="center" vertical="center"/>
    </xf>
    <xf numFmtId="0" fontId="2" fillId="0" borderId="11" xfId="0" applyFont="1" applyBorder="1" applyAlignment="1">
      <alignment horizontal="center" vertical="center"/>
    </xf>
    <xf numFmtId="0" fontId="2" fillId="0" borderId="13" xfId="0" applyFont="1" applyBorder="1" applyAlignment="1">
      <alignment horizontal="center" vertical="center"/>
    </xf>
    <xf numFmtId="0" fontId="3" fillId="0" borderId="5" xfId="0" applyFont="1" applyFill="1" applyBorder="1" applyAlignment="1">
      <alignment horizontal="left"/>
    </xf>
    <xf numFmtId="0" fontId="4" fillId="0" borderId="0" xfId="0" applyFont="1" applyBorder="1" applyAlignment="1">
      <alignment horizontal="left"/>
    </xf>
    <xf numFmtId="0" fontId="2" fillId="0" borderId="1" xfId="0" applyFont="1" applyBorder="1" applyAlignment="1">
      <alignment horizontal="left"/>
    </xf>
    <xf numFmtId="0" fontId="3" fillId="2" borderId="1" xfId="0" applyFont="1" applyFill="1" applyBorder="1" applyAlignment="1">
      <alignment horizontal="center"/>
    </xf>
    <xf numFmtId="0" fontId="3" fillId="0" borderId="1" xfId="0" applyFont="1" applyBorder="1" applyAlignment="1">
      <alignment horizontal="center"/>
    </xf>
    <xf numFmtId="0" fontId="3" fillId="0" borderId="1" xfId="0" applyFont="1" applyBorder="1" applyAlignment="1">
      <alignment horizontal="left" vertical="center"/>
    </xf>
    <xf numFmtId="0" fontId="3" fillId="0" borderId="1" xfId="0" applyFont="1" applyBorder="1" applyAlignment="1">
      <alignment horizontal="center" wrapText="1"/>
    </xf>
    <xf numFmtId="0" fontId="3" fillId="0" borderId="1" xfId="0" applyFont="1" applyBorder="1" applyAlignment="1">
      <alignment horizontal="center" vertical="center"/>
    </xf>
    <xf numFmtId="0" fontId="3" fillId="0" borderId="9" xfId="0" applyFont="1" applyBorder="1" applyAlignment="1">
      <alignment horizontal="center" vertical="center"/>
    </xf>
    <xf numFmtId="0" fontId="3" fillId="0" borderId="34" xfId="0" applyFont="1"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22" xfId="0" applyFont="1" applyBorder="1" applyAlignment="1">
      <alignment horizontal="center" vertical="center" wrapText="1"/>
    </xf>
    <xf numFmtId="0" fontId="6" fillId="0" borderId="5" xfId="0" applyFont="1" applyBorder="1" applyAlignment="1">
      <alignment horizontal="center"/>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3" xfId="0" applyFont="1" applyBorder="1" applyAlignment="1">
      <alignment horizontal="center" vertical="center" wrapText="1"/>
    </xf>
    <xf numFmtId="0" fontId="2" fillId="0" borderId="38" xfId="0" applyFont="1" applyFill="1" applyBorder="1" applyAlignment="1">
      <alignment horizontal="center"/>
    </xf>
    <xf numFmtId="44" fontId="3" fillId="5" borderId="3" xfId="0" applyNumberFormat="1" applyFont="1" applyFill="1" applyBorder="1" applyAlignment="1">
      <alignment horizontal="center" vertical="center"/>
    </xf>
    <xf numFmtId="44" fontId="3" fillId="5" borderId="22" xfId="0" applyNumberFormat="1" applyFont="1" applyFill="1" applyBorder="1" applyAlignment="1">
      <alignment horizontal="center" vertical="center"/>
    </xf>
    <xf numFmtId="44" fontId="3" fillId="5" borderId="1" xfId="0" applyNumberFormat="1" applyFont="1" applyFill="1" applyBorder="1" applyAlignment="1">
      <alignment horizontal="center" vertical="center"/>
    </xf>
    <xf numFmtId="0" fontId="3" fillId="5" borderId="1"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22" xfId="0" applyFont="1" applyFill="1" applyBorder="1" applyAlignment="1">
      <alignment horizontal="center" vertical="center"/>
    </xf>
    <xf numFmtId="44" fontId="2" fillId="0" borderId="1" xfId="0" applyNumberFormat="1" applyFont="1" applyBorder="1" applyAlignment="1">
      <alignment horizontal="center"/>
    </xf>
    <xf numFmtId="44" fontId="3" fillId="0" borderId="1" xfId="0" applyNumberFormat="1" applyFont="1" applyBorder="1" applyAlignment="1">
      <alignment horizontal="center"/>
    </xf>
    <xf numFmtId="44" fontId="3" fillId="3" borderId="3" xfId="0" applyNumberFormat="1" applyFont="1" applyFill="1" applyBorder="1" applyAlignment="1">
      <alignment horizontal="center"/>
    </xf>
    <xf numFmtId="44" fontId="3" fillId="3" borderId="22" xfId="0" applyNumberFormat="1" applyFont="1" applyFill="1" applyBorder="1" applyAlignment="1">
      <alignment horizontal="center"/>
    </xf>
    <xf numFmtId="44" fontId="3" fillId="0" borderId="1" xfId="0" applyNumberFormat="1" applyFont="1" applyBorder="1" applyAlignment="1">
      <alignment horizontal="center" vertical="center"/>
    </xf>
    <xf numFmtId="44" fontId="3" fillId="0" borderId="11" xfId="0" applyNumberFormat="1" applyFont="1" applyBorder="1" applyAlignment="1">
      <alignment horizontal="center" vertical="center"/>
    </xf>
    <xf numFmtId="44" fontId="3" fillId="0" borderId="12" xfId="0" applyNumberFormat="1" applyFont="1" applyBorder="1" applyAlignment="1">
      <alignment horizontal="center" vertical="center"/>
    </xf>
    <xf numFmtId="44" fontId="3" fillId="0" borderId="24" xfId="0" applyNumberFormat="1" applyFont="1" applyBorder="1" applyAlignment="1">
      <alignment horizontal="center" vertical="center"/>
    </xf>
    <xf numFmtId="44" fontId="3" fillId="0" borderId="9" xfId="0" applyNumberFormat="1" applyFont="1" applyBorder="1" applyAlignment="1">
      <alignment horizontal="center" vertical="center"/>
    </xf>
    <xf numFmtId="44" fontId="3" fillId="0" borderId="6" xfId="0" applyNumberFormat="1" applyFont="1" applyBorder="1" applyAlignment="1">
      <alignment horizontal="center" vertical="center"/>
    </xf>
    <xf numFmtId="44" fontId="3" fillId="0" borderId="34" xfId="0" applyNumberFormat="1" applyFont="1" applyBorder="1" applyAlignment="1">
      <alignment horizontal="center" vertical="center"/>
    </xf>
    <xf numFmtId="0" fontId="3" fillId="4" borderId="1" xfId="0" applyFont="1" applyFill="1" applyBorder="1" applyAlignment="1">
      <alignment horizontal="center"/>
    </xf>
    <xf numFmtId="0" fontId="3" fillId="3" borderId="1" xfId="0" applyFont="1" applyFill="1" applyBorder="1" applyAlignment="1">
      <alignment horizontal="center" vertical="center"/>
    </xf>
    <xf numFmtId="44" fontId="3" fillId="3" borderId="1" xfId="0" applyNumberFormat="1" applyFont="1" applyFill="1" applyBorder="1" applyAlignment="1">
      <alignment horizontal="center" vertical="center"/>
    </xf>
    <xf numFmtId="44" fontId="3" fillId="0" borderId="35" xfId="0" applyNumberFormat="1" applyFont="1" applyBorder="1" applyAlignment="1">
      <alignment horizontal="center" vertical="center"/>
    </xf>
    <xf numFmtId="0" fontId="3" fillId="0" borderId="3" xfId="0" applyFont="1" applyBorder="1" applyAlignment="1">
      <alignment horizontal="center"/>
    </xf>
    <xf numFmtId="0" fontId="3" fillId="0" borderId="22" xfId="0" applyFont="1" applyBorder="1" applyAlignment="1">
      <alignment horizontal="center"/>
    </xf>
    <xf numFmtId="44" fontId="3" fillId="0" borderId="3" xfId="0" applyNumberFormat="1" applyFont="1" applyBorder="1" applyAlignment="1">
      <alignment horizontal="left"/>
    </xf>
    <xf numFmtId="44" fontId="3" fillId="0" borderId="4" xfId="0" applyNumberFormat="1" applyFont="1" applyBorder="1" applyAlignment="1">
      <alignment horizontal="left"/>
    </xf>
    <xf numFmtId="44" fontId="3" fillId="0" borderId="22" xfId="0" applyNumberFormat="1" applyFont="1" applyBorder="1" applyAlignment="1">
      <alignment horizontal="left"/>
    </xf>
    <xf numFmtId="0" fontId="3" fillId="0" borderId="1" xfId="0" applyFont="1" applyBorder="1" applyAlignment="1">
      <alignment horizontal="left"/>
    </xf>
    <xf numFmtId="0" fontId="3" fillId="5" borderId="3" xfId="0" applyFont="1" applyFill="1" applyBorder="1" applyAlignment="1">
      <alignment horizontal="center"/>
    </xf>
    <xf numFmtId="0" fontId="3" fillId="5" borderId="22" xfId="0" applyFont="1" applyFill="1" applyBorder="1" applyAlignment="1">
      <alignment horizontal="center"/>
    </xf>
    <xf numFmtId="0" fontId="3" fillId="5" borderId="1" xfId="0" applyFont="1" applyFill="1" applyBorder="1" applyAlignment="1">
      <alignment horizont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22" xfId="0" applyFont="1" applyFill="1" applyBorder="1" applyAlignment="1">
      <alignment horizontal="center" vertical="center"/>
    </xf>
    <xf numFmtId="0" fontId="3" fillId="4" borderId="9" xfId="0" applyFont="1" applyFill="1" applyBorder="1" applyAlignment="1">
      <alignment horizontal="center" vertical="center"/>
    </xf>
    <xf numFmtId="0" fontId="3" fillId="4" borderId="34" xfId="0" applyFont="1" applyFill="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22" xfId="0" applyFont="1" applyBorder="1" applyAlignment="1">
      <alignment horizontal="center" vertical="center"/>
    </xf>
    <xf numFmtId="44" fontId="3" fillId="4" borderId="9" xfId="0" applyNumberFormat="1" applyFont="1" applyFill="1" applyBorder="1" applyAlignment="1">
      <alignment horizontal="center" vertical="center"/>
    </xf>
    <xf numFmtId="44" fontId="3" fillId="4" borderId="34" xfId="0" applyNumberFormat="1" applyFont="1" applyFill="1" applyBorder="1" applyAlignment="1">
      <alignment horizontal="center" vertical="center"/>
    </xf>
    <xf numFmtId="44" fontId="3" fillId="4" borderId="3" xfId="0" applyNumberFormat="1" applyFont="1" applyFill="1" applyBorder="1" applyAlignment="1">
      <alignment horizontal="center" vertical="center"/>
    </xf>
    <xf numFmtId="44" fontId="3" fillId="4" borderId="4" xfId="0" applyNumberFormat="1" applyFont="1" applyFill="1" applyBorder="1" applyAlignment="1">
      <alignment horizontal="center" vertical="center"/>
    </xf>
    <xf numFmtId="44" fontId="3" fillId="4" borderId="22" xfId="0" applyNumberFormat="1" applyFont="1" applyFill="1" applyBorder="1" applyAlignment="1">
      <alignment horizontal="center" vertical="center"/>
    </xf>
    <xf numFmtId="0" fontId="3" fillId="0" borderId="0" xfId="0" applyFont="1" applyAlignment="1">
      <alignment horizontal="center" vertical="center"/>
    </xf>
    <xf numFmtId="0" fontId="2" fillId="0" borderId="1" xfId="0" applyFont="1" applyBorder="1" applyAlignment="1">
      <alignment horizontal="center" vertical="center"/>
    </xf>
    <xf numFmtId="0" fontId="3" fillId="0" borderId="36" xfId="0" applyFont="1" applyFill="1" applyBorder="1" applyAlignment="1">
      <alignment horizontal="center" vertical="center"/>
    </xf>
    <xf numFmtId="0" fontId="3" fillId="0" borderId="37" xfId="0" applyFont="1" applyFill="1" applyBorder="1" applyAlignment="1">
      <alignment horizontal="center" vertical="center"/>
    </xf>
    <xf numFmtId="0" fontId="3" fillId="0" borderId="31" xfId="0" applyFont="1" applyFill="1" applyBorder="1" applyAlignment="1">
      <alignment horizontal="center" vertical="center"/>
    </xf>
    <xf numFmtId="0" fontId="3" fillId="0" borderId="36" xfId="0" applyFont="1" applyFill="1" applyBorder="1" applyAlignment="1">
      <alignment horizontal="center"/>
    </xf>
    <xf numFmtId="0" fontId="3" fillId="0" borderId="31" xfId="0" applyFont="1" applyFill="1" applyBorder="1" applyAlignment="1">
      <alignment horizontal="center"/>
    </xf>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applyAlignment="1">
      <alignment horizontal="center" wrapText="1"/>
    </xf>
    <xf numFmtId="0" fontId="15" fillId="0" borderId="0" xfId="0" applyFont="1" applyAlignment="1"/>
    <xf numFmtId="0" fontId="15" fillId="0" borderId="2" xfId="0" applyFont="1" applyBorder="1" applyAlignment="1">
      <alignment horizontal="center"/>
    </xf>
    <xf numFmtId="0" fontId="9" fillId="0" borderId="2" xfId="0" applyFont="1" applyBorder="1" applyAlignment="1">
      <alignment horizontal="center"/>
    </xf>
  </cellXfs>
  <cellStyles count="4">
    <cellStyle name="Moneda" xfId="1" builtinId="4"/>
    <cellStyle name="Normal" xfId="0" builtinId="0"/>
    <cellStyle name="Normal 2" xfId="2" xr:uid="{68A0EE3A-29FE-4ADA-94C9-AF2F1E77ABD4}"/>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HN">
                <a:latin typeface="Times New Roman" panose="02020603050405020304" pitchFamily="18" charset="0"/>
                <a:cs typeface="Times New Roman" panose="02020603050405020304" pitchFamily="18" charset="0"/>
              </a:rPr>
              <a:t>Mercado actual en</a:t>
            </a:r>
            <a:r>
              <a:rPr lang="es-HN" baseline="0">
                <a:latin typeface="Times New Roman" panose="02020603050405020304" pitchFamily="18" charset="0"/>
                <a:cs typeface="Times New Roman" panose="02020603050405020304" pitchFamily="18" charset="0"/>
              </a:rPr>
              <a:t> tendencia</a:t>
            </a:r>
            <a:endParaRPr lang="es-HN">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HN"/>
        </a:p>
      </c:txPr>
    </c:title>
    <c:autoTitleDeleted val="0"/>
    <c:plotArea>
      <c:layout/>
      <c:barChart>
        <c:barDir val="col"/>
        <c:grouping val="clustered"/>
        <c:varyColors val="0"/>
        <c:ser>
          <c:idx val="0"/>
          <c:order val="0"/>
          <c:tx>
            <c:v>Población Total</c:v>
          </c:tx>
          <c:spPr>
            <a:noFill/>
            <a:ln w="25400" cap="flat" cmpd="sng" algn="ctr">
              <a:solidFill>
                <a:schemeClr val="accent1">
                  <a:tint val="65000"/>
                </a:schemeClr>
              </a:solidFill>
              <a:miter lim="800000"/>
            </a:ln>
            <a:effectLst/>
          </c:spPr>
          <c:invertIfNegative val="0"/>
          <c:cat>
            <c:strRef>
              <c:f>'Mercado Actual'!$C$3:$E$3</c:f>
              <c:strCache>
                <c:ptCount val="3"/>
                <c:pt idx="0">
                  <c:v>Poblacion 2021</c:v>
                </c:pt>
                <c:pt idx="1">
                  <c:v>Poblacion 2025</c:v>
                </c:pt>
                <c:pt idx="2">
                  <c:v>Poblacion 2030</c:v>
                </c:pt>
              </c:strCache>
            </c:strRef>
          </c:cat>
          <c:val>
            <c:numRef>
              <c:f>'Mercado Actual'!$C$4:$E$4</c:f>
              <c:numCache>
                <c:formatCode>#,##0</c:formatCode>
                <c:ptCount val="3"/>
                <c:pt idx="0">
                  <c:v>1313782</c:v>
                </c:pt>
                <c:pt idx="1">
                  <c:v>1385211</c:v>
                </c:pt>
                <c:pt idx="2">
                  <c:v>1468850</c:v>
                </c:pt>
              </c:numCache>
            </c:numRef>
          </c:val>
          <c:extLst>
            <c:ext xmlns:c16="http://schemas.microsoft.com/office/drawing/2014/chart" uri="{C3380CC4-5D6E-409C-BE32-E72D297353CC}">
              <c16:uniqueId val="{00000000-887B-4758-864D-1DD5439643EB}"/>
            </c:ext>
          </c:extLst>
        </c:ser>
        <c:ser>
          <c:idx val="1"/>
          <c:order val="1"/>
          <c:tx>
            <c:v>Mujeres</c:v>
          </c:tx>
          <c:spPr>
            <a:noFill/>
            <a:ln w="25400" cap="flat" cmpd="sng" algn="ctr">
              <a:solidFill>
                <a:schemeClr val="accent1"/>
              </a:solidFill>
              <a:miter lim="800000"/>
            </a:ln>
            <a:effectLst/>
          </c:spPr>
          <c:invertIfNegative val="0"/>
          <c:cat>
            <c:strRef>
              <c:f>'Mercado Actual'!$C$3:$E$3</c:f>
              <c:strCache>
                <c:ptCount val="3"/>
                <c:pt idx="0">
                  <c:v>Poblacion 2021</c:v>
                </c:pt>
                <c:pt idx="1">
                  <c:v>Poblacion 2025</c:v>
                </c:pt>
                <c:pt idx="2">
                  <c:v>Poblacion 2030</c:v>
                </c:pt>
              </c:strCache>
            </c:strRef>
          </c:cat>
          <c:val>
            <c:numRef>
              <c:f>'Mercado Actual'!$C$5:$E$5</c:f>
              <c:numCache>
                <c:formatCode>#,##0</c:formatCode>
                <c:ptCount val="3"/>
                <c:pt idx="0">
                  <c:v>699713</c:v>
                </c:pt>
                <c:pt idx="1">
                  <c:v>738277</c:v>
                </c:pt>
                <c:pt idx="2">
                  <c:v>783257</c:v>
                </c:pt>
              </c:numCache>
            </c:numRef>
          </c:val>
          <c:extLst>
            <c:ext xmlns:c16="http://schemas.microsoft.com/office/drawing/2014/chart" uri="{C3380CC4-5D6E-409C-BE32-E72D297353CC}">
              <c16:uniqueId val="{00000001-887B-4758-864D-1DD5439643EB}"/>
            </c:ext>
          </c:extLst>
        </c:ser>
        <c:ser>
          <c:idx val="2"/>
          <c:order val="2"/>
          <c:tx>
            <c:v>Hombres</c:v>
          </c:tx>
          <c:spPr>
            <a:noFill/>
            <a:ln w="25400" cap="flat" cmpd="sng" algn="ctr">
              <a:solidFill>
                <a:schemeClr val="accent1">
                  <a:shade val="65000"/>
                </a:schemeClr>
              </a:solidFill>
              <a:miter lim="800000"/>
            </a:ln>
            <a:effectLst/>
          </c:spPr>
          <c:invertIfNegative val="0"/>
          <c:cat>
            <c:strRef>
              <c:f>'Mercado Actual'!$C$3:$E$3</c:f>
              <c:strCache>
                <c:ptCount val="3"/>
                <c:pt idx="0">
                  <c:v>Poblacion 2021</c:v>
                </c:pt>
                <c:pt idx="1">
                  <c:v>Poblacion 2025</c:v>
                </c:pt>
                <c:pt idx="2">
                  <c:v>Poblacion 2030</c:v>
                </c:pt>
              </c:strCache>
            </c:strRef>
          </c:cat>
          <c:val>
            <c:numRef>
              <c:f>'Mercado Actual'!$C$6:$E$6</c:f>
              <c:numCache>
                <c:formatCode>#,##0</c:formatCode>
                <c:ptCount val="3"/>
                <c:pt idx="0">
                  <c:v>614069</c:v>
                </c:pt>
                <c:pt idx="1">
                  <c:v>646984</c:v>
                </c:pt>
                <c:pt idx="2">
                  <c:v>685593</c:v>
                </c:pt>
              </c:numCache>
            </c:numRef>
          </c:val>
          <c:extLst>
            <c:ext xmlns:c16="http://schemas.microsoft.com/office/drawing/2014/chart" uri="{C3380CC4-5D6E-409C-BE32-E72D297353CC}">
              <c16:uniqueId val="{00000002-887B-4758-864D-1DD5439643EB}"/>
            </c:ext>
          </c:extLst>
        </c:ser>
        <c:dLbls>
          <c:showLegendKey val="0"/>
          <c:showVal val="0"/>
          <c:showCatName val="0"/>
          <c:showSerName val="0"/>
          <c:showPercent val="0"/>
          <c:showBubbleSize val="0"/>
        </c:dLbls>
        <c:gapWidth val="150"/>
        <c:axId val="16637871"/>
        <c:axId val="16641199"/>
      </c:barChart>
      <c:catAx>
        <c:axId val="166378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Times New Roman" panose="02020603050405020304" pitchFamily="18" charset="0"/>
                <a:ea typeface="+mn-ea"/>
                <a:cs typeface="Times New Roman" panose="02020603050405020304" pitchFamily="18" charset="0"/>
              </a:defRPr>
            </a:pPr>
            <a:endParaRPr lang="es-HN"/>
          </a:p>
        </c:txPr>
        <c:crossAx val="16641199"/>
        <c:crosses val="autoZero"/>
        <c:auto val="1"/>
        <c:lblAlgn val="ctr"/>
        <c:lblOffset val="100"/>
        <c:noMultiLvlLbl val="0"/>
      </c:catAx>
      <c:valAx>
        <c:axId val="16641199"/>
        <c:scaling>
          <c:orientation val="minMax"/>
        </c:scaling>
        <c:delete val="0"/>
        <c:axPos val="l"/>
        <c:majorGridlines>
          <c:spPr>
            <a:ln w="9525">
              <a:solidFill>
                <a:schemeClr val="bg1"/>
              </a:solidFill>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crossAx val="1663787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s-HN"/>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Ventas_Ingresos!$A$52</c:f>
              <c:strCache>
                <c:ptCount val="1"/>
                <c:pt idx="0">
                  <c:v>Camisas</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dPt>
            <c:idx val="0"/>
            <c:invertIfNegative val="0"/>
            <c:bubble3D val="0"/>
            <c:extLst>
              <c:ext xmlns:c16="http://schemas.microsoft.com/office/drawing/2014/chart" uri="{C3380CC4-5D6E-409C-BE32-E72D297353CC}">
                <c16:uniqueId val="{00000001-211B-4EFD-83B3-B5D77A938A35}"/>
              </c:ext>
            </c:extLst>
          </c:dPt>
          <c:dPt>
            <c:idx val="1"/>
            <c:invertIfNegative val="0"/>
            <c:bubble3D val="0"/>
            <c:extLst>
              <c:ext xmlns:c16="http://schemas.microsoft.com/office/drawing/2014/chart" uri="{C3380CC4-5D6E-409C-BE32-E72D297353CC}">
                <c16:uniqueId val="{00000003-211B-4EFD-83B3-B5D77A938A35}"/>
              </c:ext>
            </c:extLst>
          </c:dPt>
          <c:dPt>
            <c:idx val="2"/>
            <c:invertIfNegative val="0"/>
            <c:bubble3D val="0"/>
            <c:extLst>
              <c:ext xmlns:c16="http://schemas.microsoft.com/office/drawing/2014/chart" uri="{C3380CC4-5D6E-409C-BE32-E72D297353CC}">
                <c16:uniqueId val="{00000005-211B-4EFD-83B3-B5D77A938A35}"/>
              </c:ext>
            </c:extLst>
          </c:dPt>
          <c:dPt>
            <c:idx val="3"/>
            <c:invertIfNegative val="0"/>
            <c:bubble3D val="0"/>
            <c:extLst>
              <c:ext xmlns:c16="http://schemas.microsoft.com/office/drawing/2014/chart" uri="{C3380CC4-5D6E-409C-BE32-E72D297353CC}">
                <c16:uniqueId val="{00000007-211B-4EFD-83B3-B5D77A938A35}"/>
              </c:ext>
            </c:extLst>
          </c:dPt>
          <c:dPt>
            <c:idx val="4"/>
            <c:invertIfNegative val="0"/>
            <c:bubble3D val="0"/>
            <c:extLst>
              <c:ext xmlns:c16="http://schemas.microsoft.com/office/drawing/2014/chart" uri="{C3380CC4-5D6E-409C-BE32-E72D297353CC}">
                <c16:uniqueId val="{00000009-211B-4EFD-83B3-B5D77A938A35}"/>
              </c:ext>
            </c:extLst>
          </c:dPt>
          <c:dPt>
            <c:idx val="5"/>
            <c:invertIfNegative val="0"/>
            <c:bubble3D val="0"/>
            <c:extLst>
              <c:ext xmlns:c16="http://schemas.microsoft.com/office/drawing/2014/chart" uri="{C3380CC4-5D6E-409C-BE32-E72D297353CC}">
                <c16:uniqueId val="{0000000B-211B-4EFD-83B3-B5D77A938A35}"/>
              </c:ext>
            </c:extLst>
          </c:dPt>
          <c:dPt>
            <c:idx val="6"/>
            <c:invertIfNegative val="0"/>
            <c:bubble3D val="0"/>
            <c:extLst>
              <c:ext xmlns:c16="http://schemas.microsoft.com/office/drawing/2014/chart" uri="{C3380CC4-5D6E-409C-BE32-E72D297353CC}">
                <c16:uniqueId val="{0000000D-211B-4EFD-83B3-B5D77A938A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HN"/>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Ventas_Ingresos!$D$52</c:f>
              <c:numCache>
                <c:formatCode>#,##0</c:formatCode>
                <c:ptCount val="1"/>
                <c:pt idx="0">
                  <c:v>713.29867776000003</c:v>
                </c:pt>
              </c:numCache>
            </c:numRef>
          </c:val>
          <c:extLst>
            <c:ext xmlns:c16="http://schemas.microsoft.com/office/drawing/2014/chart" uri="{C3380CC4-5D6E-409C-BE32-E72D297353CC}">
              <c16:uniqueId val="{0000000E-211B-4EFD-83B3-B5D77A938A35}"/>
            </c:ext>
          </c:extLst>
        </c:ser>
        <c:ser>
          <c:idx val="1"/>
          <c:order val="1"/>
          <c:tx>
            <c:strRef>
              <c:f>Ventas_Ingresos!$A$53</c:f>
              <c:strCache>
                <c:ptCount val="1"/>
                <c:pt idx="0">
                  <c:v>Pantalones</c:v>
                </c:pt>
              </c:strCache>
            </c:strRef>
          </c:tx>
          <c:spPr>
            <a:solidFill>
              <a:schemeClr val="accent3"/>
            </a:solidFill>
            <a:ln>
              <a:solidFill>
                <a:schemeClr val="accent3">
                  <a:lumMod val="75000"/>
                </a:schemeClr>
              </a:solidFill>
            </a:ln>
            <a:effectLst/>
            <a:scene3d>
              <a:camera prst="orthographicFront"/>
              <a:lightRig rig="threePt" dir="t"/>
            </a:scene3d>
            <a:sp3d prstMaterial="translucentPowder">
              <a:contourClr>
                <a:schemeClr val="accent3">
                  <a:lumMod val="75000"/>
                </a:schemeClr>
              </a:contourClr>
            </a:sp3d>
          </c:spPr>
          <c:invertIfNegative val="0"/>
          <c:val>
            <c:numRef>
              <c:f>Ventas_Ingresos!$D$53</c:f>
              <c:numCache>
                <c:formatCode>#,##0</c:formatCode>
                <c:ptCount val="1"/>
                <c:pt idx="0">
                  <c:v>713.29867776000003</c:v>
                </c:pt>
              </c:numCache>
            </c:numRef>
          </c:val>
          <c:extLst>
            <c:ext xmlns:c16="http://schemas.microsoft.com/office/drawing/2014/chart" uri="{C3380CC4-5D6E-409C-BE32-E72D297353CC}">
              <c16:uniqueId val="{0000000F-53D9-443D-9CC8-17EDE0EAC06F}"/>
            </c:ext>
          </c:extLst>
        </c:ser>
        <c:ser>
          <c:idx val="2"/>
          <c:order val="2"/>
          <c:tx>
            <c:strRef>
              <c:f>Ventas_Ingresos!$A$54</c:f>
              <c:strCache>
                <c:ptCount val="1"/>
                <c:pt idx="0">
                  <c:v>Vestidos</c:v>
                </c:pt>
              </c:strCache>
            </c:strRef>
          </c:tx>
          <c:spPr>
            <a:solidFill>
              <a:schemeClr val="accent5"/>
            </a:solidFill>
            <a:ln>
              <a:solidFill>
                <a:schemeClr val="accent5">
                  <a:lumMod val="75000"/>
                </a:schemeClr>
              </a:solidFill>
            </a:ln>
            <a:effectLst/>
            <a:scene3d>
              <a:camera prst="orthographicFront"/>
              <a:lightRig rig="threePt" dir="t"/>
            </a:scene3d>
            <a:sp3d prstMaterial="translucentPowder">
              <a:contourClr>
                <a:schemeClr val="accent5">
                  <a:lumMod val="75000"/>
                </a:schemeClr>
              </a:contourClr>
            </a:sp3d>
          </c:spPr>
          <c:invertIfNegative val="0"/>
          <c:val>
            <c:numRef>
              <c:f>Ventas_Ingresos!$D$54</c:f>
              <c:numCache>
                <c:formatCode>#,##0</c:formatCode>
                <c:ptCount val="1"/>
                <c:pt idx="0">
                  <c:v>713.29867776000003</c:v>
                </c:pt>
              </c:numCache>
            </c:numRef>
          </c:val>
          <c:extLst>
            <c:ext xmlns:c16="http://schemas.microsoft.com/office/drawing/2014/chart" uri="{C3380CC4-5D6E-409C-BE32-E72D297353CC}">
              <c16:uniqueId val="{00000010-53D9-443D-9CC8-17EDE0EAC06F}"/>
            </c:ext>
          </c:extLst>
        </c:ser>
        <c:ser>
          <c:idx val="3"/>
          <c:order val="3"/>
          <c:tx>
            <c:strRef>
              <c:f>Ventas_Ingresos!$A$55</c:f>
              <c:strCache>
                <c:ptCount val="1"/>
                <c:pt idx="0">
                  <c:v>Payamas</c:v>
                </c:pt>
              </c:strCache>
            </c:strRef>
          </c:tx>
          <c:spPr>
            <a:solidFill>
              <a:schemeClr val="accent1">
                <a:lumMod val="60000"/>
              </a:schemeClr>
            </a:solidFill>
            <a:ln>
              <a:solidFill>
                <a:schemeClr val="accent1">
                  <a:lumMod val="60000"/>
                  <a:lumMod val="75000"/>
                </a:schemeClr>
              </a:solidFill>
            </a:ln>
            <a:effectLst/>
            <a:scene3d>
              <a:camera prst="orthographicFront"/>
              <a:lightRig rig="threePt" dir="t"/>
            </a:scene3d>
            <a:sp3d prstMaterial="translucentPowder">
              <a:contourClr>
                <a:schemeClr val="accent1">
                  <a:lumMod val="60000"/>
                  <a:lumMod val="75000"/>
                </a:schemeClr>
              </a:contourClr>
            </a:sp3d>
          </c:spPr>
          <c:invertIfNegative val="0"/>
          <c:val>
            <c:numRef>
              <c:f>Ventas_Ingresos!$D$55</c:f>
              <c:numCache>
                <c:formatCode>#,##0</c:formatCode>
                <c:ptCount val="1"/>
                <c:pt idx="0">
                  <c:v>567.91296000000011</c:v>
                </c:pt>
              </c:numCache>
            </c:numRef>
          </c:val>
          <c:extLst>
            <c:ext xmlns:c16="http://schemas.microsoft.com/office/drawing/2014/chart" uri="{C3380CC4-5D6E-409C-BE32-E72D297353CC}">
              <c16:uniqueId val="{00000011-53D9-443D-9CC8-17EDE0EAC06F}"/>
            </c:ext>
          </c:extLst>
        </c:ser>
        <c:ser>
          <c:idx val="4"/>
          <c:order val="4"/>
          <c:tx>
            <c:strRef>
              <c:f>Ventas_Ingresos!$A$56</c:f>
              <c:strCache>
                <c:ptCount val="1"/>
                <c:pt idx="0">
                  <c:v>Faldas</c:v>
                </c:pt>
              </c:strCache>
            </c:strRef>
          </c:tx>
          <c:spPr>
            <a:solidFill>
              <a:schemeClr val="accent3">
                <a:lumMod val="60000"/>
              </a:schemeClr>
            </a:solidFill>
            <a:ln>
              <a:solidFill>
                <a:schemeClr val="accent3">
                  <a:lumMod val="60000"/>
                  <a:lumMod val="75000"/>
                </a:schemeClr>
              </a:solidFill>
            </a:ln>
            <a:effectLst/>
            <a:scene3d>
              <a:camera prst="orthographicFront"/>
              <a:lightRig rig="threePt" dir="t"/>
            </a:scene3d>
            <a:sp3d prstMaterial="translucentPowder">
              <a:contourClr>
                <a:schemeClr val="accent3">
                  <a:lumMod val="60000"/>
                  <a:lumMod val="75000"/>
                </a:schemeClr>
              </a:contourClr>
            </a:sp3d>
          </c:spPr>
          <c:invertIfNegative val="0"/>
          <c:val>
            <c:numRef>
              <c:f>Ventas_Ingresos!$D$56</c:f>
              <c:numCache>
                <c:formatCode>#,##0</c:formatCode>
                <c:ptCount val="1"/>
                <c:pt idx="0">
                  <c:v>567.91296000000011</c:v>
                </c:pt>
              </c:numCache>
            </c:numRef>
          </c:val>
          <c:extLst>
            <c:ext xmlns:c16="http://schemas.microsoft.com/office/drawing/2014/chart" uri="{C3380CC4-5D6E-409C-BE32-E72D297353CC}">
              <c16:uniqueId val="{00000012-53D9-443D-9CC8-17EDE0EAC06F}"/>
            </c:ext>
          </c:extLst>
        </c:ser>
        <c:ser>
          <c:idx val="5"/>
          <c:order val="5"/>
          <c:tx>
            <c:strRef>
              <c:f>Ventas_Ingresos!$A$57</c:f>
              <c:strCache>
                <c:ptCount val="1"/>
                <c:pt idx="0">
                  <c:v>Bolsas</c:v>
                </c:pt>
              </c:strCache>
            </c:strRef>
          </c:tx>
          <c:spPr>
            <a:solidFill>
              <a:schemeClr val="accent5">
                <a:lumMod val="60000"/>
              </a:schemeClr>
            </a:solidFill>
            <a:ln>
              <a:solidFill>
                <a:schemeClr val="accent5">
                  <a:lumMod val="60000"/>
                  <a:lumMod val="75000"/>
                </a:schemeClr>
              </a:solidFill>
            </a:ln>
            <a:effectLst/>
            <a:scene3d>
              <a:camera prst="orthographicFront"/>
              <a:lightRig rig="threePt" dir="t"/>
            </a:scene3d>
            <a:sp3d prstMaterial="translucentPowder">
              <a:contourClr>
                <a:schemeClr val="accent5">
                  <a:lumMod val="60000"/>
                  <a:lumMod val="75000"/>
                </a:schemeClr>
              </a:contourClr>
            </a:sp3d>
          </c:spPr>
          <c:invertIfNegative val="0"/>
          <c:val>
            <c:numRef>
              <c:f>Ventas_Ingresos!$D$57</c:f>
              <c:numCache>
                <c:formatCode>#,##0</c:formatCode>
                <c:ptCount val="1"/>
                <c:pt idx="0">
                  <c:v>567.91296000000011</c:v>
                </c:pt>
              </c:numCache>
            </c:numRef>
          </c:val>
          <c:extLst>
            <c:ext xmlns:c16="http://schemas.microsoft.com/office/drawing/2014/chart" uri="{C3380CC4-5D6E-409C-BE32-E72D297353CC}">
              <c16:uniqueId val="{00000013-53D9-443D-9CC8-17EDE0EAC06F}"/>
            </c:ext>
          </c:extLst>
        </c:ser>
        <c:ser>
          <c:idx val="6"/>
          <c:order val="6"/>
          <c:tx>
            <c:strRef>
              <c:f>Ventas_Ingresos!$A$58</c:f>
              <c:strCache>
                <c:ptCount val="1"/>
                <c:pt idx="0">
                  <c:v>Cadenas</c:v>
                </c:pt>
              </c:strCache>
            </c:strRef>
          </c:tx>
          <c:spPr>
            <a:solidFill>
              <a:schemeClr val="accent1">
                <a:lumMod val="80000"/>
                <a:lumOff val="20000"/>
              </a:schemeClr>
            </a:solidFill>
            <a:ln>
              <a:solidFill>
                <a:schemeClr val="accent1">
                  <a:lumMod val="80000"/>
                  <a:lumOff val="20000"/>
                  <a:lumMod val="75000"/>
                </a:schemeClr>
              </a:solidFill>
            </a:ln>
            <a:effectLst/>
            <a:scene3d>
              <a:camera prst="orthographicFront"/>
              <a:lightRig rig="threePt" dir="t"/>
            </a:scene3d>
            <a:sp3d prstMaterial="translucentPowder">
              <a:contourClr>
                <a:schemeClr val="accent1">
                  <a:lumMod val="80000"/>
                  <a:lumOff val="20000"/>
                  <a:lumMod val="75000"/>
                </a:schemeClr>
              </a:contourClr>
            </a:sp3d>
          </c:spPr>
          <c:invertIfNegative val="0"/>
          <c:val>
            <c:numRef>
              <c:f>Ventas_Ingresos!$D$58</c:f>
              <c:numCache>
                <c:formatCode>#,##0</c:formatCode>
                <c:ptCount val="1"/>
                <c:pt idx="0">
                  <c:v>452.15999999999997</c:v>
                </c:pt>
              </c:numCache>
            </c:numRef>
          </c:val>
          <c:extLst>
            <c:ext xmlns:c16="http://schemas.microsoft.com/office/drawing/2014/chart" uri="{C3380CC4-5D6E-409C-BE32-E72D297353CC}">
              <c16:uniqueId val="{00000014-53D9-443D-9CC8-17EDE0EAC06F}"/>
            </c:ext>
          </c:extLst>
        </c:ser>
        <c:dLbls>
          <c:showLegendKey val="0"/>
          <c:showVal val="0"/>
          <c:showCatName val="0"/>
          <c:showSerName val="0"/>
          <c:showPercent val="0"/>
          <c:showBubbleSize val="0"/>
        </c:dLbls>
        <c:gapWidth val="150"/>
        <c:shape val="box"/>
        <c:axId val="1624678959"/>
        <c:axId val="1624673135"/>
        <c:axId val="0"/>
      </c:bar3DChart>
      <c:catAx>
        <c:axId val="162467895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crossAx val="1624673135"/>
        <c:crosses val="autoZero"/>
        <c:auto val="1"/>
        <c:lblAlgn val="ctr"/>
        <c:lblOffset val="100"/>
        <c:noMultiLvlLbl val="0"/>
      </c:catAx>
      <c:valAx>
        <c:axId val="1624673135"/>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crossAx val="162467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Ventas_Ingresos!$A$84</c:f>
              <c:strCache>
                <c:ptCount val="1"/>
                <c:pt idx="0">
                  <c:v>Camisas</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dPt>
            <c:idx val="0"/>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1-5DD6-4878-A275-0D27B081F38C}"/>
              </c:ext>
            </c:extLst>
          </c:dPt>
          <c:dPt>
            <c:idx val="1"/>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3-5DD6-4878-A275-0D27B081F38C}"/>
              </c:ext>
            </c:extLst>
          </c:dPt>
          <c:dPt>
            <c:idx val="2"/>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5-5DD6-4878-A275-0D27B081F38C}"/>
              </c:ext>
            </c:extLst>
          </c:dPt>
          <c:dPt>
            <c:idx val="3"/>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7-5DD6-4878-A275-0D27B081F38C}"/>
              </c:ext>
            </c:extLst>
          </c:dPt>
          <c:dPt>
            <c:idx val="4"/>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9-5DD6-4878-A275-0D27B081F38C}"/>
              </c:ext>
            </c:extLst>
          </c:dPt>
          <c:dPt>
            <c:idx val="5"/>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B-5DD6-4878-A275-0D27B081F38C}"/>
              </c:ext>
            </c:extLst>
          </c:dPt>
          <c:dPt>
            <c:idx val="6"/>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D-5DD6-4878-A275-0D27B081F3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HN"/>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Ventas_Ingresos!$D$84</c:f>
              <c:numCache>
                <c:formatCode>#,##0</c:formatCode>
                <c:ptCount val="1"/>
                <c:pt idx="0">
                  <c:v>1125.2543429187995</c:v>
                </c:pt>
              </c:numCache>
            </c:numRef>
          </c:val>
          <c:extLst>
            <c:ext xmlns:c16="http://schemas.microsoft.com/office/drawing/2014/chart" uri="{C3380CC4-5D6E-409C-BE32-E72D297353CC}">
              <c16:uniqueId val="{0000000E-5DD6-4878-A275-0D27B081F38C}"/>
            </c:ext>
          </c:extLst>
        </c:ser>
        <c:ser>
          <c:idx val="1"/>
          <c:order val="1"/>
          <c:tx>
            <c:strRef>
              <c:f>Ventas_Ingresos!$A$85</c:f>
              <c:strCache>
                <c:ptCount val="1"/>
                <c:pt idx="0">
                  <c:v>Pantalones</c:v>
                </c:pt>
              </c:strCache>
            </c:strRef>
          </c:tx>
          <c:spPr>
            <a:solidFill>
              <a:schemeClr val="accent3"/>
            </a:solidFill>
            <a:ln>
              <a:solidFill>
                <a:schemeClr val="accent3">
                  <a:lumMod val="75000"/>
                </a:schemeClr>
              </a:solidFill>
            </a:ln>
            <a:effectLst/>
            <a:scene3d>
              <a:camera prst="orthographicFront"/>
              <a:lightRig rig="threePt" dir="t"/>
            </a:scene3d>
            <a:sp3d prstMaterial="translucentPowder">
              <a:contourClr>
                <a:schemeClr val="accent3">
                  <a:lumMod val="75000"/>
                </a:schemeClr>
              </a:contourClr>
            </a:sp3d>
          </c:spPr>
          <c:invertIfNegative val="0"/>
          <c:val>
            <c:numRef>
              <c:f>Ventas_Ingresos!$D$85</c:f>
              <c:numCache>
                <c:formatCode>#,##0</c:formatCode>
                <c:ptCount val="1"/>
                <c:pt idx="0">
                  <c:v>1125.2543429187995</c:v>
                </c:pt>
              </c:numCache>
            </c:numRef>
          </c:val>
          <c:extLst>
            <c:ext xmlns:c16="http://schemas.microsoft.com/office/drawing/2014/chart" uri="{C3380CC4-5D6E-409C-BE32-E72D297353CC}">
              <c16:uniqueId val="{0000000F-A7EF-48C2-A496-47EFFB2A0E4A}"/>
            </c:ext>
          </c:extLst>
        </c:ser>
        <c:ser>
          <c:idx val="2"/>
          <c:order val="2"/>
          <c:tx>
            <c:strRef>
              <c:f>Ventas_Ingresos!$A$86</c:f>
              <c:strCache>
                <c:ptCount val="1"/>
                <c:pt idx="0">
                  <c:v>Vestidos</c:v>
                </c:pt>
              </c:strCache>
            </c:strRef>
          </c:tx>
          <c:spPr>
            <a:solidFill>
              <a:schemeClr val="accent5"/>
            </a:solidFill>
            <a:ln>
              <a:solidFill>
                <a:schemeClr val="accent5">
                  <a:lumMod val="75000"/>
                </a:schemeClr>
              </a:solidFill>
            </a:ln>
            <a:effectLst/>
            <a:scene3d>
              <a:camera prst="orthographicFront"/>
              <a:lightRig rig="threePt" dir="t"/>
            </a:scene3d>
            <a:sp3d prstMaterial="translucentPowder">
              <a:contourClr>
                <a:schemeClr val="accent5">
                  <a:lumMod val="75000"/>
                </a:schemeClr>
              </a:contourClr>
            </a:sp3d>
          </c:spPr>
          <c:invertIfNegative val="0"/>
          <c:val>
            <c:numRef>
              <c:f>Ventas_Ingresos!$D$86</c:f>
              <c:numCache>
                <c:formatCode>#,##0</c:formatCode>
                <c:ptCount val="1"/>
                <c:pt idx="0">
                  <c:v>1125.2543429187995</c:v>
                </c:pt>
              </c:numCache>
            </c:numRef>
          </c:val>
          <c:extLst>
            <c:ext xmlns:c16="http://schemas.microsoft.com/office/drawing/2014/chart" uri="{C3380CC4-5D6E-409C-BE32-E72D297353CC}">
              <c16:uniqueId val="{00000010-A7EF-48C2-A496-47EFFB2A0E4A}"/>
            </c:ext>
          </c:extLst>
        </c:ser>
        <c:ser>
          <c:idx val="3"/>
          <c:order val="3"/>
          <c:tx>
            <c:strRef>
              <c:f>Ventas_Ingresos!$A$87</c:f>
              <c:strCache>
                <c:ptCount val="1"/>
                <c:pt idx="0">
                  <c:v>Payamas</c:v>
                </c:pt>
              </c:strCache>
            </c:strRef>
          </c:tx>
          <c:spPr>
            <a:solidFill>
              <a:schemeClr val="accent1">
                <a:lumMod val="60000"/>
              </a:schemeClr>
            </a:solidFill>
            <a:ln>
              <a:solidFill>
                <a:schemeClr val="accent1">
                  <a:lumMod val="60000"/>
                  <a:lumMod val="75000"/>
                </a:schemeClr>
              </a:solidFill>
            </a:ln>
            <a:effectLst/>
            <a:scene3d>
              <a:camera prst="orthographicFront"/>
              <a:lightRig rig="threePt" dir="t"/>
            </a:scene3d>
            <a:sp3d prstMaterial="translucentPowder">
              <a:contourClr>
                <a:schemeClr val="accent1">
                  <a:lumMod val="60000"/>
                  <a:lumMod val="75000"/>
                </a:schemeClr>
              </a:contourClr>
            </a:sp3d>
          </c:spPr>
          <c:invertIfNegative val="0"/>
          <c:val>
            <c:numRef>
              <c:f>Ventas_Ingresos!$D$87</c:f>
              <c:numCache>
                <c:formatCode>#,##0</c:formatCode>
                <c:ptCount val="1"/>
                <c:pt idx="0">
                  <c:v>895.90313926655995</c:v>
                </c:pt>
              </c:numCache>
            </c:numRef>
          </c:val>
          <c:extLst>
            <c:ext xmlns:c16="http://schemas.microsoft.com/office/drawing/2014/chart" uri="{C3380CC4-5D6E-409C-BE32-E72D297353CC}">
              <c16:uniqueId val="{00000011-A7EF-48C2-A496-47EFFB2A0E4A}"/>
            </c:ext>
          </c:extLst>
        </c:ser>
        <c:ser>
          <c:idx val="4"/>
          <c:order val="4"/>
          <c:tx>
            <c:strRef>
              <c:f>Ventas_Ingresos!$A$88</c:f>
              <c:strCache>
                <c:ptCount val="1"/>
                <c:pt idx="0">
                  <c:v>Faldas</c:v>
                </c:pt>
              </c:strCache>
            </c:strRef>
          </c:tx>
          <c:spPr>
            <a:solidFill>
              <a:schemeClr val="accent3">
                <a:lumMod val="60000"/>
              </a:schemeClr>
            </a:solidFill>
            <a:ln>
              <a:solidFill>
                <a:schemeClr val="accent3">
                  <a:lumMod val="60000"/>
                  <a:lumMod val="75000"/>
                </a:schemeClr>
              </a:solidFill>
            </a:ln>
            <a:effectLst/>
            <a:scene3d>
              <a:camera prst="orthographicFront"/>
              <a:lightRig rig="threePt" dir="t"/>
            </a:scene3d>
            <a:sp3d prstMaterial="translucentPowder">
              <a:contourClr>
                <a:schemeClr val="accent3">
                  <a:lumMod val="60000"/>
                  <a:lumMod val="75000"/>
                </a:schemeClr>
              </a:contourClr>
            </a:sp3d>
          </c:spPr>
          <c:invertIfNegative val="0"/>
          <c:val>
            <c:numRef>
              <c:f>Ventas_Ingresos!$D$88</c:f>
              <c:numCache>
                <c:formatCode>#,##0</c:formatCode>
                <c:ptCount val="1"/>
                <c:pt idx="0">
                  <c:v>895.90313926655995</c:v>
                </c:pt>
              </c:numCache>
            </c:numRef>
          </c:val>
          <c:extLst>
            <c:ext xmlns:c16="http://schemas.microsoft.com/office/drawing/2014/chart" uri="{C3380CC4-5D6E-409C-BE32-E72D297353CC}">
              <c16:uniqueId val="{00000012-A7EF-48C2-A496-47EFFB2A0E4A}"/>
            </c:ext>
          </c:extLst>
        </c:ser>
        <c:ser>
          <c:idx val="5"/>
          <c:order val="5"/>
          <c:tx>
            <c:strRef>
              <c:f>Ventas_Ingresos!$A$89</c:f>
              <c:strCache>
                <c:ptCount val="1"/>
                <c:pt idx="0">
                  <c:v>Bolsas</c:v>
                </c:pt>
              </c:strCache>
            </c:strRef>
          </c:tx>
          <c:spPr>
            <a:solidFill>
              <a:schemeClr val="accent5">
                <a:lumMod val="60000"/>
              </a:schemeClr>
            </a:solidFill>
            <a:ln>
              <a:solidFill>
                <a:schemeClr val="accent5">
                  <a:lumMod val="60000"/>
                  <a:lumMod val="75000"/>
                </a:schemeClr>
              </a:solidFill>
            </a:ln>
            <a:effectLst/>
            <a:scene3d>
              <a:camera prst="orthographicFront"/>
              <a:lightRig rig="threePt" dir="t"/>
            </a:scene3d>
            <a:sp3d prstMaterial="translucentPowder">
              <a:contourClr>
                <a:schemeClr val="accent5">
                  <a:lumMod val="60000"/>
                  <a:lumMod val="75000"/>
                </a:schemeClr>
              </a:contourClr>
            </a:sp3d>
          </c:spPr>
          <c:invertIfNegative val="0"/>
          <c:val>
            <c:numRef>
              <c:f>Ventas_Ingresos!$D$89</c:f>
              <c:numCache>
                <c:formatCode>#,##0</c:formatCode>
                <c:ptCount val="1"/>
                <c:pt idx="0">
                  <c:v>895.90313926655995</c:v>
                </c:pt>
              </c:numCache>
            </c:numRef>
          </c:val>
          <c:extLst>
            <c:ext xmlns:c16="http://schemas.microsoft.com/office/drawing/2014/chart" uri="{C3380CC4-5D6E-409C-BE32-E72D297353CC}">
              <c16:uniqueId val="{00000013-A7EF-48C2-A496-47EFFB2A0E4A}"/>
            </c:ext>
          </c:extLst>
        </c:ser>
        <c:ser>
          <c:idx val="6"/>
          <c:order val="6"/>
          <c:tx>
            <c:strRef>
              <c:f>Ventas_Ingresos!$A$90</c:f>
              <c:strCache>
                <c:ptCount val="1"/>
                <c:pt idx="0">
                  <c:v>Cadenas</c:v>
                </c:pt>
              </c:strCache>
            </c:strRef>
          </c:tx>
          <c:spPr>
            <a:solidFill>
              <a:schemeClr val="accent1">
                <a:lumMod val="80000"/>
                <a:lumOff val="20000"/>
              </a:schemeClr>
            </a:solidFill>
            <a:ln>
              <a:solidFill>
                <a:schemeClr val="accent1">
                  <a:lumMod val="80000"/>
                  <a:lumOff val="20000"/>
                  <a:lumMod val="75000"/>
                </a:schemeClr>
              </a:solidFill>
            </a:ln>
            <a:effectLst/>
            <a:scene3d>
              <a:camera prst="orthographicFront"/>
              <a:lightRig rig="threePt" dir="t"/>
            </a:scene3d>
            <a:sp3d prstMaterial="translucentPowder">
              <a:contourClr>
                <a:schemeClr val="accent1">
                  <a:lumMod val="80000"/>
                  <a:lumOff val="20000"/>
                  <a:lumMod val="75000"/>
                </a:schemeClr>
              </a:contourClr>
            </a:sp3d>
          </c:spPr>
          <c:invertIfNegative val="0"/>
          <c:val>
            <c:numRef>
              <c:f>Ventas_Ingresos!$D$90</c:f>
              <c:numCache>
                <c:formatCode>#,##0</c:formatCode>
                <c:ptCount val="1"/>
                <c:pt idx="0">
                  <c:v>713.29867776000003</c:v>
                </c:pt>
              </c:numCache>
            </c:numRef>
          </c:val>
          <c:extLst>
            <c:ext xmlns:c16="http://schemas.microsoft.com/office/drawing/2014/chart" uri="{C3380CC4-5D6E-409C-BE32-E72D297353CC}">
              <c16:uniqueId val="{00000014-A7EF-48C2-A496-47EFFB2A0E4A}"/>
            </c:ext>
          </c:extLst>
        </c:ser>
        <c:dLbls>
          <c:showLegendKey val="0"/>
          <c:showVal val="0"/>
          <c:showCatName val="0"/>
          <c:showSerName val="0"/>
          <c:showPercent val="0"/>
          <c:showBubbleSize val="0"/>
        </c:dLbls>
        <c:gapWidth val="150"/>
        <c:shape val="box"/>
        <c:axId val="1217888431"/>
        <c:axId val="1217888847"/>
        <c:axId val="0"/>
      </c:bar3DChart>
      <c:catAx>
        <c:axId val="121788843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crossAx val="1217888847"/>
        <c:crosses val="autoZero"/>
        <c:auto val="1"/>
        <c:lblAlgn val="ctr"/>
        <c:lblOffset val="100"/>
        <c:noMultiLvlLbl val="0"/>
      </c:catAx>
      <c:valAx>
        <c:axId val="1217888847"/>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crossAx val="1217888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Ventas_Ingresos!$A$101</c:f>
              <c:strCache>
                <c:ptCount val="1"/>
                <c:pt idx="0">
                  <c:v>Camisas</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dPt>
            <c:idx val="0"/>
            <c:invertIfNegative val="0"/>
            <c:bubble3D val="0"/>
            <c:extLst>
              <c:ext xmlns:c16="http://schemas.microsoft.com/office/drawing/2014/chart" uri="{C3380CC4-5D6E-409C-BE32-E72D297353CC}">
                <c16:uniqueId val="{00000001-8BC0-4BB4-961D-CD34F0E7DD10}"/>
              </c:ext>
            </c:extLst>
          </c:dPt>
          <c:dPt>
            <c:idx val="1"/>
            <c:invertIfNegative val="0"/>
            <c:bubble3D val="0"/>
            <c:extLst>
              <c:ext xmlns:c16="http://schemas.microsoft.com/office/drawing/2014/chart" uri="{C3380CC4-5D6E-409C-BE32-E72D297353CC}">
                <c16:uniqueId val="{00000003-8BC0-4BB4-961D-CD34F0E7DD10}"/>
              </c:ext>
            </c:extLst>
          </c:dPt>
          <c:dPt>
            <c:idx val="2"/>
            <c:invertIfNegative val="0"/>
            <c:bubble3D val="0"/>
            <c:extLst>
              <c:ext xmlns:c16="http://schemas.microsoft.com/office/drawing/2014/chart" uri="{C3380CC4-5D6E-409C-BE32-E72D297353CC}">
                <c16:uniqueId val="{00000005-8BC0-4BB4-961D-CD34F0E7DD10}"/>
              </c:ext>
            </c:extLst>
          </c:dPt>
          <c:dPt>
            <c:idx val="3"/>
            <c:invertIfNegative val="0"/>
            <c:bubble3D val="0"/>
            <c:extLst>
              <c:ext xmlns:c16="http://schemas.microsoft.com/office/drawing/2014/chart" uri="{C3380CC4-5D6E-409C-BE32-E72D297353CC}">
                <c16:uniqueId val="{00000007-8BC0-4BB4-961D-CD34F0E7DD10}"/>
              </c:ext>
            </c:extLst>
          </c:dPt>
          <c:dPt>
            <c:idx val="4"/>
            <c:invertIfNegative val="0"/>
            <c:bubble3D val="0"/>
            <c:extLst>
              <c:ext xmlns:c16="http://schemas.microsoft.com/office/drawing/2014/chart" uri="{C3380CC4-5D6E-409C-BE32-E72D297353CC}">
                <c16:uniqueId val="{00000009-8BC0-4BB4-961D-CD34F0E7DD10}"/>
              </c:ext>
            </c:extLst>
          </c:dPt>
          <c:dPt>
            <c:idx val="5"/>
            <c:invertIfNegative val="0"/>
            <c:bubble3D val="0"/>
            <c:extLst>
              <c:ext xmlns:c16="http://schemas.microsoft.com/office/drawing/2014/chart" uri="{C3380CC4-5D6E-409C-BE32-E72D297353CC}">
                <c16:uniqueId val="{0000000B-8BC0-4BB4-961D-CD34F0E7DD10}"/>
              </c:ext>
            </c:extLst>
          </c:dPt>
          <c:dPt>
            <c:idx val="6"/>
            <c:invertIfNegative val="0"/>
            <c:bubble3D val="0"/>
            <c:extLst>
              <c:ext xmlns:c16="http://schemas.microsoft.com/office/drawing/2014/chart" uri="{C3380CC4-5D6E-409C-BE32-E72D297353CC}">
                <c16:uniqueId val="{0000000D-8BC0-4BB4-961D-CD34F0E7DD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HN"/>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Ventas_Ingresos!$D$101</c:f>
              <c:numCache>
                <c:formatCode>#,##0</c:formatCode>
                <c:ptCount val="1"/>
                <c:pt idx="0">
                  <c:v>1413.3194547060118</c:v>
                </c:pt>
              </c:numCache>
            </c:numRef>
          </c:val>
          <c:extLst>
            <c:ext xmlns:c16="http://schemas.microsoft.com/office/drawing/2014/chart" uri="{C3380CC4-5D6E-409C-BE32-E72D297353CC}">
              <c16:uniqueId val="{0000000E-8BC0-4BB4-961D-CD34F0E7DD10}"/>
            </c:ext>
          </c:extLst>
        </c:ser>
        <c:ser>
          <c:idx val="1"/>
          <c:order val="1"/>
          <c:tx>
            <c:strRef>
              <c:f>Ventas_Ingresos!$A$102</c:f>
              <c:strCache>
                <c:ptCount val="1"/>
                <c:pt idx="0">
                  <c:v>Pantalones</c:v>
                </c:pt>
              </c:strCache>
            </c:strRef>
          </c:tx>
          <c:spPr>
            <a:solidFill>
              <a:schemeClr val="accent3"/>
            </a:solidFill>
            <a:ln>
              <a:solidFill>
                <a:schemeClr val="accent3">
                  <a:lumMod val="75000"/>
                </a:schemeClr>
              </a:solidFill>
            </a:ln>
            <a:effectLst/>
            <a:scene3d>
              <a:camera prst="orthographicFront"/>
              <a:lightRig rig="threePt" dir="t"/>
            </a:scene3d>
            <a:sp3d prstMaterial="translucentPowder">
              <a:contourClr>
                <a:schemeClr val="accent3">
                  <a:lumMod val="75000"/>
                </a:schemeClr>
              </a:contourClr>
            </a:sp3d>
          </c:spPr>
          <c:invertIfNegative val="0"/>
          <c:val>
            <c:numRef>
              <c:f>Ventas_Ingresos!$D$102</c:f>
              <c:numCache>
                <c:formatCode>#,##0</c:formatCode>
                <c:ptCount val="1"/>
                <c:pt idx="0">
                  <c:v>1413.3194547060118</c:v>
                </c:pt>
              </c:numCache>
            </c:numRef>
          </c:val>
          <c:extLst>
            <c:ext xmlns:c16="http://schemas.microsoft.com/office/drawing/2014/chart" uri="{C3380CC4-5D6E-409C-BE32-E72D297353CC}">
              <c16:uniqueId val="{0000000F-2A6A-409F-9610-8AE88E2DB2FB}"/>
            </c:ext>
          </c:extLst>
        </c:ser>
        <c:ser>
          <c:idx val="2"/>
          <c:order val="2"/>
          <c:tx>
            <c:strRef>
              <c:f>Ventas_Ingresos!$A$103</c:f>
              <c:strCache>
                <c:ptCount val="1"/>
                <c:pt idx="0">
                  <c:v>Vestidos</c:v>
                </c:pt>
              </c:strCache>
            </c:strRef>
          </c:tx>
          <c:spPr>
            <a:solidFill>
              <a:schemeClr val="accent5"/>
            </a:solidFill>
            <a:ln>
              <a:solidFill>
                <a:schemeClr val="accent5">
                  <a:lumMod val="75000"/>
                </a:schemeClr>
              </a:solidFill>
            </a:ln>
            <a:effectLst/>
            <a:scene3d>
              <a:camera prst="orthographicFront"/>
              <a:lightRig rig="threePt" dir="t"/>
            </a:scene3d>
            <a:sp3d prstMaterial="translucentPowder">
              <a:contourClr>
                <a:schemeClr val="accent5">
                  <a:lumMod val="75000"/>
                </a:schemeClr>
              </a:contourClr>
            </a:sp3d>
          </c:spPr>
          <c:invertIfNegative val="0"/>
          <c:val>
            <c:numRef>
              <c:f>Ventas_Ingresos!$D$103</c:f>
              <c:numCache>
                <c:formatCode>#,##0</c:formatCode>
                <c:ptCount val="1"/>
                <c:pt idx="0">
                  <c:v>1413.3194547060118</c:v>
                </c:pt>
              </c:numCache>
            </c:numRef>
          </c:val>
          <c:extLst>
            <c:ext xmlns:c16="http://schemas.microsoft.com/office/drawing/2014/chart" uri="{C3380CC4-5D6E-409C-BE32-E72D297353CC}">
              <c16:uniqueId val="{00000010-2A6A-409F-9610-8AE88E2DB2FB}"/>
            </c:ext>
          </c:extLst>
        </c:ser>
        <c:ser>
          <c:idx val="3"/>
          <c:order val="3"/>
          <c:tx>
            <c:strRef>
              <c:f>Ventas_Ingresos!$A$104</c:f>
              <c:strCache>
                <c:ptCount val="1"/>
                <c:pt idx="0">
                  <c:v>Payamas</c:v>
                </c:pt>
              </c:strCache>
            </c:strRef>
          </c:tx>
          <c:spPr>
            <a:solidFill>
              <a:schemeClr val="accent1">
                <a:lumMod val="60000"/>
              </a:schemeClr>
            </a:solidFill>
            <a:ln>
              <a:solidFill>
                <a:schemeClr val="accent1">
                  <a:lumMod val="60000"/>
                  <a:lumMod val="75000"/>
                </a:schemeClr>
              </a:solidFill>
            </a:ln>
            <a:effectLst/>
            <a:scene3d>
              <a:camera prst="orthographicFront"/>
              <a:lightRig rig="threePt" dir="t"/>
            </a:scene3d>
            <a:sp3d prstMaterial="translucentPowder">
              <a:contourClr>
                <a:schemeClr val="accent1">
                  <a:lumMod val="60000"/>
                  <a:lumMod val="75000"/>
                </a:schemeClr>
              </a:contourClr>
            </a:sp3d>
          </c:spPr>
          <c:invertIfNegative val="0"/>
          <c:val>
            <c:numRef>
              <c:f>Ventas_Ingresos!$D$104</c:f>
              <c:numCache>
                <c:formatCode>#,##0</c:formatCode>
                <c:ptCount val="1"/>
                <c:pt idx="0">
                  <c:v>1125.2543429187995</c:v>
                </c:pt>
              </c:numCache>
            </c:numRef>
          </c:val>
          <c:extLst>
            <c:ext xmlns:c16="http://schemas.microsoft.com/office/drawing/2014/chart" uri="{C3380CC4-5D6E-409C-BE32-E72D297353CC}">
              <c16:uniqueId val="{00000011-2A6A-409F-9610-8AE88E2DB2FB}"/>
            </c:ext>
          </c:extLst>
        </c:ser>
        <c:ser>
          <c:idx val="4"/>
          <c:order val="4"/>
          <c:tx>
            <c:strRef>
              <c:f>Ventas_Ingresos!$A$105</c:f>
              <c:strCache>
                <c:ptCount val="1"/>
                <c:pt idx="0">
                  <c:v>Faldas</c:v>
                </c:pt>
              </c:strCache>
            </c:strRef>
          </c:tx>
          <c:spPr>
            <a:solidFill>
              <a:schemeClr val="accent3">
                <a:lumMod val="60000"/>
              </a:schemeClr>
            </a:solidFill>
            <a:ln>
              <a:solidFill>
                <a:schemeClr val="accent3">
                  <a:lumMod val="60000"/>
                  <a:lumMod val="75000"/>
                </a:schemeClr>
              </a:solidFill>
            </a:ln>
            <a:effectLst/>
            <a:scene3d>
              <a:camera prst="orthographicFront"/>
              <a:lightRig rig="threePt" dir="t"/>
            </a:scene3d>
            <a:sp3d prstMaterial="translucentPowder">
              <a:contourClr>
                <a:schemeClr val="accent3">
                  <a:lumMod val="60000"/>
                  <a:lumMod val="75000"/>
                </a:schemeClr>
              </a:contourClr>
            </a:sp3d>
          </c:spPr>
          <c:invertIfNegative val="0"/>
          <c:val>
            <c:numRef>
              <c:f>Ventas_Ingresos!$D$105</c:f>
              <c:numCache>
                <c:formatCode>#,##0</c:formatCode>
                <c:ptCount val="1"/>
                <c:pt idx="0">
                  <c:v>1125.2543429187995</c:v>
                </c:pt>
              </c:numCache>
            </c:numRef>
          </c:val>
          <c:extLst>
            <c:ext xmlns:c16="http://schemas.microsoft.com/office/drawing/2014/chart" uri="{C3380CC4-5D6E-409C-BE32-E72D297353CC}">
              <c16:uniqueId val="{00000012-2A6A-409F-9610-8AE88E2DB2FB}"/>
            </c:ext>
          </c:extLst>
        </c:ser>
        <c:ser>
          <c:idx val="5"/>
          <c:order val="5"/>
          <c:tx>
            <c:strRef>
              <c:f>Ventas_Ingresos!$A$106</c:f>
              <c:strCache>
                <c:ptCount val="1"/>
                <c:pt idx="0">
                  <c:v>Bolsas</c:v>
                </c:pt>
              </c:strCache>
            </c:strRef>
          </c:tx>
          <c:spPr>
            <a:solidFill>
              <a:schemeClr val="accent5">
                <a:lumMod val="60000"/>
              </a:schemeClr>
            </a:solidFill>
            <a:ln>
              <a:solidFill>
                <a:schemeClr val="accent5">
                  <a:lumMod val="60000"/>
                  <a:lumMod val="75000"/>
                </a:schemeClr>
              </a:solidFill>
            </a:ln>
            <a:effectLst/>
            <a:scene3d>
              <a:camera prst="orthographicFront"/>
              <a:lightRig rig="threePt" dir="t"/>
            </a:scene3d>
            <a:sp3d prstMaterial="translucentPowder">
              <a:contourClr>
                <a:schemeClr val="accent5">
                  <a:lumMod val="60000"/>
                  <a:lumMod val="75000"/>
                </a:schemeClr>
              </a:contourClr>
            </a:sp3d>
          </c:spPr>
          <c:invertIfNegative val="0"/>
          <c:val>
            <c:numRef>
              <c:f>Ventas_Ingresos!$D$106</c:f>
              <c:numCache>
                <c:formatCode>#,##0</c:formatCode>
                <c:ptCount val="1"/>
                <c:pt idx="0">
                  <c:v>1125.2543429187995</c:v>
                </c:pt>
              </c:numCache>
            </c:numRef>
          </c:val>
          <c:extLst>
            <c:ext xmlns:c16="http://schemas.microsoft.com/office/drawing/2014/chart" uri="{C3380CC4-5D6E-409C-BE32-E72D297353CC}">
              <c16:uniqueId val="{00000013-2A6A-409F-9610-8AE88E2DB2FB}"/>
            </c:ext>
          </c:extLst>
        </c:ser>
        <c:ser>
          <c:idx val="6"/>
          <c:order val="6"/>
          <c:tx>
            <c:strRef>
              <c:f>Ventas_Ingresos!$A$107</c:f>
              <c:strCache>
                <c:ptCount val="1"/>
                <c:pt idx="0">
                  <c:v>Cadenas</c:v>
                </c:pt>
              </c:strCache>
            </c:strRef>
          </c:tx>
          <c:spPr>
            <a:solidFill>
              <a:schemeClr val="accent1">
                <a:lumMod val="80000"/>
                <a:lumOff val="20000"/>
              </a:schemeClr>
            </a:solidFill>
            <a:ln>
              <a:solidFill>
                <a:schemeClr val="accent1">
                  <a:lumMod val="80000"/>
                  <a:lumOff val="20000"/>
                  <a:lumMod val="75000"/>
                </a:schemeClr>
              </a:solidFill>
            </a:ln>
            <a:effectLst/>
            <a:scene3d>
              <a:camera prst="orthographicFront"/>
              <a:lightRig rig="threePt" dir="t"/>
            </a:scene3d>
            <a:sp3d prstMaterial="translucentPowder">
              <a:contourClr>
                <a:schemeClr val="accent1">
                  <a:lumMod val="80000"/>
                  <a:lumOff val="20000"/>
                  <a:lumMod val="75000"/>
                </a:schemeClr>
              </a:contourClr>
            </a:sp3d>
          </c:spPr>
          <c:invertIfNegative val="0"/>
          <c:val>
            <c:numRef>
              <c:f>Ventas_Ingresos!$D$107</c:f>
              <c:numCache>
                <c:formatCode>#,##0</c:formatCode>
                <c:ptCount val="1"/>
                <c:pt idx="0">
                  <c:v>895.90313926655995</c:v>
                </c:pt>
              </c:numCache>
            </c:numRef>
          </c:val>
          <c:extLst>
            <c:ext xmlns:c16="http://schemas.microsoft.com/office/drawing/2014/chart" uri="{C3380CC4-5D6E-409C-BE32-E72D297353CC}">
              <c16:uniqueId val="{00000014-2A6A-409F-9610-8AE88E2DB2FB}"/>
            </c:ext>
          </c:extLst>
        </c:ser>
        <c:dLbls>
          <c:showLegendKey val="0"/>
          <c:showVal val="0"/>
          <c:showCatName val="0"/>
          <c:showSerName val="0"/>
          <c:showPercent val="0"/>
          <c:showBubbleSize val="0"/>
        </c:dLbls>
        <c:gapWidth val="150"/>
        <c:shape val="box"/>
        <c:axId val="1624675215"/>
        <c:axId val="1624679375"/>
        <c:axId val="0"/>
      </c:bar3DChart>
      <c:catAx>
        <c:axId val="162467521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crossAx val="1624679375"/>
        <c:crosses val="autoZero"/>
        <c:auto val="1"/>
        <c:lblAlgn val="ctr"/>
        <c:lblOffset val="100"/>
        <c:noMultiLvlLbl val="0"/>
      </c:catAx>
      <c:valAx>
        <c:axId val="1624679375"/>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crossAx val="1624675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Ventas_Ingresos!$A$118</c:f>
              <c:strCache>
                <c:ptCount val="1"/>
                <c:pt idx="0">
                  <c:v>Camisas</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dPt>
            <c:idx val="0"/>
            <c:invertIfNegative val="0"/>
            <c:bubble3D val="0"/>
            <c:extLst>
              <c:ext xmlns:c16="http://schemas.microsoft.com/office/drawing/2014/chart" uri="{C3380CC4-5D6E-409C-BE32-E72D297353CC}">
                <c16:uniqueId val="{00000001-4605-4E87-BD27-9A9AB709D883}"/>
              </c:ext>
            </c:extLst>
          </c:dPt>
          <c:dPt>
            <c:idx val="1"/>
            <c:invertIfNegative val="0"/>
            <c:bubble3D val="0"/>
            <c:extLst>
              <c:ext xmlns:c16="http://schemas.microsoft.com/office/drawing/2014/chart" uri="{C3380CC4-5D6E-409C-BE32-E72D297353CC}">
                <c16:uniqueId val="{00000003-4605-4E87-BD27-9A9AB709D883}"/>
              </c:ext>
            </c:extLst>
          </c:dPt>
          <c:dPt>
            <c:idx val="2"/>
            <c:invertIfNegative val="0"/>
            <c:bubble3D val="0"/>
            <c:extLst>
              <c:ext xmlns:c16="http://schemas.microsoft.com/office/drawing/2014/chart" uri="{C3380CC4-5D6E-409C-BE32-E72D297353CC}">
                <c16:uniqueId val="{00000005-4605-4E87-BD27-9A9AB709D883}"/>
              </c:ext>
            </c:extLst>
          </c:dPt>
          <c:dPt>
            <c:idx val="3"/>
            <c:invertIfNegative val="0"/>
            <c:bubble3D val="0"/>
            <c:extLst>
              <c:ext xmlns:c16="http://schemas.microsoft.com/office/drawing/2014/chart" uri="{C3380CC4-5D6E-409C-BE32-E72D297353CC}">
                <c16:uniqueId val="{00000007-4605-4E87-BD27-9A9AB709D883}"/>
              </c:ext>
            </c:extLst>
          </c:dPt>
          <c:dPt>
            <c:idx val="4"/>
            <c:invertIfNegative val="0"/>
            <c:bubble3D val="0"/>
            <c:extLst>
              <c:ext xmlns:c16="http://schemas.microsoft.com/office/drawing/2014/chart" uri="{C3380CC4-5D6E-409C-BE32-E72D297353CC}">
                <c16:uniqueId val="{00000009-4605-4E87-BD27-9A9AB709D883}"/>
              </c:ext>
            </c:extLst>
          </c:dPt>
          <c:dPt>
            <c:idx val="5"/>
            <c:invertIfNegative val="0"/>
            <c:bubble3D val="0"/>
            <c:extLst>
              <c:ext xmlns:c16="http://schemas.microsoft.com/office/drawing/2014/chart" uri="{C3380CC4-5D6E-409C-BE32-E72D297353CC}">
                <c16:uniqueId val="{0000000B-4605-4E87-BD27-9A9AB709D883}"/>
              </c:ext>
            </c:extLst>
          </c:dPt>
          <c:dPt>
            <c:idx val="6"/>
            <c:invertIfNegative val="0"/>
            <c:bubble3D val="0"/>
            <c:extLst>
              <c:ext xmlns:c16="http://schemas.microsoft.com/office/drawing/2014/chart" uri="{C3380CC4-5D6E-409C-BE32-E72D297353CC}">
                <c16:uniqueId val="{0000000D-4605-4E87-BD27-9A9AB709D8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HN"/>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Ventas_Ingresos!$D$118</c:f>
              <c:numCache>
                <c:formatCode>#,##0</c:formatCode>
                <c:ptCount val="1"/>
                <c:pt idx="0">
                  <c:v>1775.1292351107513</c:v>
                </c:pt>
              </c:numCache>
            </c:numRef>
          </c:val>
          <c:extLst>
            <c:ext xmlns:c16="http://schemas.microsoft.com/office/drawing/2014/chart" uri="{C3380CC4-5D6E-409C-BE32-E72D297353CC}">
              <c16:uniqueId val="{0000000E-4605-4E87-BD27-9A9AB709D883}"/>
            </c:ext>
          </c:extLst>
        </c:ser>
        <c:ser>
          <c:idx val="1"/>
          <c:order val="1"/>
          <c:tx>
            <c:strRef>
              <c:f>Ventas_Ingresos!$A$119</c:f>
              <c:strCache>
                <c:ptCount val="1"/>
                <c:pt idx="0">
                  <c:v>Pantalones</c:v>
                </c:pt>
              </c:strCache>
            </c:strRef>
          </c:tx>
          <c:spPr>
            <a:solidFill>
              <a:schemeClr val="accent3"/>
            </a:solidFill>
            <a:ln>
              <a:solidFill>
                <a:schemeClr val="accent3">
                  <a:lumMod val="75000"/>
                </a:schemeClr>
              </a:solidFill>
            </a:ln>
            <a:effectLst/>
            <a:scene3d>
              <a:camera prst="orthographicFront"/>
              <a:lightRig rig="threePt" dir="t"/>
            </a:scene3d>
            <a:sp3d prstMaterial="translucentPowder">
              <a:contourClr>
                <a:schemeClr val="accent3">
                  <a:lumMod val="75000"/>
                </a:schemeClr>
              </a:contourClr>
            </a:sp3d>
          </c:spPr>
          <c:invertIfNegative val="0"/>
          <c:val>
            <c:numRef>
              <c:f>Ventas_Ingresos!$D$119</c:f>
              <c:numCache>
                <c:formatCode>#,##0</c:formatCode>
                <c:ptCount val="1"/>
                <c:pt idx="0">
                  <c:v>1775.1292351107513</c:v>
                </c:pt>
              </c:numCache>
            </c:numRef>
          </c:val>
          <c:extLst>
            <c:ext xmlns:c16="http://schemas.microsoft.com/office/drawing/2014/chart" uri="{C3380CC4-5D6E-409C-BE32-E72D297353CC}">
              <c16:uniqueId val="{0000000F-82A7-4BB5-802B-5294ECB51F10}"/>
            </c:ext>
          </c:extLst>
        </c:ser>
        <c:ser>
          <c:idx val="2"/>
          <c:order val="2"/>
          <c:tx>
            <c:strRef>
              <c:f>Ventas_Ingresos!$A$120</c:f>
              <c:strCache>
                <c:ptCount val="1"/>
                <c:pt idx="0">
                  <c:v>Vestidos</c:v>
                </c:pt>
              </c:strCache>
            </c:strRef>
          </c:tx>
          <c:spPr>
            <a:solidFill>
              <a:schemeClr val="accent5"/>
            </a:solidFill>
            <a:ln>
              <a:solidFill>
                <a:schemeClr val="accent5">
                  <a:lumMod val="75000"/>
                </a:schemeClr>
              </a:solidFill>
            </a:ln>
            <a:effectLst/>
            <a:scene3d>
              <a:camera prst="orthographicFront"/>
              <a:lightRig rig="threePt" dir="t"/>
            </a:scene3d>
            <a:sp3d prstMaterial="translucentPowder">
              <a:contourClr>
                <a:schemeClr val="accent5">
                  <a:lumMod val="75000"/>
                </a:schemeClr>
              </a:contourClr>
            </a:sp3d>
          </c:spPr>
          <c:invertIfNegative val="0"/>
          <c:val>
            <c:numRef>
              <c:f>Ventas_Ingresos!$D$120</c:f>
              <c:numCache>
                <c:formatCode>#,##0</c:formatCode>
                <c:ptCount val="1"/>
                <c:pt idx="0">
                  <c:v>1775.1292351107513</c:v>
                </c:pt>
              </c:numCache>
            </c:numRef>
          </c:val>
          <c:extLst>
            <c:ext xmlns:c16="http://schemas.microsoft.com/office/drawing/2014/chart" uri="{C3380CC4-5D6E-409C-BE32-E72D297353CC}">
              <c16:uniqueId val="{00000010-82A7-4BB5-802B-5294ECB51F10}"/>
            </c:ext>
          </c:extLst>
        </c:ser>
        <c:ser>
          <c:idx val="3"/>
          <c:order val="3"/>
          <c:tx>
            <c:strRef>
              <c:f>Ventas_Ingresos!$A$121</c:f>
              <c:strCache>
                <c:ptCount val="1"/>
                <c:pt idx="0">
                  <c:v>Payamas</c:v>
                </c:pt>
              </c:strCache>
            </c:strRef>
          </c:tx>
          <c:spPr>
            <a:solidFill>
              <a:schemeClr val="accent1">
                <a:lumMod val="60000"/>
              </a:schemeClr>
            </a:solidFill>
            <a:ln>
              <a:solidFill>
                <a:schemeClr val="accent1">
                  <a:lumMod val="60000"/>
                  <a:lumMod val="75000"/>
                </a:schemeClr>
              </a:solidFill>
            </a:ln>
            <a:effectLst/>
            <a:scene3d>
              <a:camera prst="orthographicFront"/>
              <a:lightRig rig="threePt" dir="t"/>
            </a:scene3d>
            <a:sp3d prstMaterial="translucentPowder">
              <a:contourClr>
                <a:schemeClr val="accent1">
                  <a:lumMod val="60000"/>
                  <a:lumMod val="75000"/>
                </a:schemeClr>
              </a:contourClr>
            </a:sp3d>
          </c:spPr>
          <c:invertIfNegative val="0"/>
          <c:val>
            <c:numRef>
              <c:f>Ventas_Ingresos!$D$121</c:f>
              <c:numCache>
                <c:formatCode>#,##0</c:formatCode>
                <c:ptCount val="1"/>
                <c:pt idx="0">
                  <c:v>1413.3194547060118</c:v>
                </c:pt>
              </c:numCache>
            </c:numRef>
          </c:val>
          <c:extLst>
            <c:ext xmlns:c16="http://schemas.microsoft.com/office/drawing/2014/chart" uri="{C3380CC4-5D6E-409C-BE32-E72D297353CC}">
              <c16:uniqueId val="{00000011-82A7-4BB5-802B-5294ECB51F10}"/>
            </c:ext>
          </c:extLst>
        </c:ser>
        <c:ser>
          <c:idx val="4"/>
          <c:order val="4"/>
          <c:tx>
            <c:strRef>
              <c:f>Ventas_Ingresos!$A$122</c:f>
              <c:strCache>
                <c:ptCount val="1"/>
                <c:pt idx="0">
                  <c:v>Faldas</c:v>
                </c:pt>
              </c:strCache>
            </c:strRef>
          </c:tx>
          <c:spPr>
            <a:solidFill>
              <a:schemeClr val="accent3">
                <a:lumMod val="60000"/>
              </a:schemeClr>
            </a:solidFill>
            <a:ln>
              <a:solidFill>
                <a:schemeClr val="accent3">
                  <a:lumMod val="60000"/>
                  <a:lumMod val="75000"/>
                </a:schemeClr>
              </a:solidFill>
            </a:ln>
            <a:effectLst/>
            <a:scene3d>
              <a:camera prst="orthographicFront"/>
              <a:lightRig rig="threePt" dir="t"/>
            </a:scene3d>
            <a:sp3d prstMaterial="translucentPowder">
              <a:contourClr>
                <a:schemeClr val="accent3">
                  <a:lumMod val="60000"/>
                  <a:lumMod val="75000"/>
                </a:schemeClr>
              </a:contourClr>
            </a:sp3d>
          </c:spPr>
          <c:invertIfNegative val="0"/>
          <c:val>
            <c:numRef>
              <c:f>Ventas_Ingresos!$D$122</c:f>
              <c:numCache>
                <c:formatCode>#,##0</c:formatCode>
                <c:ptCount val="1"/>
                <c:pt idx="0">
                  <c:v>1413.3194547060118</c:v>
                </c:pt>
              </c:numCache>
            </c:numRef>
          </c:val>
          <c:extLst>
            <c:ext xmlns:c16="http://schemas.microsoft.com/office/drawing/2014/chart" uri="{C3380CC4-5D6E-409C-BE32-E72D297353CC}">
              <c16:uniqueId val="{00000012-82A7-4BB5-802B-5294ECB51F10}"/>
            </c:ext>
          </c:extLst>
        </c:ser>
        <c:ser>
          <c:idx val="5"/>
          <c:order val="5"/>
          <c:tx>
            <c:strRef>
              <c:f>Ventas_Ingresos!$A$123</c:f>
              <c:strCache>
                <c:ptCount val="1"/>
                <c:pt idx="0">
                  <c:v>Bolsas</c:v>
                </c:pt>
              </c:strCache>
            </c:strRef>
          </c:tx>
          <c:spPr>
            <a:solidFill>
              <a:schemeClr val="accent5">
                <a:lumMod val="60000"/>
              </a:schemeClr>
            </a:solidFill>
            <a:ln>
              <a:solidFill>
                <a:schemeClr val="accent5">
                  <a:lumMod val="60000"/>
                  <a:lumMod val="75000"/>
                </a:schemeClr>
              </a:solidFill>
            </a:ln>
            <a:effectLst/>
            <a:scene3d>
              <a:camera prst="orthographicFront"/>
              <a:lightRig rig="threePt" dir="t"/>
            </a:scene3d>
            <a:sp3d prstMaterial="translucentPowder">
              <a:contourClr>
                <a:schemeClr val="accent5">
                  <a:lumMod val="60000"/>
                  <a:lumMod val="75000"/>
                </a:schemeClr>
              </a:contourClr>
            </a:sp3d>
          </c:spPr>
          <c:invertIfNegative val="0"/>
          <c:val>
            <c:numRef>
              <c:f>Ventas_Ingresos!$D$123</c:f>
              <c:numCache>
                <c:formatCode>#,##0</c:formatCode>
                <c:ptCount val="1"/>
                <c:pt idx="0">
                  <c:v>1413.3194547060118</c:v>
                </c:pt>
              </c:numCache>
            </c:numRef>
          </c:val>
          <c:extLst>
            <c:ext xmlns:c16="http://schemas.microsoft.com/office/drawing/2014/chart" uri="{C3380CC4-5D6E-409C-BE32-E72D297353CC}">
              <c16:uniqueId val="{00000013-82A7-4BB5-802B-5294ECB51F10}"/>
            </c:ext>
          </c:extLst>
        </c:ser>
        <c:ser>
          <c:idx val="6"/>
          <c:order val="6"/>
          <c:tx>
            <c:strRef>
              <c:f>Ventas_Ingresos!$A$124</c:f>
              <c:strCache>
                <c:ptCount val="1"/>
                <c:pt idx="0">
                  <c:v>Cadenas</c:v>
                </c:pt>
              </c:strCache>
            </c:strRef>
          </c:tx>
          <c:spPr>
            <a:solidFill>
              <a:schemeClr val="accent1">
                <a:lumMod val="80000"/>
                <a:lumOff val="20000"/>
              </a:schemeClr>
            </a:solidFill>
            <a:ln>
              <a:solidFill>
                <a:schemeClr val="accent1">
                  <a:lumMod val="80000"/>
                  <a:lumOff val="20000"/>
                  <a:lumMod val="75000"/>
                </a:schemeClr>
              </a:solidFill>
            </a:ln>
            <a:effectLst/>
            <a:scene3d>
              <a:camera prst="orthographicFront"/>
              <a:lightRig rig="threePt" dir="t"/>
            </a:scene3d>
            <a:sp3d prstMaterial="translucentPowder">
              <a:contourClr>
                <a:schemeClr val="accent1">
                  <a:lumMod val="80000"/>
                  <a:lumOff val="20000"/>
                  <a:lumMod val="75000"/>
                </a:schemeClr>
              </a:contourClr>
            </a:sp3d>
          </c:spPr>
          <c:invertIfNegative val="0"/>
          <c:val>
            <c:numRef>
              <c:f>Ventas_Ingresos!$D$124</c:f>
              <c:numCache>
                <c:formatCode>#,##0</c:formatCode>
                <c:ptCount val="1"/>
                <c:pt idx="0">
                  <c:v>1125.2543429187995</c:v>
                </c:pt>
              </c:numCache>
            </c:numRef>
          </c:val>
          <c:extLst>
            <c:ext xmlns:c16="http://schemas.microsoft.com/office/drawing/2014/chart" uri="{C3380CC4-5D6E-409C-BE32-E72D297353CC}">
              <c16:uniqueId val="{00000014-82A7-4BB5-802B-5294ECB51F10}"/>
            </c:ext>
          </c:extLst>
        </c:ser>
        <c:dLbls>
          <c:showLegendKey val="0"/>
          <c:showVal val="0"/>
          <c:showCatName val="0"/>
          <c:showSerName val="0"/>
          <c:showPercent val="0"/>
          <c:showBubbleSize val="0"/>
        </c:dLbls>
        <c:gapWidth val="150"/>
        <c:shape val="box"/>
        <c:axId val="1624666063"/>
        <c:axId val="1624657743"/>
        <c:axId val="0"/>
      </c:bar3DChart>
      <c:catAx>
        <c:axId val="162466606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crossAx val="1624657743"/>
        <c:crosses val="autoZero"/>
        <c:auto val="1"/>
        <c:lblAlgn val="ctr"/>
        <c:lblOffset val="100"/>
        <c:noMultiLvlLbl val="0"/>
      </c:catAx>
      <c:valAx>
        <c:axId val="1624657743"/>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crossAx val="1624666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Ventas_Ingresos!$A$135</c:f>
              <c:strCache>
                <c:ptCount val="1"/>
                <c:pt idx="0">
                  <c:v>Camisas</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dPt>
            <c:idx val="0"/>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1-2742-47C6-9E6F-F6249AAC55AE}"/>
              </c:ext>
            </c:extLst>
          </c:dPt>
          <c:dPt>
            <c:idx val="1"/>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3-2742-47C6-9E6F-F6249AAC55AE}"/>
              </c:ext>
            </c:extLst>
          </c:dPt>
          <c:dPt>
            <c:idx val="2"/>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5-2742-47C6-9E6F-F6249AAC55AE}"/>
              </c:ext>
            </c:extLst>
          </c:dPt>
          <c:dPt>
            <c:idx val="3"/>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7-2742-47C6-9E6F-F6249AAC55AE}"/>
              </c:ext>
            </c:extLst>
          </c:dPt>
          <c:dPt>
            <c:idx val="4"/>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9-2742-47C6-9E6F-F6249AAC55AE}"/>
              </c:ext>
            </c:extLst>
          </c:dPt>
          <c:dPt>
            <c:idx val="5"/>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B-2742-47C6-9E6F-F6249AAC55AE}"/>
              </c:ext>
            </c:extLst>
          </c:dPt>
          <c:dPt>
            <c:idx val="6"/>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D-2742-47C6-9E6F-F6249AAC55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HN"/>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Ventas_Ingresos!$D$135</c:f>
              <c:numCache>
                <c:formatCode>#,##0</c:formatCode>
                <c:ptCount val="1"/>
                <c:pt idx="0">
                  <c:v>2229.5623192991034</c:v>
                </c:pt>
              </c:numCache>
            </c:numRef>
          </c:val>
          <c:extLst>
            <c:ext xmlns:c16="http://schemas.microsoft.com/office/drawing/2014/chart" uri="{C3380CC4-5D6E-409C-BE32-E72D297353CC}">
              <c16:uniqueId val="{0000000E-2742-47C6-9E6F-F6249AAC55AE}"/>
            </c:ext>
          </c:extLst>
        </c:ser>
        <c:ser>
          <c:idx val="1"/>
          <c:order val="1"/>
          <c:tx>
            <c:strRef>
              <c:f>Ventas_Ingresos!$A$136</c:f>
              <c:strCache>
                <c:ptCount val="1"/>
                <c:pt idx="0">
                  <c:v>Pantalones</c:v>
                </c:pt>
              </c:strCache>
            </c:strRef>
          </c:tx>
          <c:spPr>
            <a:solidFill>
              <a:schemeClr val="accent3"/>
            </a:solidFill>
            <a:ln>
              <a:solidFill>
                <a:schemeClr val="accent3">
                  <a:lumMod val="75000"/>
                </a:schemeClr>
              </a:solidFill>
            </a:ln>
            <a:effectLst/>
            <a:scene3d>
              <a:camera prst="orthographicFront"/>
              <a:lightRig rig="threePt" dir="t"/>
            </a:scene3d>
            <a:sp3d prstMaterial="translucentPowder">
              <a:contourClr>
                <a:schemeClr val="accent3">
                  <a:lumMod val="75000"/>
                </a:schemeClr>
              </a:contourClr>
            </a:sp3d>
          </c:spPr>
          <c:invertIfNegative val="0"/>
          <c:val>
            <c:numRef>
              <c:f>Ventas_Ingresos!$D$136</c:f>
              <c:numCache>
                <c:formatCode>#,##0</c:formatCode>
                <c:ptCount val="1"/>
                <c:pt idx="0">
                  <c:v>2229.5623192991034</c:v>
                </c:pt>
              </c:numCache>
            </c:numRef>
          </c:val>
          <c:extLst>
            <c:ext xmlns:c16="http://schemas.microsoft.com/office/drawing/2014/chart" uri="{C3380CC4-5D6E-409C-BE32-E72D297353CC}">
              <c16:uniqueId val="{0000000F-87A2-491D-B19C-60EA739F05BD}"/>
            </c:ext>
          </c:extLst>
        </c:ser>
        <c:ser>
          <c:idx val="2"/>
          <c:order val="2"/>
          <c:tx>
            <c:strRef>
              <c:f>Ventas_Ingresos!$A$137</c:f>
              <c:strCache>
                <c:ptCount val="1"/>
                <c:pt idx="0">
                  <c:v>Vestidos</c:v>
                </c:pt>
              </c:strCache>
            </c:strRef>
          </c:tx>
          <c:spPr>
            <a:solidFill>
              <a:schemeClr val="accent5"/>
            </a:solidFill>
            <a:ln>
              <a:solidFill>
                <a:schemeClr val="accent5">
                  <a:lumMod val="75000"/>
                </a:schemeClr>
              </a:solidFill>
            </a:ln>
            <a:effectLst/>
            <a:scene3d>
              <a:camera prst="orthographicFront"/>
              <a:lightRig rig="threePt" dir="t"/>
            </a:scene3d>
            <a:sp3d prstMaterial="translucentPowder">
              <a:contourClr>
                <a:schemeClr val="accent5">
                  <a:lumMod val="75000"/>
                </a:schemeClr>
              </a:contourClr>
            </a:sp3d>
          </c:spPr>
          <c:invertIfNegative val="0"/>
          <c:val>
            <c:numRef>
              <c:f>Ventas_Ingresos!$D$137</c:f>
              <c:numCache>
                <c:formatCode>#,##0</c:formatCode>
                <c:ptCount val="1"/>
                <c:pt idx="0">
                  <c:v>2229.5623192991034</c:v>
                </c:pt>
              </c:numCache>
            </c:numRef>
          </c:val>
          <c:extLst>
            <c:ext xmlns:c16="http://schemas.microsoft.com/office/drawing/2014/chart" uri="{C3380CC4-5D6E-409C-BE32-E72D297353CC}">
              <c16:uniqueId val="{00000010-87A2-491D-B19C-60EA739F05BD}"/>
            </c:ext>
          </c:extLst>
        </c:ser>
        <c:ser>
          <c:idx val="3"/>
          <c:order val="3"/>
          <c:tx>
            <c:strRef>
              <c:f>Ventas_Ingresos!$A$138</c:f>
              <c:strCache>
                <c:ptCount val="1"/>
                <c:pt idx="0">
                  <c:v>Payamas</c:v>
                </c:pt>
              </c:strCache>
            </c:strRef>
          </c:tx>
          <c:spPr>
            <a:solidFill>
              <a:schemeClr val="accent1">
                <a:lumMod val="60000"/>
              </a:schemeClr>
            </a:solidFill>
            <a:ln>
              <a:solidFill>
                <a:schemeClr val="accent1">
                  <a:lumMod val="60000"/>
                  <a:lumMod val="75000"/>
                </a:schemeClr>
              </a:solidFill>
            </a:ln>
            <a:effectLst/>
            <a:scene3d>
              <a:camera prst="orthographicFront"/>
              <a:lightRig rig="threePt" dir="t"/>
            </a:scene3d>
            <a:sp3d prstMaterial="translucentPowder">
              <a:contourClr>
                <a:schemeClr val="accent1">
                  <a:lumMod val="60000"/>
                  <a:lumMod val="75000"/>
                </a:schemeClr>
              </a:contourClr>
            </a:sp3d>
          </c:spPr>
          <c:invertIfNegative val="0"/>
          <c:val>
            <c:numRef>
              <c:f>Ventas_Ingresos!$D$138</c:f>
              <c:numCache>
                <c:formatCode>#,##0</c:formatCode>
                <c:ptCount val="1"/>
                <c:pt idx="0">
                  <c:v>1775.1292351107513</c:v>
                </c:pt>
              </c:numCache>
            </c:numRef>
          </c:val>
          <c:extLst>
            <c:ext xmlns:c16="http://schemas.microsoft.com/office/drawing/2014/chart" uri="{C3380CC4-5D6E-409C-BE32-E72D297353CC}">
              <c16:uniqueId val="{00000011-87A2-491D-B19C-60EA739F05BD}"/>
            </c:ext>
          </c:extLst>
        </c:ser>
        <c:ser>
          <c:idx val="4"/>
          <c:order val="4"/>
          <c:tx>
            <c:strRef>
              <c:f>Ventas_Ingresos!$A$139</c:f>
              <c:strCache>
                <c:ptCount val="1"/>
                <c:pt idx="0">
                  <c:v>Faldas</c:v>
                </c:pt>
              </c:strCache>
            </c:strRef>
          </c:tx>
          <c:spPr>
            <a:solidFill>
              <a:schemeClr val="accent3">
                <a:lumMod val="60000"/>
              </a:schemeClr>
            </a:solidFill>
            <a:ln>
              <a:solidFill>
                <a:schemeClr val="accent3">
                  <a:lumMod val="60000"/>
                  <a:lumMod val="75000"/>
                </a:schemeClr>
              </a:solidFill>
            </a:ln>
            <a:effectLst/>
            <a:scene3d>
              <a:camera prst="orthographicFront"/>
              <a:lightRig rig="threePt" dir="t"/>
            </a:scene3d>
            <a:sp3d prstMaterial="translucentPowder">
              <a:contourClr>
                <a:schemeClr val="accent3">
                  <a:lumMod val="60000"/>
                  <a:lumMod val="75000"/>
                </a:schemeClr>
              </a:contourClr>
            </a:sp3d>
          </c:spPr>
          <c:invertIfNegative val="0"/>
          <c:val>
            <c:numRef>
              <c:f>Ventas_Ingresos!$D$139</c:f>
              <c:numCache>
                <c:formatCode>#,##0</c:formatCode>
                <c:ptCount val="1"/>
                <c:pt idx="0">
                  <c:v>1775.1292351107513</c:v>
                </c:pt>
              </c:numCache>
            </c:numRef>
          </c:val>
          <c:extLst>
            <c:ext xmlns:c16="http://schemas.microsoft.com/office/drawing/2014/chart" uri="{C3380CC4-5D6E-409C-BE32-E72D297353CC}">
              <c16:uniqueId val="{00000012-87A2-491D-B19C-60EA739F05BD}"/>
            </c:ext>
          </c:extLst>
        </c:ser>
        <c:ser>
          <c:idx val="5"/>
          <c:order val="5"/>
          <c:tx>
            <c:strRef>
              <c:f>Ventas_Ingresos!$A$140</c:f>
              <c:strCache>
                <c:ptCount val="1"/>
                <c:pt idx="0">
                  <c:v>Bolsas</c:v>
                </c:pt>
              </c:strCache>
            </c:strRef>
          </c:tx>
          <c:spPr>
            <a:solidFill>
              <a:schemeClr val="accent5">
                <a:lumMod val="60000"/>
              </a:schemeClr>
            </a:solidFill>
            <a:ln>
              <a:solidFill>
                <a:schemeClr val="accent5">
                  <a:lumMod val="60000"/>
                  <a:lumMod val="75000"/>
                </a:schemeClr>
              </a:solidFill>
            </a:ln>
            <a:effectLst/>
            <a:scene3d>
              <a:camera prst="orthographicFront"/>
              <a:lightRig rig="threePt" dir="t"/>
            </a:scene3d>
            <a:sp3d prstMaterial="translucentPowder">
              <a:contourClr>
                <a:schemeClr val="accent5">
                  <a:lumMod val="60000"/>
                  <a:lumMod val="75000"/>
                </a:schemeClr>
              </a:contourClr>
            </a:sp3d>
          </c:spPr>
          <c:invertIfNegative val="0"/>
          <c:val>
            <c:numRef>
              <c:f>Ventas_Ingresos!$D$140</c:f>
              <c:numCache>
                <c:formatCode>#,##0</c:formatCode>
                <c:ptCount val="1"/>
                <c:pt idx="0">
                  <c:v>1775.1292351107513</c:v>
                </c:pt>
              </c:numCache>
            </c:numRef>
          </c:val>
          <c:extLst>
            <c:ext xmlns:c16="http://schemas.microsoft.com/office/drawing/2014/chart" uri="{C3380CC4-5D6E-409C-BE32-E72D297353CC}">
              <c16:uniqueId val="{00000013-87A2-491D-B19C-60EA739F05BD}"/>
            </c:ext>
          </c:extLst>
        </c:ser>
        <c:ser>
          <c:idx val="6"/>
          <c:order val="6"/>
          <c:tx>
            <c:strRef>
              <c:f>Ventas_Ingresos!$A$141</c:f>
              <c:strCache>
                <c:ptCount val="1"/>
                <c:pt idx="0">
                  <c:v>Cadenas</c:v>
                </c:pt>
              </c:strCache>
            </c:strRef>
          </c:tx>
          <c:spPr>
            <a:solidFill>
              <a:schemeClr val="accent1">
                <a:lumMod val="80000"/>
                <a:lumOff val="20000"/>
              </a:schemeClr>
            </a:solidFill>
            <a:ln>
              <a:solidFill>
                <a:schemeClr val="accent1">
                  <a:lumMod val="80000"/>
                  <a:lumOff val="20000"/>
                  <a:lumMod val="75000"/>
                </a:schemeClr>
              </a:solidFill>
            </a:ln>
            <a:effectLst/>
            <a:scene3d>
              <a:camera prst="orthographicFront"/>
              <a:lightRig rig="threePt" dir="t"/>
            </a:scene3d>
            <a:sp3d prstMaterial="translucentPowder">
              <a:contourClr>
                <a:schemeClr val="accent1">
                  <a:lumMod val="80000"/>
                  <a:lumOff val="20000"/>
                  <a:lumMod val="75000"/>
                </a:schemeClr>
              </a:contourClr>
            </a:sp3d>
          </c:spPr>
          <c:invertIfNegative val="0"/>
          <c:val>
            <c:numRef>
              <c:f>Ventas_Ingresos!$D$141</c:f>
              <c:numCache>
                <c:formatCode>#,##0</c:formatCode>
                <c:ptCount val="1"/>
                <c:pt idx="0">
                  <c:v>1413.3194547060118</c:v>
                </c:pt>
              </c:numCache>
            </c:numRef>
          </c:val>
          <c:extLst>
            <c:ext xmlns:c16="http://schemas.microsoft.com/office/drawing/2014/chart" uri="{C3380CC4-5D6E-409C-BE32-E72D297353CC}">
              <c16:uniqueId val="{00000014-87A2-491D-B19C-60EA739F05BD}"/>
            </c:ext>
          </c:extLst>
        </c:ser>
        <c:dLbls>
          <c:showLegendKey val="0"/>
          <c:showVal val="0"/>
          <c:showCatName val="0"/>
          <c:showSerName val="0"/>
          <c:showPercent val="0"/>
          <c:showBubbleSize val="0"/>
        </c:dLbls>
        <c:gapWidth val="150"/>
        <c:shape val="box"/>
        <c:axId val="1624665647"/>
        <c:axId val="1624674383"/>
        <c:axId val="0"/>
      </c:bar3DChart>
      <c:catAx>
        <c:axId val="162466564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crossAx val="1624674383"/>
        <c:crosses val="autoZero"/>
        <c:auto val="1"/>
        <c:lblAlgn val="ctr"/>
        <c:lblOffset val="100"/>
        <c:noMultiLvlLbl val="0"/>
      </c:catAx>
      <c:valAx>
        <c:axId val="1624674383"/>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crossAx val="1624665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Ventas_Ingresos!$A$152</c:f>
              <c:strCache>
                <c:ptCount val="1"/>
                <c:pt idx="0">
                  <c:v>Camisas</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dPt>
            <c:idx val="0"/>
            <c:invertIfNegative val="0"/>
            <c:bubble3D val="0"/>
            <c:extLst>
              <c:ext xmlns:c16="http://schemas.microsoft.com/office/drawing/2014/chart" uri="{C3380CC4-5D6E-409C-BE32-E72D297353CC}">
                <c16:uniqueId val="{00000001-F77A-428B-95D2-EAF0620B2000}"/>
              </c:ext>
            </c:extLst>
          </c:dPt>
          <c:dPt>
            <c:idx val="1"/>
            <c:invertIfNegative val="0"/>
            <c:bubble3D val="0"/>
            <c:extLst>
              <c:ext xmlns:c16="http://schemas.microsoft.com/office/drawing/2014/chart" uri="{C3380CC4-5D6E-409C-BE32-E72D297353CC}">
                <c16:uniqueId val="{00000003-F77A-428B-95D2-EAF0620B2000}"/>
              </c:ext>
            </c:extLst>
          </c:dPt>
          <c:dPt>
            <c:idx val="2"/>
            <c:invertIfNegative val="0"/>
            <c:bubble3D val="0"/>
            <c:extLst>
              <c:ext xmlns:c16="http://schemas.microsoft.com/office/drawing/2014/chart" uri="{C3380CC4-5D6E-409C-BE32-E72D297353CC}">
                <c16:uniqueId val="{00000005-F77A-428B-95D2-EAF0620B2000}"/>
              </c:ext>
            </c:extLst>
          </c:dPt>
          <c:dPt>
            <c:idx val="3"/>
            <c:invertIfNegative val="0"/>
            <c:bubble3D val="0"/>
            <c:extLst>
              <c:ext xmlns:c16="http://schemas.microsoft.com/office/drawing/2014/chart" uri="{C3380CC4-5D6E-409C-BE32-E72D297353CC}">
                <c16:uniqueId val="{00000007-F77A-428B-95D2-EAF0620B2000}"/>
              </c:ext>
            </c:extLst>
          </c:dPt>
          <c:dPt>
            <c:idx val="4"/>
            <c:invertIfNegative val="0"/>
            <c:bubble3D val="0"/>
            <c:extLst>
              <c:ext xmlns:c16="http://schemas.microsoft.com/office/drawing/2014/chart" uri="{C3380CC4-5D6E-409C-BE32-E72D297353CC}">
                <c16:uniqueId val="{00000009-F77A-428B-95D2-EAF0620B2000}"/>
              </c:ext>
            </c:extLst>
          </c:dPt>
          <c:dPt>
            <c:idx val="5"/>
            <c:invertIfNegative val="0"/>
            <c:bubble3D val="0"/>
            <c:extLst>
              <c:ext xmlns:c16="http://schemas.microsoft.com/office/drawing/2014/chart" uri="{C3380CC4-5D6E-409C-BE32-E72D297353CC}">
                <c16:uniqueId val="{0000000B-F77A-428B-95D2-EAF0620B2000}"/>
              </c:ext>
            </c:extLst>
          </c:dPt>
          <c:dPt>
            <c:idx val="6"/>
            <c:invertIfNegative val="0"/>
            <c:bubble3D val="0"/>
            <c:extLst>
              <c:ext xmlns:c16="http://schemas.microsoft.com/office/drawing/2014/chart" uri="{C3380CC4-5D6E-409C-BE32-E72D297353CC}">
                <c16:uniqueId val="{0000000D-F77A-428B-95D2-EAF0620B20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HN"/>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Ventas_Ingresos!$D$152</c:f>
              <c:numCache>
                <c:formatCode>#,##0</c:formatCode>
                <c:ptCount val="1"/>
                <c:pt idx="0">
                  <c:v>2800.3302730396736</c:v>
                </c:pt>
              </c:numCache>
            </c:numRef>
          </c:val>
          <c:extLst>
            <c:ext xmlns:c16="http://schemas.microsoft.com/office/drawing/2014/chart" uri="{C3380CC4-5D6E-409C-BE32-E72D297353CC}">
              <c16:uniqueId val="{0000000E-F77A-428B-95D2-EAF0620B2000}"/>
            </c:ext>
          </c:extLst>
        </c:ser>
        <c:ser>
          <c:idx val="1"/>
          <c:order val="1"/>
          <c:tx>
            <c:strRef>
              <c:f>Ventas_Ingresos!$A$153</c:f>
              <c:strCache>
                <c:ptCount val="1"/>
                <c:pt idx="0">
                  <c:v>Pantalones</c:v>
                </c:pt>
              </c:strCache>
            </c:strRef>
          </c:tx>
          <c:spPr>
            <a:solidFill>
              <a:schemeClr val="accent3"/>
            </a:solidFill>
            <a:ln>
              <a:solidFill>
                <a:schemeClr val="accent3">
                  <a:lumMod val="75000"/>
                </a:schemeClr>
              </a:solidFill>
            </a:ln>
            <a:effectLst/>
            <a:scene3d>
              <a:camera prst="orthographicFront"/>
              <a:lightRig rig="threePt" dir="t"/>
            </a:scene3d>
            <a:sp3d prstMaterial="translucentPowder">
              <a:contourClr>
                <a:schemeClr val="accent3">
                  <a:lumMod val="75000"/>
                </a:schemeClr>
              </a:contourClr>
            </a:sp3d>
          </c:spPr>
          <c:invertIfNegative val="0"/>
          <c:val>
            <c:numRef>
              <c:f>Ventas_Ingresos!$D$153</c:f>
              <c:numCache>
                <c:formatCode>#,##0</c:formatCode>
                <c:ptCount val="1"/>
                <c:pt idx="0">
                  <c:v>2800.3302730396736</c:v>
                </c:pt>
              </c:numCache>
            </c:numRef>
          </c:val>
          <c:extLst>
            <c:ext xmlns:c16="http://schemas.microsoft.com/office/drawing/2014/chart" uri="{C3380CC4-5D6E-409C-BE32-E72D297353CC}">
              <c16:uniqueId val="{0000000F-67F3-4ED1-853B-C3EA7A6EDC34}"/>
            </c:ext>
          </c:extLst>
        </c:ser>
        <c:ser>
          <c:idx val="2"/>
          <c:order val="2"/>
          <c:tx>
            <c:strRef>
              <c:f>Ventas_Ingresos!$A$154</c:f>
              <c:strCache>
                <c:ptCount val="1"/>
                <c:pt idx="0">
                  <c:v>Vestidos</c:v>
                </c:pt>
              </c:strCache>
            </c:strRef>
          </c:tx>
          <c:spPr>
            <a:solidFill>
              <a:schemeClr val="accent5"/>
            </a:solidFill>
            <a:ln>
              <a:solidFill>
                <a:schemeClr val="accent5">
                  <a:lumMod val="75000"/>
                </a:schemeClr>
              </a:solidFill>
            </a:ln>
            <a:effectLst/>
            <a:scene3d>
              <a:camera prst="orthographicFront"/>
              <a:lightRig rig="threePt" dir="t"/>
            </a:scene3d>
            <a:sp3d prstMaterial="translucentPowder">
              <a:contourClr>
                <a:schemeClr val="accent5">
                  <a:lumMod val="75000"/>
                </a:schemeClr>
              </a:contourClr>
            </a:sp3d>
          </c:spPr>
          <c:invertIfNegative val="0"/>
          <c:val>
            <c:numRef>
              <c:f>Ventas_Ingresos!$D$154</c:f>
              <c:numCache>
                <c:formatCode>#,##0</c:formatCode>
                <c:ptCount val="1"/>
                <c:pt idx="0">
                  <c:v>2800.3302730396736</c:v>
                </c:pt>
              </c:numCache>
            </c:numRef>
          </c:val>
          <c:extLst>
            <c:ext xmlns:c16="http://schemas.microsoft.com/office/drawing/2014/chart" uri="{C3380CC4-5D6E-409C-BE32-E72D297353CC}">
              <c16:uniqueId val="{00000010-67F3-4ED1-853B-C3EA7A6EDC34}"/>
            </c:ext>
          </c:extLst>
        </c:ser>
        <c:ser>
          <c:idx val="3"/>
          <c:order val="3"/>
          <c:tx>
            <c:strRef>
              <c:f>Ventas_Ingresos!$A$155</c:f>
              <c:strCache>
                <c:ptCount val="1"/>
                <c:pt idx="0">
                  <c:v>Payamas</c:v>
                </c:pt>
              </c:strCache>
            </c:strRef>
          </c:tx>
          <c:spPr>
            <a:solidFill>
              <a:schemeClr val="accent1">
                <a:lumMod val="60000"/>
              </a:schemeClr>
            </a:solidFill>
            <a:ln>
              <a:solidFill>
                <a:schemeClr val="accent1">
                  <a:lumMod val="60000"/>
                  <a:lumMod val="75000"/>
                </a:schemeClr>
              </a:solidFill>
            </a:ln>
            <a:effectLst/>
            <a:scene3d>
              <a:camera prst="orthographicFront"/>
              <a:lightRig rig="threePt" dir="t"/>
            </a:scene3d>
            <a:sp3d prstMaterial="translucentPowder">
              <a:contourClr>
                <a:schemeClr val="accent1">
                  <a:lumMod val="60000"/>
                  <a:lumMod val="75000"/>
                </a:schemeClr>
              </a:contourClr>
            </a:sp3d>
          </c:spPr>
          <c:invertIfNegative val="0"/>
          <c:val>
            <c:numRef>
              <c:f>Ventas_Ingresos!$D$155</c:f>
              <c:numCache>
                <c:formatCode>#,##0</c:formatCode>
                <c:ptCount val="1"/>
                <c:pt idx="0">
                  <c:v>2229.5623192991034</c:v>
                </c:pt>
              </c:numCache>
            </c:numRef>
          </c:val>
          <c:extLst>
            <c:ext xmlns:c16="http://schemas.microsoft.com/office/drawing/2014/chart" uri="{C3380CC4-5D6E-409C-BE32-E72D297353CC}">
              <c16:uniqueId val="{00000011-67F3-4ED1-853B-C3EA7A6EDC34}"/>
            </c:ext>
          </c:extLst>
        </c:ser>
        <c:ser>
          <c:idx val="4"/>
          <c:order val="4"/>
          <c:tx>
            <c:strRef>
              <c:f>Ventas_Ingresos!$A$156</c:f>
              <c:strCache>
                <c:ptCount val="1"/>
                <c:pt idx="0">
                  <c:v>Faldas</c:v>
                </c:pt>
              </c:strCache>
            </c:strRef>
          </c:tx>
          <c:spPr>
            <a:solidFill>
              <a:schemeClr val="accent3">
                <a:lumMod val="60000"/>
              </a:schemeClr>
            </a:solidFill>
            <a:ln>
              <a:solidFill>
                <a:schemeClr val="accent3">
                  <a:lumMod val="60000"/>
                  <a:lumMod val="75000"/>
                </a:schemeClr>
              </a:solidFill>
            </a:ln>
            <a:effectLst/>
            <a:scene3d>
              <a:camera prst="orthographicFront"/>
              <a:lightRig rig="threePt" dir="t"/>
            </a:scene3d>
            <a:sp3d prstMaterial="translucentPowder">
              <a:contourClr>
                <a:schemeClr val="accent3">
                  <a:lumMod val="60000"/>
                  <a:lumMod val="75000"/>
                </a:schemeClr>
              </a:contourClr>
            </a:sp3d>
          </c:spPr>
          <c:invertIfNegative val="0"/>
          <c:val>
            <c:numRef>
              <c:f>Ventas_Ingresos!$D$156</c:f>
              <c:numCache>
                <c:formatCode>#,##0</c:formatCode>
                <c:ptCount val="1"/>
                <c:pt idx="0">
                  <c:v>2229.5623192991034</c:v>
                </c:pt>
              </c:numCache>
            </c:numRef>
          </c:val>
          <c:extLst>
            <c:ext xmlns:c16="http://schemas.microsoft.com/office/drawing/2014/chart" uri="{C3380CC4-5D6E-409C-BE32-E72D297353CC}">
              <c16:uniqueId val="{00000012-67F3-4ED1-853B-C3EA7A6EDC34}"/>
            </c:ext>
          </c:extLst>
        </c:ser>
        <c:ser>
          <c:idx val="5"/>
          <c:order val="5"/>
          <c:tx>
            <c:strRef>
              <c:f>Ventas_Ingresos!$A$157</c:f>
              <c:strCache>
                <c:ptCount val="1"/>
                <c:pt idx="0">
                  <c:v>Bolsas</c:v>
                </c:pt>
              </c:strCache>
            </c:strRef>
          </c:tx>
          <c:spPr>
            <a:solidFill>
              <a:schemeClr val="accent5">
                <a:lumMod val="60000"/>
              </a:schemeClr>
            </a:solidFill>
            <a:ln>
              <a:solidFill>
                <a:schemeClr val="accent5">
                  <a:lumMod val="60000"/>
                  <a:lumMod val="75000"/>
                </a:schemeClr>
              </a:solidFill>
            </a:ln>
            <a:effectLst/>
            <a:scene3d>
              <a:camera prst="orthographicFront"/>
              <a:lightRig rig="threePt" dir="t"/>
            </a:scene3d>
            <a:sp3d prstMaterial="translucentPowder">
              <a:contourClr>
                <a:schemeClr val="accent5">
                  <a:lumMod val="60000"/>
                  <a:lumMod val="75000"/>
                </a:schemeClr>
              </a:contourClr>
            </a:sp3d>
          </c:spPr>
          <c:invertIfNegative val="0"/>
          <c:val>
            <c:numRef>
              <c:f>Ventas_Ingresos!$D$157</c:f>
              <c:numCache>
                <c:formatCode>#,##0</c:formatCode>
                <c:ptCount val="1"/>
                <c:pt idx="0">
                  <c:v>2229.5623192991034</c:v>
                </c:pt>
              </c:numCache>
            </c:numRef>
          </c:val>
          <c:extLst>
            <c:ext xmlns:c16="http://schemas.microsoft.com/office/drawing/2014/chart" uri="{C3380CC4-5D6E-409C-BE32-E72D297353CC}">
              <c16:uniqueId val="{00000013-67F3-4ED1-853B-C3EA7A6EDC34}"/>
            </c:ext>
          </c:extLst>
        </c:ser>
        <c:ser>
          <c:idx val="6"/>
          <c:order val="6"/>
          <c:tx>
            <c:strRef>
              <c:f>Ventas_Ingresos!$A$158</c:f>
              <c:strCache>
                <c:ptCount val="1"/>
                <c:pt idx="0">
                  <c:v>Cadenas</c:v>
                </c:pt>
              </c:strCache>
            </c:strRef>
          </c:tx>
          <c:spPr>
            <a:solidFill>
              <a:schemeClr val="accent1">
                <a:lumMod val="80000"/>
                <a:lumOff val="20000"/>
              </a:schemeClr>
            </a:solidFill>
            <a:ln>
              <a:solidFill>
                <a:schemeClr val="accent1">
                  <a:lumMod val="80000"/>
                  <a:lumOff val="20000"/>
                  <a:lumMod val="75000"/>
                </a:schemeClr>
              </a:solidFill>
            </a:ln>
            <a:effectLst/>
            <a:scene3d>
              <a:camera prst="orthographicFront"/>
              <a:lightRig rig="threePt" dir="t"/>
            </a:scene3d>
            <a:sp3d prstMaterial="translucentPowder">
              <a:contourClr>
                <a:schemeClr val="accent1">
                  <a:lumMod val="80000"/>
                  <a:lumOff val="20000"/>
                  <a:lumMod val="75000"/>
                </a:schemeClr>
              </a:contourClr>
            </a:sp3d>
          </c:spPr>
          <c:invertIfNegative val="0"/>
          <c:val>
            <c:numRef>
              <c:f>Ventas_Ingresos!$D$158</c:f>
              <c:numCache>
                <c:formatCode>#,##0</c:formatCode>
                <c:ptCount val="1"/>
                <c:pt idx="0">
                  <c:v>1775.1292351107513</c:v>
                </c:pt>
              </c:numCache>
            </c:numRef>
          </c:val>
          <c:extLst>
            <c:ext xmlns:c16="http://schemas.microsoft.com/office/drawing/2014/chart" uri="{C3380CC4-5D6E-409C-BE32-E72D297353CC}">
              <c16:uniqueId val="{00000014-67F3-4ED1-853B-C3EA7A6EDC34}"/>
            </c:ext>
          </c:extLst>
        </c:ser>
        <c:dLbls>
          <c:showLegendKey val="0"/>
          <c:showVal val="0"/>
          <c:showCatName val="0"/>
          <c:showSerName val="0"/>
          <c:showPercent val="0"/>
          <c:showBubbleSize val="0"/>
        </c:dLbls>
        <c:gapWidth val="150"/>
        <c:shape val="box"/>
        <c:axId val="1302065167"/>
        <c:axId val="1302067663"/>
        <c:axId val="0"/>
      </c:bar3DChart>
      <c:catAx>
        <c:axId val="130206516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crossAx val="1302067663"/>
        <c:crosses val="autoZero"/>
        <c:auto val="1"/>
        <c:lblAlgn val="ctr"/>
        <c:lblOffset val="100"/>
        <c:noMultiLvlLbl val="0"/>
      </c:catAx>
      <c:valAx>
        <c:axId val="1302067663"/>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crossAx val="1302065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HN"/>
              <a:t>ESTIMACIONES DE VENTA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HN"/>
        </a:p>
      </c:txPr>
    </c:title>
    <c:autoTitleDeleted val="0"/>
    <c:plotArea>
      <c:layout/>
      <c:lineChart>
        <c:grouping val="stacked"/>
        <c:varyColors val="0"/>
        <c:ser>
          <c:idx val="0"/>
          <c:order val="0"/>
          <c:tx>
            <c:strRef>
              <c:f>Ventas_Ingresos!$A$167</c:f>
              <c:strCache>
                <c:ptCount val="1"/>
                <c:pt idx="0">
                  <c:v>AÑO </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val>
            <c:numRef>
              <c:f>Ventas_Ingresos!$A$168:$A$172</c:f>
              <c:numCache>
                <c:formatCode>General</c:formatCode>
                <c:ptCount val="5"/>
                <c:pt idx="0">
                  <c:v>2021</c:v>
                </c:pt>
                <c:pt idx="1">
                  <c:v>2022</c:v>
                </c:pt>
                <c:pt idx="2">
                  <c:v>2023</c:v>
                </c:pt>
                <c:pt idx="3">
                  <c:v>2024</c:v>
                </c:pt>
                <c:pt idx="4">
                  <c:v>2025</c:v>
                </c:pt>
              </c:numCache>
            </c:numRef>
          </c:val>
          <c:smooth val="0"/>
          <c:extLst>
            <c:ext xmlns:c16="http://schemas.microsoft.com/office/drawing/2014/chart" uri="{C3380CC4-5D6E-409C-BE32-E72D297353CC}">
              <c16:uniqueId val="{00000000-775F-4BF3-84E3-1A600C545C10}"/>
            </c:ext>
          </c:extLst>
        </c:ser>
        <c:ser>
          <c:idx val="1"/>
          <c:order val="1"/>
          <c:tx>
            <c:strRef>
              <c:f>Ventas_Ingresos!$B$167</c:f>
              <c:strCache>
                <c:ptCount val="1"/>
                <c:pt idx="0">
                  <c:v>INGRESOS</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val>
            <c:numRef>
              <c:f>Ventas_Ingresos!$B$168:$B$172</c:f>
              <c:numCache>
                <c:formatCode>_("L"* #,##0.00_);_("L"* \(#,##0.00\);_("L"* "-"??_);_(@_)</c:formatCode>
                <c:ptCount val="5"/>
                <c:pt idx="0">
                  <c:v>687092.39999999991</c:v>
                </c:pt>
                <c:pt idx="1">
                  <c:v>1016488.8763027199</c:v>
                </c:pt>
                <c:pt idx="2">
                  <c:v>1450327.4315388997</c:v>
                </c:pt>
                <c:pt idx="3">
                  <c:v>1912691.816713501</c:v>
                </c:pt>
                <c:pt idx="4">
                  <c:v>2522457.9678817648</c:v>
                </c:pt>
              </c:numCache>
            </c:numRef>
          </c:val>
          <c:smooth val="0"/>
          <c:extLst>
            <c:ext xmlns:c16="http://schemas.microsoft.com/office/drawing/2014/chart" uri="{C3380CC4-5D6E-409C-BE32-E72D297353CC}">
              <c16:uniqueId val="{00000001-775F-4BF3-84E3-1A600C545C10}"/>
            </c:ext>
          </c:extLst>
        </c:ser>
        <c:dLbls>
          <c:showLegendKey val="0"/>
          <c:showVal val="0"/>
          <c:showCatName val="0"/>
          <c:showSerName val="0"/>
          <c:showPercent val="0"/>
          <c:showBubbleSize val="0"/>
        </c:dLbls>
        <c:marker val="1"/>
        <c:smooth val="0"/>
        <c:axId val="672264416"/>
        <c:axId val="672255680"/>
      </c:lineChart>
      <c:catAx>
        <c:axId val="672264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HN"/>
          </a:p>
        </c:txPr>
        <c:crossAx val="672255680"/>
        <c:crosses val="autoZero"/>
        <c:auto val="1"/>
        <c:lblAlgn val="ctr"/>
        <c:lblOffset val="100"/>
        <c:noMultiLvlLbl val="0"/>
      </c:catAx>
      <c:valAx>
        <c:axId val="67225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HN"/>
          </a:p>
        </c:txPr>
        <c:crossAx val="67226441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HN"/>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H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s-HN"/>
              <a:t>PRESUPUESTO DE INGRESOS</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s-HN"/>
        </a:p>
      </c:txPr>
    </c:title>
    <c:autoTitleDeleted val="0"/>
    <c:plotArea>
      <c:layout/>
      <c:barChart>
        <c:barDir val="col"/>
        <c:grouping val="clustered"/>
        <c:varyColors val="0"/>
        <c:ser>
          <c:idx val="0"/>
          <c:order val="0"/>
          <c:tx>
            <c:strRef>
              <c:f>Ventas_Ingresos!$B$167</c:f>
              <c:strCache>
                <c:ptCount val="1"/>
                <c:pt idx="0">
                  <c:v>INGRESOS</c:v>
                </c:pt>
              </c:strCache>
            </c:strRef>
          </c:tx>
          <c:spPr>
            <a:noFill/>
            <a:ln w="25400" cap="flat" cmpd="sng" algn="ctr">
              <a:solidFill>
                <a:schemeClr val="accent1"/>
              </a:solidFill>
              <a:miter lim="800000"/>
            </a:ln>
            <a:effectLst/>
          </c:spPr>
          <c:invertIfNegative val="0"/>
          <c:cat>
            <c:numRef>
              <c:f>Ventas_Ingresos!$A$168:$A$172</c:f>
              <c:numCache>
                <c:formatCode>General</c:formatCode>
                <c:ptCount val="5"/>
                <c:pt idx="0">
                  <c:v>2021</c:v>
                </c:pt>
                <c:pt idx="1">
                  <c:v>2022</c:v>
                </c:pt>
                <c:pt idx="2">
                  <c:v>2023</c:v>
                </c:pt>
                <c:pt idx="3">
                  <c:v>2024</c:v>
                </c:pt>
                <c:pt idx="4">
                  <c:v>2025</c:v>
                </c:pt>
              </c:numCache>
            </c:numRef>
          </c:cat>
          <c:val>
            <c:numRef>
              <c:f>Ventas_Ingresos!$B$168:$B$172</c:f>
              <c:numCache>
                <c:formatCode>_("L"* #,##0.00_);_("L"* \(#,##0.00\);_("L"* "-"??_);_(@_)</c:formatCode>
                <c:ptCount val="5"/>
                <c:pt idx="0">
                  <c:v>687092.39999999991</c:v>
                </c:pt>
                <c:pt idx="1">
                  <c:v>1016488.8763027199</c:v>
                </c:pt>
                <c:pt idx="2">
                  <c:v>1450327.4315388997</c:v>
                </c:pt>
                <c:pt idx="3">
                  <c:v>1912691.816713501</c:v>
                </c:pt>
                <c:pt idx="4">
                  <c:v>2522457.9678817648</c:v>
                </c:pt>
              </c:numCache>
            </c:numRef>
          </c:val>
          <c:extLst>
            <c:ext xmlns:c16="http://schemas.microsoft.com/office/drawing/2014/chart" uri="{C3380CC4-5D6E-409C-BE32-E72D297353CC}">
              <c16:uniqueId val="{00000000-F8A0-464B-ACF9-1C2665A622F9}"/>
            </c:ext>
          </c:extLst>
        </c:ser>
        <c:dLbls>
          <c:showLegendKey val="0"/>
          <c:showVal val="0"/>
          <c:showCatName val="0"/>
          <c:showSerName val="0"/>
          <c:showPercent val="0"/>
          <c:showBubbleSize val="0"/>
        </c:dLbls>
        <c:gapWidth val="150"/>
        <c:axId val="1647426624"/>
        <c:axId val="1650060800"/>
      </c:barChart>
      <c:catAx>
        <c:axId val="1647426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crossAx val="1650060800"/>
        <c:crosses val="autoZero"/>
        <c:auto val="1"/>
        <c:lblAlgn val="ctr"/>
        <c:lblOffset val="100"/>
        <c:noMultiLvlLbl val="0"/>
      </c:catAx>
      <c:valAx>
        <c:axId val="1650060800"/>
        <c:scaling>
          <c:orientation val="minMax"/>
        </c:scaling>
        <c:delete val="0"/>
        <c:axPos val="l"/>
        <c:majorGridlines>
          <c:spPr>
            <a:ln w="9525">
              <a:solidFill>
                <a:schemeClr val="tx1">
                  <a:lumMod val="15000"/>
                  <a:lumOff val="85000"/>
                </a:schemeClr>
              </a:solidFill>
            </a:ln>
            <a:effectLst/>
          </c:spPr>
        </c:majorGridlines>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s-HN"/>
                  <a:t>PRESUPUESTOS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title>
        <c:numFmt formatCode="_(&quot;L&quot;* #,##0.00_);_(&quot;L&quot;* \(#,##0.00\);_(&quot;L&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crossAx val="164742662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s-HN"/>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s-HN"/>
              <a:t>Mercado y su demanda insatisfecha</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s-HN"/>
        </a:p>
      </c:txPr>
    </c:title>
    <c:autoTitleDeleted val="0"/>
    <c:plotArea>
      <c:layout/>
      <c:barChart>
        <c:barDir val="col"/>
        <c:grouping val="clustered"/>
        <c:varyColors val="0"/>
        <c:ser>
          <c:idx val="0"/>
          <c:order val="0"/>
          <c:tx>
            <c:v>Población total</c:v>
          </c:tx>
          <c:spPr>
            <a:noFill/>
            <a:ln w="25400" cap="flat" cmpd="sng" algn="ctr">
              <a:solidFill>
                <a:schemeClr val="accent1">
                  <a:tint val="65000"/>
                </a:schemeClr>
              </a:solidFill>
              <a:miter lim="800000"/>
            </a:ln>
            <a:effectLst/>
          </c:spPr>
          <c:invertIfNegative val="0"/>
          <c:cat>
            <c:strRef>
              <c:f>'Mercado Actual'!$C$19:$E$19</c:f>
              <c:strCache>
                <c:ptCount val="3"/>
                <c:pt idx="0">
                  <c:v>Poblacion 2021</c:v>
                </c:pt>
                <c:pt idx="1">
                  <c:v>Poblacion 2025</c:v>
                </c:pt>
                <c:pt idx="2">
                  <c:v>Poblacion 2030</c:v>
                </c:pt>
              </c:strCache>
            </c:strRef>
          </c:cat>
          <c:val>
            <c:numRef>
              <c:f>'Mercado Actual'!$C$20:$E$20</c:f>
              <c:numCache>
                <c:formatCode>#,##0</c:formatCode>
                <c:ptCount val="3"/>
                <c:pt idx="0">
                  <c:v>1313782</c:v>
                </c:pt>
                <c:pt idx="1">
                  <c:v>1385211</c:v>
                </c:pt>
                <c:pt idx="2">
                  <c:v>1468850</c:v>
                </c:pt>
              </c:numCache>
            </c:numRef>
          </c:val>
          <c:extLst>
            <c:ext xmlns:c16="http://schemas.microsoft.com/office/drawing/2014/chart" uri="{C3380CC4-5D6E-409C-BE32-E72D297353CC}">
              <c16:uniqueId val="{00000000-4B7C-4AAD-8FC3-F6B23D812E81}"/>
            </c:ext>
          </c:extLst>
        </c:ser>
        <c:ser>
          <c:idx val="1"/>
          <c:order val="1"/>
          <c:tx>
            <c:v>Mercado meta</c:v>
          </c:tx>
          <c:spPr>
            <a:noFill/>
            <a:ln w="25400" cap="flat" cmpd="sng" algn="ctr">
              <a:solidFill>
                <a:schemeClr val="accent1"/>
              </a:solidFill>
              <a:miter lim="800000"/>
            </a:ln>
            <a:effectLst/>
          </c:spPr>
          <c:invertIfNegative val="0"/>
          <c:cat>
            <c:strRef>
              <c:f>'Mercado Actual'!$C$19:$E$19</c:f>
              <c:strCache>
                <c:ptCount val="3"/>
                <c:pt idx="0">
                  <c:v>Poblacion 2021</c:v>
                </c:pt>
                <c:pt idx="1">
                  <c:v>Poblacion 2025</c:v>
                </c:pt>
                <c:pt idx="2">
                  <c:v>Poblacion 2030</c:v>
                </c:pt>
              </c:strCache>
            </c:strRef>
          </c:cat>
          <c:val>
            <c:numRef>
              <c:f>'Mercado Actual'!$C$23:$E$23</c:f>
              <c:numCache>
                <c:formatCode>#,##0</c:formatCode>
                <c:ptCount val="3"/>
                <c:pt idx="0">
                  <c:v>919647.4</c:v>
                </c:pt>
                <c:pt idx="1">
                  <c:v>969682.7</c:v>
                </c:pt>
                <c:pt idx="2">
                  <c:v>1028195</c:v>
                </c:pt>
              </c:numCache>
            </c:numRef>
          </c:val>
          <c:extLst>
            <c:ext xmlns:c16="http://schemas.microsoft.com/office/drawing/2014/chart" uri="{C3380CC4-5D6E-409C-BE32-E72D297353CC}">
              <c16:uniqueId val="{00000001-4B7C-4AAD-8FC3-F6B23D812E81}"/>
            </c:ext>
          </c:extLst>
        </c:ser>
        <c:ser>
          <c:idx val="2"/>
          <c:order val="2"/>
          <c:tx>
            <c:v>Población demanda insatisfecha</c:v>
          </c:tx>
          <c:spPr>
            <a:noFill/>
            <a:ln w="25400" cap="flat" cmpd="sng" algn="ctr">
              <a:solidFill>
                <a:schemeClr val="accent1">
                  <a:shade val="65000"/>
                </a:schemeClr>
              </a:solidFill>
              <a:miter lim="800000"/>
            </a:ln>
            <a:effectLst/>
          </c:spPr>
          <c:invertIfNegative val="0"/>
          <c:cat>
            <c:strRef>
              <c:f>'Mercado Actual'!$C$19:$E$19</c:f>
              <c:strCache>
                <c:ptCount val="3"/>
                <c:pt idx="0">
                  <c:v>Poblacion 2021</c:v>
                </c:pt>
                <c:pt idx="1">
                  <c:v>Poblacion 2025</c:v>
                </c:pt>
                <c:pt idx="2">
                  <c:v>Poblacion 2030</c:v>
                </c:pt>
              </c:strCache>
            </c:strRef>
          </c:cat>
          <c:val>
            <c:numRef>
              <c:f>'Mercado Actual'!$C$22:$E$22</c:f>
              <c:numCache>
                <c:formatCode>#,##0</c:formatCode>
                <c:ptCount val="3"/>
                <c:pt idx="0">
                  <c:v>394134.6</c:v>
                </c:pt>
                <c:pt idx="1">
                  <c:v>415578.3</c:v>
                </c:pt>
                <c:pt idx="2">
                  <c:v>440655</c:v>
                </c:pt>
              </c:numCache>
            </c:numRef>
          </c:val>
          <c:extLst>
            <c:ext xmlns:c16="http://schemas.microsoft.com/office/drawing/2014/chart" uri="{C3380CC4-5D6E-409C-BE32-E72D297353CC}">
              <c16:uniqueId val="{00000002-4B7C-4AAD-8FC3-F6B23D812E81}"/>
            </c:ext>
          </c:extLst>
        </c:ser>
        <c:dLbls>
          <c:showLegendKey val="0"/>
          <c:showVal val="0"/>
          <c:showCatName val="0"/>
          <c:showSerName val="0"/>
          <c:showPercent val="0"/>
          <c:showBubbleSize val="0"/>
        </c:dLbls>
        <c:gapWidth val="164"/>
        <c:overlap val="-35"/>
        <c:axId val="1716285871"/>
        <c:axId val="1716286287"/>
      </c:barChart>
      <c:catAx>
        <c:axId val="17162858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crossAx val="1716286287"/>
        <c:crosses val="autoZero"/>
        <c:auto val="1"/>
        <c:lblAlgn val="ctr"/>
        <c:lblOffset val="100"/>
        <c:noMultiLvlLbl val="0"/>
      </c:catAx>
      <c:valAx>
        <c:axId val="1716286287"/>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crossAx val="171628587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s-HN"/>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6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Depreciación</a:t>
            </a:r>
          </a:p>
        </c:rich>
      </c:tx>
      <c:overlay val="0"/>
      <c:spPr>
        <a:noFill/>
        <a:ln>
          <a:noFill/>
        </a:ln>
        <a:effectLst/>
      </c:spPr>
      <c:txPr>
        <a:bodyPr rot="0" spcFirstLastPara="1" vertOverflow="ellipsis" vert="horz" wrap="square" anchor="ctr" anchorCtr="1"/>
        <a:lstStyle/>
        <a:p>
          <a:pPr>
            <a:defRPr sz="96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HN"/>
        </a:p>
      </c:txPr>
    </c:title>
    <c:autoTitleDeleted val="0"/>
    <c:plotArea>
      <c:layout/>
      <c:barChart>
        <c:barDir val="bar"/>
        <c:grouping val="clustered"/>
        <c:varyColors val="0"/>
        <c:ser>
          <c:idx val="0"/>
          <c:order val="0"/>
          <c:tx>
            <c:strRef>
              <c:f>Mobiliario!$B$3</c:f>
              <c:strCache>
                <c:ptCount val="1"/>
                <c:pt idx="0">
                  <c:v>Maniquí</c:v>
                </c:pt>
              </c:strCache>
            </c:strRef>
          </c:tx>
          <c:spPr>
            <a:solidFill>
              <a:schemeClr val="accent1"/>
            </a:solidFill>
            <a:ln>
              <a:noFill/>
            </a:ln>
            <a:effectLst/>
          </c:spPr>
          <c:invertIfNegative val="0"/>
          <c:val>
            <c:numRef>
              <c:f>Mobiliario!$J$3</c:f>
              <c:numCache>
                <c:formatCode>_("L"* #,##0.00_);_("L"* \(#,##0.00\);_("L"* "-"??_);_(@_)</c:formatCode>
                <c:ptCount val="1"/>
                <c:pt idx="0">
                  <c:v>600</c:v>
                </c:pt>
              </c:numCache>
            </c:numRef>
          </c:val>
          <c:extLst>
            <c:ext xmlns:c16="http://schemas.microsoft.com/office/drawing/2014/chart" uri="{C3380CC4-5D6E-409C-BE32-E72D297353CC}">
              <c16:uniqueId val="{00000000-4889-4711-9260-54AB2EDE92C0}"/>
            </c:ext>
          </c:extLst>
        </c:ser>
        <c:ser>
          <c:idx val="1"/>
          <c:order val="1"/>
          <c:tx>
            <c:strRef>
              <c:f>Mobiliario!$B$4</c:f>
              <c:strCache>
                <c:ptCount val="1"/>
                <c:pt idx="0">
                  <c:v>Escritorio</c:v>
                </c:pt>
              </c:strCache>
            </c:strRef>
          </c:tx>
          <c:spPr>
            <a:solidFill>
              <a:schemeClr val="accent3"/>
            </a:solidFill>
            <a:ln>
              <a:noFill/>
            </a:ln>
            <a:effectLst/>
          </c:spPr>
          <c:invertIfNegative val="0"/>
          <c:val>
            <c:numRef>
              <c:f>Mobiliario!$J$4</c:f>
              <c:numCache>
                <c:formatCode>_("L"* #,##0.00_);_("L"* \(#,##0.00\);_("L"* "-"??_);_(@_)</c:formatCode>
                <c:ptCount val="1"/>
                <c:pt idx="0">
                  <c:v>150</c:v>
                </c:pt>
              </c:numCache>
            </c:numRef>
          </c:val>
          <c:extLst>
            <c:ext xmlns:c16="http://schemas.microsoft.com/office/drawing/2014/chart" uri="{C3380CC4-5D6E-409C-BE32-E72D297353CC}">
              <c16:uniqueId val="{00000001-4889-4711-9260-54AB2EDE92C0}"/>
            </c:ext>
          </c:extLst>
        </c:ser>
        <c:ser>
          <c:idx val="2"/>
          <c:order val="2"/>
          <c:tx>
            <c:strRef>
              <c:f>Mobiliario!$B$5</c:f>
              <c:strCache>
                <c:ptCount val="1"/>
                <c:pt idx="0">
                  <c:v>Recepcionador</c:v>
                </c:pt>
              </c:strCache>
            </c:strRef>
          </c:tx>
          <c:spPr>
            <a:solidFill>
              <a:schemeClr val="accent5"/>
            </a:solidFill>
            <a:ln>
              <a:noFill/>
            </a:ln>
            <a:effectLst/>
          </c:spPr>
          <c:invertIfNegative val="0"/>
          <c:val>
            <c:numRef>
              <c:f>Mobiliario!$J$5</c:f>
              <c:numCache>
                <c:formatCode>_("L"* #,##0.00_);_("L"* \(#,##0.00\);_("L"* "-"??_);_(@_)</c:formatCode>
                <c:ptCount val="1"/>
                <c:pt idx="0">
                  <c:v>1000</c:v>
                </c:pt>
              </c:numCache>
            </c:numRef>
          </c:val>
          <c:extLst>
            <c:ext xmlns:c16="http://schemas.microsoft.com/office/drawing/2014/chart" uri="{C3380CC4-5D6E-409C-BE32-E72D297353CC}">
              <c16:uniqueId val="{00000002-4889-4711-9260-54AB2EDE92C0}"/>
            </c:ext>
          </c:extLst>
        </c:ser>
        <c:ser>
          <c:idx val="3"/>
          <c:order val="3"/>
          <c:tx>
            <c:strRef>
              <c:f>Mobiliario!$B$6</c:f>
              <c:strCache>
                <c:ptCount val="1"/>
                <c:pt idx="0">
                  <c:v>Vitrina</c:v>
                </c:pt>
              </c:strCache>
            </c:strRef>
          </c:tx>
          <c:spPr>
            <a:solidFill>
              <a:schemeClr val="accent1">
                <a:lumMod val="60000"/>
              </a:schemeClr>
            </a:solidFill>
            <a:ln>
              <a:noFill/>
            </a:ln>
            <a:effectLst/>
          </c:spPr>
          <c:invertIfNegative val="0"/>
          <c:val>
            <c:numRef>
              <c:f>Mobiliario!$J$6</c:f>
              <c:numCache>
                <c:formatCode>_("L"* #,##0.00_);_("L"* \(#,##0.00\);_("L"* "-"??_);_(@_)</c:formatCode>
                <c:ptCount val="1"/>
                <c:pt idx="0">
                  <c:v>600</c:v>
                </c:pt>
              </c:numCache>
            </c:numRef>
          </c:val>
          <c:extLst>
            <c:ext xmlns:c16="http://schemas.microsoft.com/office/drawing/2014/chart" uri="{C3380CC4-5D6E-409C-BE32-E72D297353CC}">
              <c16:uniqueId val="{00000003-4889-4711-9260-54AB2EDE92C0}"/>
            </c:ext>
          </c:extLst>
        </c:ser>
        <c:ser>
          <c:idx val="4"/>
          <c:order val="4"/>
          <c:tx>
            <c:strRef>
              <c:f>Mobiliario!$B$7</c:f>
              <c:strCache>
                <c:ptCount val="1"/>
                <c:pt idx="0">
                  <c:v>Silla</c:v>
                </c:pt>
              </c:strCache>
            </c:strRef>
          </c:tx>
          <c:spPr>
            <a:solidFill>
              <a:schemeClr val="accent3">
                <a:lumMod val="60000"/>
              </a:schemeClr>
            </a:solidFill>
            <a:ln>
              <a:noFill/>
            </a:ln>
            <a:effectLst/>
          </c:spPr>
          <c:invertIfNegative val="0"/>
          <c:val>
            <c:numRef>
              <c:f>Mobiliario!$J$7</c:f>
              <c:numCache>
                <c:formatCode>_("L"* #,##0.00_);_("L"* \(#,##0.00\);_("L"* "-"??_);_(@_)</c:formatCode>
                <c:ptCount val="1"/>
                <c:pt idx="0">
                  <c:v>450</c:v>
                </c:pt>
              </c:numCache>
            </c:numRef>
          </c:val>
          <c:extLst>
            <c:ext xmlns:c16="http://schemas.microsoft.com/office/drawing/2014/chart" uri="{C3380CC4-5D6E-409C-BE32-E72D297353CC}">
              <c16:uniqueId val="{00000004-4889-4711-9260-54AB2EDE92C0}"/>
            </c:ext>
          </c:extLst>
        </c:ser>
        <c:ser>
          <c:idx val="5"/>
          <c:order val="5"/>
          <c:tx>
            <c:strRef>
              <c:f>Mobiliario!$B$8</c:f>
              <c:strCache>
                <c:ptCount val="1"/>
                <c:pt idx="0">
                  <c:v>Estantería/Armario</c:v>
                </c:pt>
              </c:strCache>
            </c:strRef>
          </c:tx>
          <c:spPr>
            <a:solidFill>
              <a:schemeClr val="accent5">
                <a:lumMod val="60000"/>
              </a:schemeClr>
            </a:solidFill>
            <a:ln>
              <a:noFill/>
            </a:ln>
            <a:effectLst/>
          </c:spPr>
          <c:invertIfNegative val="0"/>
          <c:val>
            <c:numRef>
              <c:f>Mobiliario!$J$8</c:f>
              <c:numCache>
                <c:formatCode>_("L"* #,##0.00_);_("L"* \(#,##0.00\);_("L"* "-"??_);_(@_)</c:formatCode>
                <c:ptCount val="1"/>
                <c:pt idx="0">
                  <c:v>600</c:v>
                </c:pt>
              </c:numCache>
            </c:numRef>
          </c:val>
          <c:extLst>
            <c:ext xmlns:c16="http://schemas.microsoft.com/office/drawing/2014/chart" uri="{C3380CC4-5D6E-409C-BE32-E72D297353CC}">
              <c16:uniqueId val="{00000005-4889-4711-9260-54AB2EDE92C0}"/>
            </c:ext>
          </c:extLst>
        </c:ser>
        <c:ser>
          <c:idx val="6"/>
          <c:order val="6"/>
          <c:tx>
            <c:strRef>
              <c:f>Mobiliario!$B$9</c:f>
              <c:strCache>
                <c:ptCount val="1"/>
                <c:pt idx="0">
                  <c:v>Computadora</c:v>
                </c:pt>
              </c:strCache>
            </c:strRef>
          </c:tx>
          <c:spPr>
            <a:solidFill>
              <a:schemeClr val="accent1">
                <a:lumMod val="80000"/>
                <a:lumOff val="20000"/>
              </a:schemeClr>
            </a:solidFill>
            <a:ln>
              <a:noFill/>
            </a:ln>
            <a:effectLst/>
          </c:spPr>
          <c:invertIfNegative val="0"/>
          <c:val>
            <c:numRef>
              <c:f>Mobiliario!$J$9</c:f>
              <c:numCache>
                <c:formatCode>_("L"* #,##0.00_);_("L"* \(#,##0.00\);_("L"* "-"??_);_(@_)</c:formatCode>
                <c:ptCount val="1"/>
                <c:pt idx="0">
                  <c:v>2000</c:v>
                </c:pt>
              </c:numCache>
            </c:numRef>
          </c:val>
          <c:extLst>
            <c:ext xmlns:c16="http://schemas.microsoft.com/office/drawing/2014/chart" uri="{C3380CC4-5D6E-409C-BE32-E72D297353CC}">
              <c16:uniqueId val="{00000006-4889-4711-9260-54AB2EDE92C0}"/>
            </c:ext>
          </c:extLst>
        </c:ser>
        <c:ser>
          <c:idx val="7"/>
          <c:order val="7"/>
          <c:tx>
            <c:strRef>
              <c:f>Mobiliario!$B$10</c:f>
              <c:strCache>
                <c:ptCount val="1"/>
                <c:pt idx="0">
                  <c:v>Espejos Grande</c:v>
                </c:pt>
              </c:strCache>
            </c:strRef>
          </c:tx>
          <c:spPr>
            <a:solidFill>
              <a:schemeClr val="accent3">
                <a:lumMod val="80000"/>
                <a:lumOff val="20000"/>
              </a:schemeClr>
            </a:solidFill>
            <a:ln>
              <a:noFill/>
            </a:ln>
            <a:effectLst/>
          </c:spPr>
          <c:invertIfNegative val="0"/>
          <c:val>
            <c:numRef>
              <c:f>Mobiliario!$J$10</c:f>
              <c:numCache>
                <c:formatCode>_("L"* #,##0.00_);_("L"* \(#,##0.00\);_("L"* "-"??_);_(@_)</c:formatCode>
                <c:ptCount val="1"/>
                <c:pt idx="0">
                  <c:v>400</c:v>
                </c:pt>
              </c:numCache>
            </c:numRef>
          </c:val>
          <c:extLst>
            <c:ext xmlns:c16="http://schemas.microsoft.com/office/drawing/2014/chart" uri="{C3380CC4-5D6E-409C-BE32-E72D297353CC}">
              <c16:uniqueId val="{00000007-4889-4711-9260-54AB2EDE92C0}"/>
            </c:ext>
          </c:extLst>
        </c:ser>
        <c:ser>
          <c:idx val="8"/>
          <c:order val="8"/>
          <c:tx>
            <c:strRef>
              <c:f>Mobiliario!$B$11</c:f>
              <c:strCache>
                <c:ptCount val="1"/>
                <c:pt idx="0">
                  <c:v>Espejos Pequeños</c:v>
                </c:pt>
              </c:strCache>
            </c:strRef>
          </c:tx>
          <c:spPr>
            <a:solidFill>
              <a:schemeClr val="accent5">
                <a:lumMod val="80000"/>
                <a:lumOff val="20000"/>
              </a:schemeClr>
            </a:solidFill>
            <a:ln>
              <a:noFill/>
            </a:ln>
            <a:effectLst/>
          </c:spPr>
          <c:invertIfNegative val="0"/>
          <c:val>
            <c:numRef>
              <c:f>Mobiliario!$J$11</c:f>
              <c:numCache>
                <c:formatCode>_("L"* #,##0.00_);_("L"* \(#,##0.00\);_("L"* "-"??_);_(@_)</c:formatCode>
                <c:ptCount val="1"/>
                <c:pt idx="0">
                  <c:v>180</c:v>
                </c:pt>
              </c:numCache>
            </c:numRef>
          </c:val>
          <c:extLst>
            <c:ext xmlns:c16="http://schemas.microsoft.com/office/drawing/2014/chart" uri="{C3380CC4-5D6E-409C-BE32-E72D297353CC}">
              <c16:uniqueId val="{00000008-4889-4711-9260-54AB2EDE92C0}"/>
            </c:ext>
          </c:extLst>
        </c:ser>
        <c:ser>
          <c:idx val="9"/>
          <c:order val="9"/>
          <c:tx>
            <c:strRef>
              <c:f>Mobiliario!$B$12</c:f>
              <c:strCache>
                <c:ptCount val="1"/>
                <c:pt idx="0">
                  <c:v>Barra Cortina</c:v>
                </c:pt>
              </c:strCache>
            </c:strRef>
          </c:tx>
          <c:spPr>
            <a:solidFill>
              <a:schemeClr val="accent1">
                <a:lumMod val="80000"/>
              </a:schemeClr>
            </a:solidFill>
            <a:ln>
              <a:noFill/>
            </a:ln>
            <a:effectLst/>
          </c:spPr>
          <c:invertIfNegative val="0"/>
          <c:val>
            <c:numRef>
              <c:f>Mobiliario!$J$12</c:f>
              <c:numCache>
                <c:formatCode>_("L"* #,##0.00_);_("L"* \(#,##0.00\);_("L"* "-"??_);_(@_)</c:formatCode>
                <c:ptCount val="1"/>
                <c:pt idx="0">
                  <c:v>200</c:v>
                </c:pt>
              </c:numCache>
            </c:numRef>
          </c:val>
          <c:extLst>
            <c:ext xmlns:c16="http://schemas.microsoft.com/office/drawing/2014/chart" uri="{C3380CC4-5D6E-409C-BE32-E72D297353CC}">
              <c16:uniqueId val="{00000009-4889-4711-9260-54AB2EDE92C0}"/>
            </c:ext>
          </c:extLst>
        </c:ser>
        <c:ser>
          <c:idx val="10"/>
          <c:order val="10"/>
          <c:tx>
            <c:strRef>
              <c:f>Mobiliario!$B$13</c:f>
              <c:strCache>
                <c:ptCount val="1"/>
                <c:pt idx="0">
                  <c:v>Silla Ejecutiva</c:v>
                </c:pt>
              </c:strCache>
            </c:strRef>
          </c:tx>
          <c:spPr>
            <a:solidFill>
              <a:schemeClr val="accent3">
                <a:lumMod val="80000"/>
              </a:schemeClr>
            </a:solidFill>
            <a:ln>
              <a:noFill/>
            </a:ln>
            <a:effectLst/>
          </c:spPr>
          <c:invertIfNegative val="0"/>
          <c:val>
            <c:numRef>
              <c:f>Mobiliario!$J$13</c:f>
              <c:numCache>
                <c:formatCode>_("L"* #,##0.00_);_("L"* \(#,##0.00\);_("L"* "-"??_);_(@_)</c:formatCode>
                <c:ptCount val="1"/>
                <c:pt idx="0">
                  <c:v>300</c:v>
                </c:pt>
              </c:numCache>
            </c:numRef>
          </c:val>
          <c:extLst>
            <c:ext xmlns:c16="http://schemas.microsoft.com/office/drawing/2014/chart" uri="{C3380CC4-5D6E-409C-BE32-E72D297353CC}">
              <c16:uniqueId val="{0000000A-4889-4711-9260-54AB2EDE92C0}"/>
            </c:ext>
          </c:extLst>
        </c:ser>
        <c:ser>
          <c:idx val="11"/>
          <c:order val="11"/>
          <c:tx>
            <c:strRef>
              <c:f>Mobiliario!$B$14</c:f>
              <c:strCache>
                <c:ptCount val="1"/>
                <c:pt idx="0">
                  <c:v>Maquina de Coser</c:v>
                </c:pt>
              </c:strCache>
            </c:strRef>
          </c:tx>
          <c:spPr>
            <a:solidFill>
              <a:schemeClr val="accent5">
                <a:lumMod val="80000"/>
              </a:schemeClr>
            </a:solidFill>
            <a:ln>
              <a:noFill/>
            </a:ln>
            <a:effectLst/>
          </c:spPr>
          <c:invertIfNegative val="0"/>
          <c:val>
            <c:numRef>
              <c:f>Mobiliario!$J$14</c:f>
              <c:numCache>
                <c:formatCode>_("L"* #,##0.00_);_("L"* \(#,##0.00\);_("L"* "-"??_);_(@_)</c:formatCode>
                <c:ptCount val="1"/>
                <c:pt idx="0">
                  <c:v>1250</c:v>
                </c:pt>
              </c:numCache>
            </c:numRef>
          </c:val>
          <c:extLst>
            <c:ext xmlns:c16="http://schemas.microsoft.com/office/drawing/2014/chart" uri="{C3380CC4-5D6E-409C-BE32-E72D297353CC}">
              <c16:uniqueId val="{0000000B-4889-4711-9260-54AB2EDE92C0}"/>
            </c:ext>
          </c:extLst>
        </c:ser>
        <c:dLbls>
          <c:showLegendKey val="0"/>
          <c:showVal val="0"/>
          <c:showCatName val="0"/>
          <c:showSerName val="0"/>
          <c:showPercent val="0"/>
          <c:showBubbleSize val="0"/>
        </c:dLbls>
        <c:gapWidth val="182"/>
        <c:axId val="16987744"/>
        <c:axId val="16981920"/>
      </c:barChart>
      <c:catAx>
        <c:axId val="1698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HN"/>
          </a:p>
        </c:txPr>
        <c:crossAx val="16981920"/>
        <c:crosses val="autoZero"/>
        <c:auto val="1"/>
        <c:lblAlgn val="ctr"/>
        <c:lblOffset val="100"/>
        <c:noMultiLvlLbl val="0"/>
      </c:catAx>
      <c:valAx>
        <c:axId val="16981920"/>
        <c:scaling>
          <c:orientation val="minMax"/>
        </c:scaling>
        <c:delete val="0"/>
        <c:axPos val="b"/>
        <c:majorGridlines>
          <c:spPr>
            <a:ln w="9525" cap="flat" cmpd="sng" algn="ctr">
              <a:solidFill>
                <a:schemeClr val="tx1">
                  <a:lumMod val="15000"/>
                  <a:lumOff val="85000"/>
                </a:schemeClr>
              </a:solidFill>
              <a:round/>
            </a:ln>
            <a:effectLst/>
          </c:spPr>
        </c:majorGridlines>
        <c:numFmt formatCode="_(&quot;L&quot;* #,##0.00_);_(&quot;L&quot;* \(#,##0.00\);_(&quot;L&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HN"/>
          </a:p>
        </c:txPr>
        <c:crossAx val="16987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H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Times New Roman" panose="02020603050405020304" pitchFamily="18" charset="0"/>
          <a:cs typeface="Times New Roman" panose="02020603050405020304" pitchFamily="18" charset="0"/>
        </a:defRPr>
      </a:pPr>
      <a:endParaRPr lang="es-H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Egresos</c:v>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H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'Inversión Total'!$A$3:$A$13</c:f>
              <c:strCache>
                <c:ptCount val="11"/>
                <c:pt idx="0">
                  <c:v>Permisos y Licencias</c:v>
                </c:pt>
                <c:pt idx="1">
                  <c:v>Acondicionamiento local</c:v>
                </c:pt>
                <c:pt idx="2">
                  <c:v>Alquiler local (mensual)</c:v>
                </c:pt>
                <c:pt idx="3">
                  <c:v>Maquinaria y equipo</c:v>
                </c:pt>
                <c:pt idx="4">
                  <c:v>Productos  (Inversión Inicial)</c:v>
                </c:pt>
                <c:pt idx="5">
                  <c:v>Productos (2da inversión)</c:v>
                </c:pt>
                <c:pt idx="6">
                  <c:v>Empaque (Inversión Inicial)</c:v>
                </c:pt>
                <c:pt idx="7">
                  <c:v>Empaque (2da inversión)</c:v>
                </c:pt>
                <c:pt idx="8">
                  <c:v>Sueldos (1 mes)</c:v>
                </c:pt>
                <c:pt idx="9">
                  <c:v>Servicios</c:v>
                </c:pt>
                <c:pt idx="10">
                  <c:v>Marketing </c:v>
                </c:pt>
              </c:strCache>
            </c:strRef>
          </c:cat>
          <c:val>
            <c:numRef>
              <c:f>'Inversión Total'!$D$3:$D$13</c:f>
              <c:numCache>
                <c:formatCode>_("L"* #,##0.00_);_("L"* \(#,##0.00\);_("L"* "-"??_);_(@_)</c:formatCode>
                <c:ptCount val="11"/>
                <c:pt idx="0">
                  <c:v>34232</c:v>
                </c:pt>
                <c:pt idx="1">
                  <c:v>25378</c:v>
                </c:pt>
                <c:pt idx="2">
                  <c:v>276000</c:v>
                </c:pt>
                <c:pt idx="3">
                  <c:v>53300</c:v>
                </c:pt>
                <c:pt idx="4">
                  <c:v>30320.22</c:v>
                </c:pt>
                <c:pt idx="5">
                  <c:v>96000</c:v>
                </c:pt>
                <c:pt idx="6">
                  <c:v>3362.5987987211024</c:v>
                </c:pt>
                <c:pt idx="7">
                  <c:v>10845.592792326615</c:v>
                </c:pt>
                <c:pt idx="8">
                  <c:v>255500.02464000002</c:v>
                </c:pt>
                <c:pt idx="9">
                  <c:v>25704</c:v>
                </c:pt>
                <c:pt idx="10">
                  <c:v>19500</c:v>
                </c:pt>
              </c:numCache>
            </c:numRef>
          </c:val>
          <c:extLst>
            <c:ext xmlns:c16="http://schemas.microsoft.com/office/drawing/2014/chart" uri="{C3380CC4-5D6E-409C-BE32-E72D297353CC}">
              <c16:uniqueId val="{00000000-BEE7-445C-A138-ACF2D5ABD993}"/>
            </c:ext>
          </c:extLst>
        </c:ser>
        <c:dLbls>
          <c:showLegendKey val="0"/>
          <c:showVal val="1"/>
          <c:showCatName val="0"/>
          <c:showSerName val="0"/>
          <c:showPercent val="0"/>
          <c:showBubbleSize val="0"/>
        </c:dLbls>
        <c:gapWidth val="75"/>
        <c:axId val="107035168"/>
        <c:axId val="107036000"/>
      </c:barChart>
      <c:catAx>
        <c:axId val="107035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Times New Roman" panose="02020603050405020304" pitchFamily="18" charset="0"/>
                <a:ea typeface="+mn-ea"/>
                <a:cs typeface="Times New Roman" panose="02020603050405020304" pitchFamily="18" charset="0"/>
              </a:defRPr>
            </a:pPr>
            <a:endParaRPr lang="es-HN"/>
          </a:p>
        </c:txPr>
        <c:crossAx val="107036000"/>
        <c:crosses val="autoZero"/>
        <c:auto val="1"/>
        <c:lblAlgn val="ctr"/>
        <c:lblOffset val="100"/>
        <c:noMultiLvlLbl val="0"/>
      </c:catAx>
      <c:valAx>
        <c:axId val="107036000"/>
        <c:scaling>
          <c:orientation val="minMax"/>
        </c:scaling>
        <c:delete val="0"/>
        <c:axPos val="b"/>
        <c:numFmt formatCode="_(&quot;L&quot;* #,##0.00_);_(&quot;L&quot;* \(#,##0.00\);_(&quot;L&quot;* &quot;-&quot;??_);_(@_)"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Times New Roman" panose="02020603050405020304" pitchFamily="18" charset="0"/>
                <a:ea typeface="+mn-ea"/>
                <a:cs typeface="Times New Roman" panose="02020603050405020304" pitchFamily="18" charset="0"/>
              </a:defRPr>
            </a:pPr>
            <a:endParaRPr lang="es-HN"/>
          </a:p>
        </c:txPr>
        <c:crossAx val="107035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Times New Roman" panose="02020603050405020304" pitchFamily="18" charset="0"/>
              <a:ea typeface="+mn-ea"/>
              <a:cs typeface="Times New Roman" panose="02020603050405020304" pitchFamily="18" charset="0"/>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H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v>Flujo de Efectivo</c:v>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'Flujo de Efectivo'!$B$2:$G$2</c:f>
              <c:strCache>
                <c:ptCount val="6"/>
                <c:pt idx="0">
                  <c:v> Año Cero </c:v>
                </c:pt>
                <c:pt idx="1">
                  <c:v> 1er Año </c:v>
                </c:pt>
                <c:pt idx="2">
                  <c:v> 2do Año </c:v>
                </c:pt>
                <c:pt idx="3">
                  <c:v> 3er Año </c:v>
                </c:pt>
                <c:pt idx="4">
                  <c:v> 4to Año </c:v>
                </c:pt>
                <c:pt idx="5">
                  <c:v> 5to Año </c:v>
                </c:pt>
              </c:strCache>
            </c:strRef>
          </c:cat>
          <c:val>
            <c:numRef>
              <c:f>'Flujo de Efectivo'!$B$12:$G$12</c:f>
              <c:numCache>
                <c:formatCode>_("L"* #,##0.00_);_("L"* \(#,##0.00\);_("L"* "-"??_);_(@_)</c:formatCode>
                <c:ptCount val="6"/>
                <c:pt idx="0">
                  <c:v>500000</c:v>
                </c:pt>
                <c:pt idx="1">
                  <c:v>-155640.8531595876</c:v>
                </c:pt>
                <c:pt idx="2">
                  <c:v>-274664.16544331599</c:v>
                </c:pt>
                <c:pt idx="3">
                  <c:v>-82261.01878618449</c:v>
                </c:pt>
                <c:pt idx="4">
                  <c:v>461584.00216789218</c:v>
                </c:pt>
                <c:pt idx="5">
                  <c:v>1486629.9731113696</c:v>
                </c:pt>
              </c:numCache>
            </c:numRef>
          </c:val>
          <c:smooth val="0"/>
          <c:extLst>
            <c:ext xmlns:c16="http://schemas.microsoft.com/office/drawing/2014/chart" uri="{C3380CC4-5D6E-409C-BE32-E72D297353CC}">
              <c16:uniqueId val="{00000000-77C9-4978-A646-92606090DD31}"/>
            </c:ext>
          </c:extLst>
        </c:ser>
        <c:dLbls>
          <c:showLegendKey val="0"/>
          <c:showVal val="0"/>
          <c:showCatName val="0"/>
          <c:showSerName val="0"/>
          <c:showPercent val="0"/>
          <c:showBubbleSize val="0"/>
        </c:dLbls>
        <c:marker val="1"/>
        <c:smooth val="0"/>
        <c:axId val="342584016"/>
        <c:axId val="342584848"/>
      </c:lineChart>
      <c:catAx>
        <c:axId val="34258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HN"/>
          </a:p>
        </c:txPr>
        <c:crossAx val="342584848"/>
        <c:crosses val="autoZero"/>
        <c:auto val="1"/>
        <c:lblAlgn val="ctr"/>
        <c:lblOffset val="100"/>
        <c:noMultiLvlLbl val="0"/>
      </c:catAx>
      <c:valAx>
        <c:axId val="342584848"/>
        <c:scaling>
          <c:orientation val="minMax"/>
        </c:scaling>
        <c:delete val="0"/>
        <c:axPos val="l"/>
        <c:numFmt formatCode="_(&quot;L&quot;* #,##0.00_);_(&quot;L&quot;* \(#,##0.00\);_(&quot;L&quot;* &quot;-&quot;??_);_(@_)"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HN"/>
          </a:p>
        </c:txPr>
        <c:crossAx val="342584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HN"/>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H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Ventas_Ingresos!$A$68</c:f>
              <c:strCache>
                <c:ptCount val="1"/>
                <c:pt idx="0">
                  <c:v>Camisas</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dPt>
            <c:idx val="0"/>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1-EEA7-4156-9884-D3AC7687E82E}"/>
              </c:ext>
            </c:extLst>
          </c:dPt>
          <c:dPt>
            <c:idx val="1"/>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3-EEA7-4156-9884-D3AC7687E82E}"/>
              </c:ext>
            </c:extLst>
          </c:dPt>
          <c:dPt>
            <c:idx val="2"/>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5-EEA7-4156-9884-D3AC7687E82E}"/>
              </c:ext>
            </c:extLst>
          </c:dPt>
          <c:dPt>
            <c:idx val="3"/>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7-EEA7-4156-9884-D3AC7687E82E}"/>
              </c:ext>
            </c:extLst>
          </c:dPt>
          <c:dPt>
            <c:idx val="4"/>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9-EEA7-4156-9884-D3AC7687E82E}"/>
              </c:ext>
            </c:extLst>
          </c:dPt>
          <c:dPt>
            <c:idx val="5"/>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B-EEA7-4156-9884-D3AC7687E82E}"/>
              </c:ext>
            </c:extLst>
          </c:dPt>
          <c:dPt>
            <c:idx val="6"/>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D-EEA7-4156-9884-D3AC7687E8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HN"/>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Ventas_Ingresos!$D$68</c:f>
              <c:numCache>
                <c:formatCode>#,##0</c:formatCode>
                <c:ptCount val="1"/>
                <c:pt idx="0">
                  <c:v>895.90313926655995</c:v>
                </c:pt>
              </c:numCache>
            </c:numRef>
          </c:val>
          <c:extLst>
            <c:ext xmlns:c16="http://schemas.microsoft.com/office/drawing/2014/chart" uri="{C3380CC4-5D6E-409C-BE32-E72D297353CC}">
              <c16:uniqueId val="{0000000E-EEA7-4156-9884-D3AC7687E82E}"/>
            </c:ext>
          </c:extLst>
        </c:ser>
        <c:ser>
          <c:idx val="1"/>
          <c:order val="1"/>
          <c:tx>
            <c:strRef>
              <c:f>Ventas_Ingresos!$A$69</c:f>
              <c:strCache>
                <c:ptCount val="1"/>
                <c:pt idx="0">
                  <c:v>Pantalones</c:v>
                </c:pt>
              </c:strCache>
            </c:strRef>
          </c:tx>
          <c:spPr>
            <a:solidFill>
              <a:schemeClr val="accent3"/>
            </a:solidFill>
            <a:ln>
              <a:solidFill>
                <a:schemeClr val="accent3">
                  <a:lumMod val="75000"/>
                </a:schemeClr>
              </a:solidFill>
            </a:ln>
            <a:effectLst/>
            <a:scene3d>
              <a:camera prst="orthographicFront"/>
              <a:lightRig rig="threePt" dir="t"/>
            </a:scene3d>
            <a:sp3d prstMaterial="translucentPowder">
              <a:contourClr>
                <a:schemeClr val="accent3">
                  <a:lumMod val="75000"/>
                </a:schemeClr>
              </a:contourClr>
            </a:sp3d>
          </c:spPr>
          <c:invertIfNegative val="0"/>
          <c:val>
            <c:numRef>
              <c:f>Ventas_Ingresos!$D$69</c:f>
              <c:numCache>
                <c:formatCode>#,##0</c:formatCode>
                <c:ptCount val="1"/>
                <c:pt idx="0">
                  <c:v>895.90313926655995</c:v>
                </c:pt>
              </c:numCache>
            </c:numRef>
          </c:val>
          <c:extLst>
            <c:ext xmlns:c16="http://schemas.microsoft.com/office/drawing/2014/chart" uri="{C3380CC4-5D6E-409C-BE32-E72D297353CC}">
              <c16:uniqueId val="{0000000F-7B00-4B9D-9423-03904479491D}"/>
            </c:ext>
          </c:extLst>
        </c:ser>
        <c:ser>
          <c:idx val="2"/>
          <c:order val="2"/>
          <c:tx>
            <c:strRef>
              <c:f>Ventas_Ingresos!$A$70</c:f>
              <c:strCache>
                <c:ptCount val="1"/>
                <c:pt idx="0">
                  <c:v>Vestidos</c:v>
                </c:pt>
              </c:strCache>
            </c:strRef>
          </c:tx>
          <c:spPr>
            <a:solidFill>
              <a:schemeClr val="accent5"/>
            </a:solidFill>
            <a:ln>
              <a:solidFill>
                <a:schemeClr val="accent5">
                  <a:lumMod val="75000"/>
                </a:schemeClr>
              </a:solidFill>
            </a:ln>
            <a:effectLst/>
            <a:scene3d>
              <a:camera prst="orthographicFront"/>
              <a:lightRig rig="threePt" dir="t"/>
            </a:scene3d>
            <a:sp3d prstMaterial="translucentPowder">
              <a:contourClr>
                <a:schemeClr val="accent5">
                  <a:lumMod val="75000"/>
                </a:schemeClr>
              </a:contourClr>
            </a:sp3d>
          </c:spPr>
          <c:invertIfNegative val="0"/>
          <c:val>
            <c:numRef>
              <c:f>Ventas_Ingresos!$D$70</c:f>
              <c:numCache>
                <c:formatCode>#,##0</c:formatCode>
                <c:ptCount val="1"/>
                <c:pt idx="0">
                  <c:v>895.90313926655995</c:v>
                </c:pt>
              </c:numCache>
            </c:numRef>
          </c:val>
          <c:extLst>
            <c:ext xmlns:c16="http://schemas.microsoft.com/office/drawing/2014/chart" uri="{C3380CC4-5D6E-409C-BE32-E72D297353CC}">
              <c16:uniqueId val="{00000010-7B00-4B9D-9423-03904479491D}"/>
            </c:ext>
          </c:extLst>
        </c:ser>
        <c:ser>
          <c:idx val="3"/>
          <c:order val="3"/>
          <c:tx>
            <c:strRef>
              <c:f>Ventas_Ingresos!$A$71</c:f>
              <c:strCache>
                <c:ptCount val="1"/>
                <c:pt idx="0">
                  <c:v>Payamas</c:v>
                </c:pt>
              </c:strCache>
            </c:strRef>
          </c:tx>
          <c:spPr>
            <a:solidFill>
              <a:schemeClr val="accent1">
                <a:lumMod val="60000"/>
              </a:schemeClr>
            </a:solidFill>
            <a:ln>
              <a:solidFill>
                <a:schemeClr val="accent1">
                  <a:lumMod val="60000"/>
                  <a:lumMod val="75000"/>
                </a:schemeClr>
              </a:solidFill>
            </a:ln>
            <a:effectLst/>
            <a:scene3d>
              <a:camera prst="orthographicFront"/>
              <a:lightRig rig="threePt" dir="t"/>
            </a:scene3d>
            <a:sp3d prstMaterial="translucentPowder">
              <a:contourClr>
                <a:schemeClr val="accent1">
                  <a:lumMod val="60000"/>
                  <a:lumMod val="75000"/>
                </a:schemeClr>
              </a:contourClr>
            </a:sp3d>
          </c:spPr>
          <c:invertIfNegative val="0"/>
          <c:val>
            <c:numRef>
              <c:f>Ventas_Ingresos!$D$71</c:f>
              <c:numCache>
                <c:formatCode>#,##0</c:formatCode>
                <c:ptCount val="1"/>
                <c:pt idx="0">
                  <c:v>713.29867776000003</c:v>
                </c:pt>
              </c:numCache>
            </c:numRef>
          </c:val>
          <c:extLst>
            <c:ext xmlns:c16="http://schemas.microsoft.com/office/drawing/2014/chart" uri="{C3380CC4-5D6E-409C-BE32-E72D297353CC}">
              <c16:uniqueId val="{00000011-7B00-4B9D-9423-03904479491D}"/>
            </c:ext>
          </c:extLst>
        </c:ser>
        <c:ser>
          <c:idx val="4"/>
          <c:order val="4"/>
          <c:tx>
            <c:strRef>
              <c:f>Ventas_Ingresos!$A$72</c:f>
              <c:strCache>
                <c:ptCount val="1"/>
                <c:pt idx="0">
                  <c:v>Faldas</c:v>
                </c:pt>
              </c:strCache>
            </c:strRef>
          </c:tx>
          <c:spPr>
            <a:solidFill>
              <a:schemeClr val="accent3">
                <a:lumMod val="60000"/>
              </a:schemeClr>
            </a:solidFill>
            <a:ln>
              <a:solidFill>
                <a:schemeClr val="accent3">
                  <a:lumMod val="60000"/>
                  <a:lumMod val="75000"/>
                </a:schemeClr>
              </a:solidFill>
            </a:ln>
            <a:effectLst/>
            <a:scene3d>
              <a:camera prst="orthographicFront"/>
              <a:lightRig rig="threePt" dir="t"/>
            </a:scene3d>
            <a:sp3d prstMaterial="translucentPowder">
              <a:contourClr>
                <a:schemeClr val="accent3">
                  <a:lumMod val="60000"/>
                  <a:lumMod val="75000"/>
                </a:schemeClr>
              </a:contourClr>
            </a:sp3d>
          </c:spPr>
          <c:invertIfNegative val="0"/>
          <c:val>
            <c:numRef>
              <c:f>Ventas_Ingresos!$D$72</c:f>
              <c:numCache>
                <c:formatCode>#,##0</c:formatCode>
                <c:ptCount val="1"/>
                <c:pt idx="0">
                  <c:v>713.29867776000003</c:v>
                </c:pt>
              </c:numCache>
            </c:numRef>
          </c:val>
          <c:extLst>
            <c:ext xmlns:c16="http://schemas.microsoft.com/office/drawing/2014/chart" uri="{C3380CC4-5D6E-409C-BE32-E72D297353CC}">
              <c16:uniqueId val="{00000012-7B00-4B9D-9423-03904479491D}"/>
            </c:ext>
          </c:extLst>
        </c:ser>
        <c:ser>
          <c:idx val="5"/>
          <c:order val="5"/>
          <c:tx>
            <c:strRef>
              <c:f>Ventas_Ingresos!$A$73</c:f>
              <c:strCache>
                <c:ptCount val="1"/>
                <c:pt idx="0">
                  <c:v>Bolsas</c:v>
                </c:pt>
              </c:strCache>
            </c:strRef>
          </c:tx>
          <c:spPr>
            <a:solidFill>
              <a:schemeClr val="accent5">
                <a:lumMod val="60000"/>
              </a:schemeClr>
            </a:solidFill>
            <a:ln>
              <a:solidFill>
                <a:schemeClr val="accent5">
                  <a:lumMod val="60000"/>
                  <a:lumMod val="75000"/>
                </a:schemeClr>
              </a:solidFill>
            </a:ln>
            <a:effectLst/>
            <a:scene3d>
              <a:camera prst="orthographicFront"/>
              <a:lightRig rig="threePt" dir="t"/>
            </a:scene3d>
            <a:sp3d prstMaterial="translucentPowder">
              <a:contourClr>
                <a:schemeClr val="accent5">
                  <a:lumMod val="60000"/>
                  <a:lumMod val="75000"/>
                </a:schemeClr>
              </a:contourClr>
            </a:sp3d>
          </c:spPr>
          <c:invertIfNegative val="0"/>
          <c:val>
            <c:numRef>
              <c:f>Ventas_Ingresos!$D$73</c:f>
              <c:numCache>
                <c:formatCode>#,##0</c:formatCode>
                <c:ptCount val="1"/>
                <c:pt idx="0">
                  <c:v>713.29867776000003</c:v>
                </c:pt>
              </c:numCache>
            </c:numRef>
          </c:val>
          <c:extLst>
            <c:ext xmlns:c16="http://schemas.microsoft.com/office/drawing/2014/chart" uri="{C3380CC4-5D6E-409C-BE32-E72D297353CC}">
              <c16:uniqueId val="{00000013-7B00-4B9D-9423-03904479491D}"/>
            </c:ext>
          </c:extLst>
        </c:ser>
        <c:ser>
          <c:idx val="6"/>
          <c:order val="6"/>
          <c:tx>
            <c:strRef>
              <c:f>Ventas_Ingresos!$A$74</c:f>
              <c:strCache>
                <c:ptCount val="1"/>
                <c:pt idx="0">
                  <c:v>Cadenas</c:v>
                </c:pt>
              </c:strCache>
            </c:strRef>
          </c:tx>
          <c:spPr>
            <a:solidFill>
              <a:schemeClr val="accent1">
                <a:lumMod val="80000"/>
                <a:lumOff val="20000"/>
              </a:schemeClr>
            </a:solidFill>
            <a:ln>
              <a:solidFill>
                <a:schemeClr val="accent1">
                  <a:lumMod val="80000"/>
                  <a:lumOff val="20000"/>
                  <a:lumMod val="75000"/>
                </a:schemeClr>
              </a:solidFill>
            </a:ln>
            <a:effectLst/>
            <a:scene3d>
              <a:camera prst="orthographicFront"/>
              <a:lightRig rig="threePt" dir="t"/>
            </a:scene3d>
            <a:sp3d prstMaterial="translucentPowder">
              <a:contourClr>
                <a:schemeClr val="accent1">
                  <a:lumMod val="80000"/>
                  <a:lumOff val="20000"/>
                  <a:lumMod val="75000"/>
                </a:schemeClr>
              </a:contourClr>
            </a:sp3d>
          </c:spPr>
          <c:invertIfNegative val="0"/>
          <c:val>
            <c:numRef>
              <c:f>Ventas_Ingresos!$D$74</c:f>
              <c:numCache>
                <c:formatCode>#,##0</c:formatCode>
                <c:ptCount val="1"/>
                <c:pt idx="0">
                  <c:v>567.91296000000011</c:v>
                </c:pt>
              </c:numCache>
            </c:numRef>
          </c:val>
          <c:extLst>
            <c:ext xmlns:c16="http://schemas.microsoft.com/office/drawing/2014/chart" uri="{C3380CC4-5D6E-409C-BE32-E72D297353CC}">
              <c16:uniqueId val="{00000014-7B00-4B9D-9423-03904479491D}"/>
            </c:ext>
          </c:extLst>
        </c:ser>
        <c:dLbls>
          <c:showLegendKey val="0"/>
          <c:showVal val="0"/>
          <c:showCatName val="0"/>
          <c:showSerName val="0"/>
          <c:showPercent val="0"/>
          <c:showBubbleSize val="0"/>
        </c:dLbls>
        <c:gapWidth val="150"/>
        <c:shape val="box"/>
        <c:axId val="1219143167"/>
        <c:axId val="1219141087"/>
        <c:axId val="0"/>
      </c:bar3DChart>
      <c:catAx>
        <c:axId val="121914316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crossAx val="1219141087"/>
        <c:crosses val="autoZero"/>
        <c:auto val="1"/>
        <c:lblAlgn val="ctr"/>
        <c:lblOffset val="100"/>
        <c:noMultiLvlLbl val="0"/>
      </c:catAx>
      <c:valAx>
        <c:axId val="1219141087"/>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crossAx val="1219143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Ventas_Ingresos!$A$4</c:f>
              <c:strCache>
                <c:ptCount val="1"/>
                <c:pt idx="0">
                  <c:v>Camisas</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dPt>
            <c:idx val="0"/>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1-B960-45B1-8698-F242EF1D91C6}"/>
              </c:ext>
            </c:extLst>
          </c:dPt>
          <c:dPt>
            <c:idx val="1"/>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3-B960-45B1-8698-F242EF1D91C6}"/>
              </c:ext>
            </c:extLst>
          </c:dPt>
          <c:dPt>
            <c:idx val="2"/>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5-B960-45B1-8698-F242EF1D91C6}"/>
              </c:ext>
            </c:extLst>
          </c:dPt>
          <c:dPt>
            <c:idx val="3"/>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7-B960-45B1-8698-F242EF1D91C6}"/>
              </c:ext>
            </c:extLst>
          </c:dPt>
          <c:dPt>
            <c:idx val="4"/>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9-B960-45B1-8698-F242EF1D91C6}"/>
              </c:ext>
            </c:extLst>
          </c:dPt>
          <c:dPt>
            <c:idx val="5"/>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B-B960-45B1-8698-F242EF1D91C6}"/>
              </c:ext>
            </c:extLst>
          </c:dPt>
          <c:dPt>
            <c:idx val="6"/>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D-B960-45B1-8698-F242EF1D91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HN"/>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Ventas_Ingresos!$D$4</c:f>
              <c:numCache>
                <c:formatCode>#,##0</c:formatCode>
                <c:ptCount val="1"/>
                <c:pt idx="0">
                  <c:v>360</c:v>
                </c:pt>
              </c:numCache>
            </c:numRef>
          </c:val>
          <c:extLst>
            <c:ext xmlns:c16="http://schemas.microsoft.com/office/drawing/2014/chart" uri="{C3380CC4-5D6E-409C-BE32-E72D297353CC}">
              <c16:uniqueId val="{0000000E-B960-45B1-8698-F242EF1D91C6}"/>
            </c:ext>
          </c:extLst>
        </c:ser>
        <c:ser>
          <c:idx val="1"/>
          <c:order val="1"/>
          <c:tx>
            <c:strRef>
              <c:f>Ventas_Ingresos!$A$5</c:f>
              <c:strCache>
                <c:ptCount val="1"/>
                <c:pt idx="0">
                  <c:v>Pantalones</c:v>
                </c:pt>
              </c:strCache>
            </c:strRef>
          </c:tx>
          <c:spPr>
            <a:solidFill>
              <a:schemeClr val="accent3"/>
            </a:solidFill>
            <a:ln>
              <a:solidFill>
                <a:schemeClr val="accent3">
                  <a:lumMod val="75000"/>
                </a:schemeClr>
              </a:solidFill>
            </a:ln>
            <a:effectLst/>
            <a:scene3d>
              <a:camera prst="orthographicFront"/>
              <a:lightRig rig="threePt" dir="t"/>
            </a:scene3d>
            <a:sp3d prstMaterial="translucentPowder">
              <a:contourClr>
                <a:schemeClr val="accent3">
                  <a:lumMod val="75000"/>
                </a:schemeClr>
              </a:contourClr>
            </a:sp3d>
          </c:spPr>
          <c:invertIfNegative val="0"/>
          <c:val>
            <c:numRef>
              <c:f>Ventas_Ingresos!$D$5</c:f>
              <c:numCache>
                <c:formatCode>#,##0</c:formatCode>
                <c:ptCount val="1"/>
                <c:pt idx="0">
                  <c:v>360</c:v>
                </c:pt>
              </c:numCache>
            </c:numRef>
          </c:val>
          <c:extLst>
            <c:ext xmlns:c16="http://schemas.microsoft.com/office/drawing/2014/chart" uri="{C3380CC4-5D6E-409C-BE32-E72D297353CC}">
              <c16:uniqueId val="{0000000F-A2C3-4B98-BDFA-2D7406AA2CD3}"/>
            </c:ext>
          </c:extLst>
        </c:ser>
        <c:ser>
          <c:idx val="2"/>
          <c:order val="2"/>
          <c:tx>
            <c:strRef>
              <c:f>Ventas_Ingresos!$A$6</c:f>
              <c:strCache>
                <c:ptCount val="1"/>
                <c:pt idx="0">
                  <c:v>Vestidos</c:v>
                </c:pt>
              </c:strCache>
            </c:strRef>
          </c:tx>
          <c:spPr>
            <a:solidFill>
              <a:schemeClr val="accent5"/>
            </a:solidFill>
            <a:ln>
              <a:solidFill>
                <a:schemeClr val="accent5">
                  <a:lumMod val="75000"/>
                </a:schemeClr>
              </a:solidFill>
            </a:ln>
            <a:effectLst/>
            <a:scene3d>
              <a:camera prst="orthographicFront"/>
              <a:lightRig rig="threePt" dir="t"/>
            </a:scene3d>
            <a:sp3d prstMaterial="translucentPowder">
              <a:contourClr>
                <a:schemeClr val="accent5">
                  <a:lumMod val="75000"/>
                </a:schemeClr>
              </a:contourClr>
            </a:sp3d>
          </c:spPr>
          <c:invertIfNegative val="0"/>
          <c:val>
            <c:numRef>
              <c:f>Ventas_Ingresos!$D$6</c:f>
              <c:numCache>
                <c:formatCode>#,##0</c:formatCode>
                <c:ptCount val="1"/>
                <c:pt idx="0">
                  <c:v>360</c:v>
                </c:pt>
              </c:numCache>
            </c:numRef>
          </c:val>
          <c:extLst>
            <c:ext xmlns:c16="http://schemas.microsoft.com/office/drawing/2014/chart" uri="{C3380CC4-5D6E-409C-BE32-E72D297353CC}">
              <c16:uniqueId val="{00000010-A2C3-4B98-BDFA-2D7406AA2CD3}"/>
            </c:ext>
          </c:extLst>
        </c:ser>
        <c:ser>
          <c:idx val="3"/>
          <c:order val="3"/>
          <c:tx>
            <c:strRef>
              <c:f>Ventas_Ingresos!$A$7</c:f>
              <c:strCache>
                <c:ptCount val="1"/>
                <c:pt idx="0">
                  <c:v>Payamas</c:v>
                </c:pt>
              </c:strCache>
            </c:strRef>
          </c:tx>
          <c:spPr>
            <a:solidFill>
              <a:schemeClr val="accent1">
                <a:lumMod val="60000"/>
              </a:schemeClr>
            </a:solidFill>
            <a:ln>
              <a:solidFill>
                <a:schemeClr val="accent1">
                  <a:lumMod val="60000"/>
                  <a:lumMod val="75000"/>
                </a:schemeClr>
              </a:solidFill>
            </a:ln>
            <a:effectLst/>
            <a:scene3d>
              <a:camera prst="orthographicFront"/>
              <a:lightRig rig="threePt" dir="t"/>
            </a:scene3d>
            <a:sp3d prstMaterial="translucentPowder">
              <a:contourClr>
                <a:schemeClr val="accent1">
                  <a:lumMod val="60000"/>
                  <a:lumMod val="75000"/>
                </a:schemeClr>
              </a:contourClr>
            </a:sp3d>
          </c:spPr>
          <c:invertIfNegative val="0"/>
          <c:val>
            <c:numRef>
              <c:f>Ventas_Ingresos!$D$7</c:f>
              <c:numCache>
                <c:formatCode>#,##0</c:formatCode>
                <c:ptCount val="1"/>
                <c:pt idx="0">
                  <c:v>360</c:v>
                </c:pt>
              </c:numCache>
            </c:numRef>
          </c:val>
          <c:extLst>
            <c:ext xmlns:c16="http://schemas.microsoft.com/office/drawing/2014/chart" uri="{C3380CC4-5D6E-409C-BE32-E72D297353CC}">
              <c16:uniqueId val="{00000011-A2C3-4B98-BDFA-2D7406AA2CD3}"/>
            </c:ext>
          </c:extLst>
        </c:ser>
        <c:ser>
          <c:idx val="4"/>
          <c:order val="4"/>
          <c:tx>
            <c:strRef>
              <c:f>Ventas_Ingresos!$A$8</c:f>
              <c:strCache>
                <c:ptCount val="1"/>
                <c:pt idx="0">
                  <c:v>Faldas</c:v>
                </c:pt>
              </c:strCache>
            </c:strRef>
          </c:tx>
          <c:spPr>
            <a:solidFill>
              <a:schemeClr val="accent3">
                <a:lumMod val="60000"/>
              </a:schemeClr>
            </a:solidFill>
            <a:ln>
              <a:solidFill>
                <a:schemeClr val="accent3">
                  <a:lumMod val="60000"/>
                  <a:lumMod val="75000"/>
                </a:schemeClr>
              </a:solidFill>
            </a:ln>
            <a:effectLst/>
            <a:scene3d>
              <a:camera prst="orthographicFront"/>
              <a:lightRig rig="threePt" dir="t"/>
            </a:scene3d>
            <a:sp3d prstMaterial="translucentPowder">
              <a:contourClr>
                <a:schemeClr val="accent3">
                  <a:lumMod val="60000"/>
                  <a:lumMod val="75000"/>
                </a:schemeClr>
              </a:contourClr>
            </a:sp3d>
          </c:spPr>
          <c:invertIfNegative val="0"/>
          <c:val>
            <c:numRef>
              <c:f>Ventas_Ingresos!$D$8</c:f>
              <c:numCache>
                <c:formatCode>#,##0</c:formatCode>
                <c:ptCount val="1"/>
                <c:pt idx="0">
                  <c:v>0</c:v>
                </c:pt>
              </c:numCache>
            </c:numRef>
          </c:val>
          <c:extLst>
            <c:ext xmlns:c16="http://schemas.microsoft.com/office/drawing/2014/chart" uri="{C3380CC4-5D6E-409C-BE32-E72D297353CC}">
              <c16:uniqueId val="{00000012-A2C3-4B98-BDFA-2D7406AA2CD3}"/>
            </c:ext>
          </c:extLst>
        </c:ser>
        <c:ser>
          <c:idx val="5"/>
          <c:order val="5"/>
          <c:tx>
            <c:strRef>
              <c:f>Ventas_Ingresos!$A$9</c:f>
              <c:strCache>
                <c:ptCount val="1"/>
                <c:pt idx="0">
                  <c:v>Bolsas</c:v>
                </c:pt>
              </c:strCache>
            </c:strRef>
          </c:tx>
          <c:spPr>
            <a:solidFill>
              <a:schemeClr val="accent5">
                <a:lumMod val="60000"/>
              </a:schemeClr>
            </a:solidFill>
            <a:ln>
              <a:solidFill>
                <a:schemeClr val="accent5">
                  <a:lumMod val="60000"/>
                  <a:lumMod val="75000"/>
                </a:schemeClr>
              </a:solidFill>
            </a:ln>
            <a:effectLst/>
            <a:scene3d>
              <a:camera prst="orthographicFront"/>
              <a:lightRig rig="threePt" dir="t"/>
            </a:scene3d>
            <a:sp3d prstMaterial="translucentPowder">
              <a:contourClr>
                <a:schemeClr val="accent5">
                  <a:lumMod val="60000"/>
                  <a:lumMod val="75000"/>
                </a:schemeClr>
              </a:contourClr>
            </a:sp3d>
          </c:spPr>
          <c:invertIfNegative val="0"/>
          <c:val>
            <c:numRef>
              <c:f>Ventas_Ingresos!$D$9</c:f>
              <c:numCache>
                <c:formatCode>#,##0</c:formatCode>
                <c:ptCount val="1"/>
                <c:pt idx="0">
                  <c:v>0</c:v>
                </c:pt>
              </c:numCache>
            </c:numRef>
          </c:val>
          <c:extLst>
            <c:ext xmlns:c16="http://schemas.microsoft.com/office/drawing/2014/chart" uri="{C3380CC4-5D6E-409C-BE32-E72D297353CC}">
              <c16:uniqueId val="{00000013-A2C3-4B98-BDFA-2D7406AA2CD3}"/>
            </c:ext>
          </c:extLst>
        </c:ser>
        <c:ser>
          <c:idx val="6"/>
          <c:order val="6"/>
          <c:tx>
            <c:strRef>
              <c:f>Ventas_Ingresos!$A$10</c:f>
              <c:strCache>
                <c:ptCount val="1"/>
                <c:pt idx="0">
                  <c:v>Cadenas</c:v>
                </c:pt>
              </c:strCache>
            </c:strRef>
          </c:tx>
          <c:spPr>
            <a:solidFill>
              <a:schemeClr val="accent1">
                <a:lumMod val="80000"/>
                <a:lumOff val="20000"/>
              </a:schemeClr>
            </a:solidFill>
            <a:ln>
              <a:solidFill>
                <a:schemeClr val="accent1">
                  <a:lumMod val="80000"/>
                  <a:lumOff val="20000"/>
                  <a:lumMod val="75000"/>
                </a:schemeClr>
              </a:solidFill>
            </a:ln>
            <a:effectLst/>
            <a:scene3d>
              <a:camera prst="orthographicFront"/>
              <a:lightRig rig="threePt" dir="t"/>
            </a:scene3d>
            <a:sp3d prstMaterial="translucentPowder">
              <a:contourClr>
                <a:schemeClr val="accent1">
                  <a:lumMod val="80000"/>
                  <a:lumOff val="20000"/>
                  <a:lumMod val="75000"/>
                </a:schemeClr>
              </a:contourClr>
            </a:sp3d>
          </c:spPr>
          <c:invertIfNegative val="0"/>
          <c:val>
            <c:numRef>
              <c:f>Ventas_Ingresos!$D$10</c:f>
              <c:numCache>
                <c:formatCode>#,##0</c:formatCode>
                <c:ptCount val="1"/>
                <c:pt idx="0">
                  <c:v>360</c:v>
                </c:pt>
              </c:numCache>
            </c:numRef>
          </c:val>
          <c:extLst>
            <c:ext xmlns:c16="http://schemas.microsoft.com/office/drawing/2014/chart" uri="{C3380CC4-5D6E-409C-BE32-E72D297353CC}">
              <c16:uniqueId val="{00000014-A2C3-4B98-BDFA-2D7406AA2CD3}"/>
            </c:ext>
          </c:extLst>
        </c:ser>
        <c:dLbls>
          <c:showLegendKey val="0"/>
          <c:showVal val="0"/>
          <c:showCatName val="0"/>
          <c:showSerName val="0"/>
          <c:showPercent val="0"/>
          <c:showBubbleSize val="0"/>
        </c:dLbls>
        <c:gapWidth val="150"/>
        <c:shape val="box"/>
        <c:axId val="1306675839"/>
        <c:axId val="1306673343"/>
        <c:axId val="0"/>
      </c:bar3DChart>
      <c:catAx>
        <c:axId val="130667583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crossAx val="1306673343"/>
        <c:crosses val="autoZero"/>
        <c:auto val="1"/>
        <c:lblAlgn val="ctr"/>
        <c:lblOffset val="100"/>
        <c:noMultiLvlLbl val="0"/>
      </c:catAx>
      <c:valAx>
        <c:axId val="1306673343"/>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crossAx val="1306675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Ventas_Ingresos!$A$20</c:f>
              <c:strCache>
                <c:ptCount val="1"/>
                <c:pt idx="0">
                  <c:v>Camisas</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dPt>
            <c:idx val="0"/>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1-3BF4-42AD-AB8F-16AA19FF1C73}"/>
              </c:ext>
            </c:extLst>
          </c:dPt>
          <c:dPt>
            <c:idx val="1"/>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3-3BF4-42AD-AB8F-16AA19FF1C73}"/>
              </c:ext>
            </c:extLst>
          </c:dPt>
          <c:dPt>
            <c:idx val="2"/>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5-3BF4-42AD-AB8F-16AA19FF1C73}"/>
              </c:ext>
            </c:extLst>
          </c:dPt>
          <c:dPt>
            <c:idx val="3"/>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7-3BF4-42AD-AB8F-16AA19FF1C73}"/>
              </c:ext>
            </c:extLst>
          </c:dPt>
          <c:dPt>
            <c:idx val="4"/>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9-3BF4-42AD-AB8F-16AA19FF1C73}"/>
              </c:ext>
            </c:extLst>
          </c:dPt>
          <c:dPt>
            <c:idx val="5"/>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B-3BF4-42AD-AB8F-16AA19FF1C73}"/>
              </c:ext>
            </c:extLst>
          </c:dPt>
          <c:dPt>
            <c:idx val="6"/>
            <c:invertIfNegative val="0"/>
            <c:bubble3D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extLst>
              <c:ext xmlns:c16="http://schemas.microsoft.com/office/drawing/2014/chart" uri="{C3380CC4-5D6E-409C-BE32-E72D297353CC}">
                <c16:uniqueId val="{0000000D-3BF4-42AD-AB8F-16AA19FF1C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HN"/>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Ventas_Ingresos!$D$20</c:f>
              <c:numCache>
                <c:formatCode>#,##0</c:formatCode>
                <c:ptCount val="1"/>
                <c:pt idx="0">
                  <c:v>452.15999999999997</c:v>
                </c:pt>
              </c:numCache>
            </c:numRef>
          </c:val>
          <c:extLst>
            <c:ext xmlns:c16="http://schemas.microsoft.com/office/drawing/2014/chart" uri="{C3380CC4-5D6E-409C-BE32-E72D297353CC}">
              <c16:uniqueId val="{0000000E-3BF4-42AD-AB8F-16AA19FF1C73}"/>
            </c:ext>
          </c:extLst>
        </c:ser>
        <c:ser>
          <c:idx val="1"/>
          <c:order val="1"/>
          <c:tx>
            <c:strRef>
              <c:f>Ventas_Ingresos!$A$21</c:f>
              <c:strCache>
                <c:ptCount val="1"/>
                <c:pt idx="0">
                  <c:v>Pantalones</c:v>
                </c:pt>
              </c:strCache>
            </c:strRef>
          </c:tx>
          <c:spPr>
            <a:solidFill>
              <a:schemeClr val="accent3"/>
            </a:solidFill>
            <a:ln>
              <a:solidFill>
                <a:schemeClr val="accent3">
                  <a:lumMod val="75000"/>
                </a:schemeClr>
              </a:solidFill>
            </a:ln>
            <a:effectLst/>
            <a:scene3d>
              <a:camera prst="orthographicFront"/>
              <a:lightRig rig="threePt" dir="t"/>
            </a:scene3d>
            <a:sp3d prstMaterial="translucentPowder">
              <a:contourClr>
                <a:schemeClr val="accent3">
                  <a:lumMod val="75000"/>
                </a:schemeClr>
              </a:contourClr>
            </a:sp3d>
          </c:spPr>
          <c:invertIfNegative val="0"/>
          <c:val>
            <c:numRef>
              <c:f>Ventas_Ingresos!$D$21</c:f>
              <c:numCache>
                <c:formatCode>#,##0</c:formatCode>
                <c:ptCount val="1"/>
                <c:pt idx="0">
                  <c:v>452.15999999999997</c:v>
                </c:pt>
              </c:numCache>
            </c:numRef>
          </c:val>
          <c:extLst>
            <c:ext xmlns:c16="http://schemas.microsoft.com/office/drawing/2014/chart" uri="{C3380CC4-5D6E-409C-BE32-E72D297353CC}">
              <c16:uniqueId val="{0000000F-740F-4909-8829-8CA27FCD5F65}"/>
            </c:ext>
          </c:extLst>
        </c:ser>
        <c:ser>
          <c:idx val="2"/>
          <c:order val="2"/>
          <c:tx>
            <c:strRef>
              <c:f>Ventas_Ingresos!$A$22</c:f>
              <c:strCache>
                <c:ptCount val="1"/>
                <c:pt idx="0">
                  <c:v>Vestidos</c:v>
                </c:pt>
              </c:strCache>
            </c:strRef>
          </c:tx>
          <c:spPr>
            <a:solidFill>
              <a:schemeClr val="accent5"/>
            </a:solidFill>
            <a:ln>
              <a:solidFill>
                <a:schemeClr val="accent5">
                  <a:lumMod val="75000"/>
                </a:schemeClr>
              </a:solidFill>
            </a:ln>
            <a:effectLst/>
            <a:scene3d>
              <a:camera prst="orthographicFront"/>
              <a:lightRig rig="threePt" dir="t"/>
            </a:scene3d>
            <a:sp3d prstMaterial="translucentPowder">
              <a:contourClr>
                <a:schemeClr val="accent5">
                  <a:lumMod val="75000"/>
                </a:schemeClr>
              </a:contourClr>
            </a:sp3d>
          </c:spPr>
          <c:invertIfNegative val="0"/>
          <c:val>
            <c:numRef>
              <c:f>Ventas_Ingresos!$D$22</c:f>
              <c:numCache>
                <c:formatCode>#,##0</c:formatCode>
                <c:ptCount val="1"/>
                <c:pt idx="0">
                  <c:v>452.15999999999997</c:v>
                </c:pt>
              </c:numCache>
            </c:numRef>
          </c:val>
          <c:extLst>
            <c:ext xmlns:c16="http://schemas.microsoft.com/office/drawing/2014/chart" uri="{C3380CC4-5D6E-409C-BE32-E72D297353CC}">
              <c16:uniqueId val="{00000010-740F-4909-8829-8CA27FCD5F65}"/>
            </c:ext>
          </c:extLst>
        </c:ser>
        <c:ser>
          <c:idx val="3"/>
          <c:order val="3"/>
          <c:tx>
            <c:strRef>
              <c:f>Ventas_Ingresos!$A$23</c:f>
              <c:strCache>
                <c:ptCount val="1"/>
                <c:pt idx="0">
                  <c:v>Payamas</c:v>
                </c:pt>
              </c:strCache>
            </c:strRef>
          </c:tx>
          <c:spPr>
            <a:solidFill>
              <a:schemeClr val="accent1">
                <a:lumMod val="60000"/>
              </a:schemeClr>
            </a:solidFill>
            <a:ln>
              <a:solidFill>
                <a:schemeClr val="accent1">
                  <a:lumMod val="60000"/>
                  <a:lumMod val="75000"/>
                </a:schemeClr>
              </a:solidFill>
            </a:ln>
            <a:effectLst/>
            <a:scene3d>
              <a:camera prst="orthographicFront"/>
              <a:lightRig rig="threePt" dir="t"/>
            </a:scene3d>
            <a:sp3d prstMaterial="translucentPowder">
              <a:contourClr>
                <a:schemeClr val="accent1">
                  <a:lumMod val="60000"/>
                  <a:lumMod val="75000"/>
                </a:schemeClr>
              </a:contourClr>
            </a:sp3d>
          </c:spPr>
          <c:invertIfNegative val="0"/>
          <c:val>
            <c:numRef>
              <c:f>Ventas_Ingresos!$D$23</c:f>
              <c:numCache>
                <c:formatCode>#,##0</c:formatCode>
                <c:ptCount val="1"/>
                <c:pt idx="0">
                  <c:v>452.15999999999997</c:v>
                </c:pt>
              </c:numCache>
            </c:numRef>
          </c:val>
          <c:extLst>
            <c:ext xmlns:c16="http://schemas.microsoft.com/office/drawing/2014/chart" uri="{C3380CC4-5D6E-409C-BE32-E72D297353CC}">
              <c16:uniqueId val="{00000011-740F-4909-8829-8CA27FCD5F65}"/>
            </c:ext>
          </c:extLst>
        </c:ser>
        <c:ser>
          <c:idx val="4"/>
          <c:order val="4"/>
          <c:tx>
            <c:strRef>
              <c:f>Ventas_Ingresos!$A$24</c:f>
              <c:strCache>
                <c:ptCount val="1"/>
                <c:pt idx="0">
                  <c:v>Faldas</c:v>
                </c:pt>
              </c:strCache>
            </c:strRef>
          </c:tx>
          <c:spPr>
            <a:solidFill>
              <a:schemeClr val="accent3">
                <a:lumMod val="60000"/>
              </a:schemeClr>
            </a:solidFill>
            <a:ln>
              <a:solidFill>
                <a:schemeClr val="accent3">
                  <a:lumMod val="60000"/>
                  <a:lumMod val="75000"/>
                </a:schemeClr>
              </a:solidFill>
            </a:ln>
            <a:effectLst/>
            <a:scene3d>
              <a:camera prst="orthographicFront"/>
              <a:lightRig rig="threePt" dir="t"/>
            </a:scene3d>
            <a:sp3d prstMaterial="translucentPowder">
              <a:contourClr>
                <a:schemeClr val="accent3">
                  <a:lumMod val="60000"/>
                  <a:lumMod val="75000"/>
                </a:schemeClr>
              </a:contourClr>
            </a:sp3d>
          </c:spPr>
          <c:invertIfNegative val="0"/>
          <c:val>
            <c:numRef>
              <c:f>Ventas_Ingresos!$D$24</c:f>
              <c:numCache>
                <c:formatCode>#,##0</c:formatCode>
                <c:ptCount val="1"/>
                <c:pt idx="0">
                  <c:v>360</c:v>
                </c:pt>
              </c:numCache>
            </c:numRef>
          </c:val>
          <c:extLst>
            <c:ext xmlns:c16="http://schemas.microsoft.com/office/drawing/2014/chart" uri="{C3380CC4-5D6E-409C-BE32-E72D297353CC}">
              <c16:uniqueId val="{00000012-740F-4909-8829-8CA27FCD5F65}"/>
            </c:ext>
          </c:extLst>
        </c:ser>
        <c:ser>
          <c:idx val="5"/>
          <c:order val="5"/>
          <c:tx>
            <c:strRef>
              <c:f>Ventas_Ingresos!$A$25</c:f>
              <c:strCache>
                <c:ptCount val="1"/>
                <c:pt idx="0">
                  <c:v>Bolsas</c:v>
                </c:pt>
              </c:strCache>
            </c:strRef>
          </c:tx>
          <c:spPr>
            <a:solidFill>
              <a:schemeClr val="accent5">
                <a:lumMod val="60000"/>
              </a:schemeClr>
            </a:solidFill>
            <a:ln>
              <a:solidFill>
                <a:schemeClr val="accent5">
                  <a:lumMod val="60000"/>
                  <a:lumMod val="75000"/>
                </a:schemeClr>
              </a:solidFill>
            </a:ln>
            <a:effectLst/>
            <a:scene3d>
              <a:camera prst="orthographicFront"/>
              <a:lightRig rig="threePt" dir="t"/>
            </a:scene3d>
            <a:sp3d prstMaterial="translucentPowder">
              <a:contourClr>
                <a:schemeClr val="accent5">
                  <a:lumMod val="60000"/>
                  <a:lumMod val="75000"/>
                </a:schemeClr>
              </a:contourClr>
            </a:sp3d>
          </c:spPr>
          <c:invertIfNegative val="0"/>
          <c:val>
            <c:numRef>
              <c:f>Ventas_Ingresos!$D$25</c:f>
              <c:numCache>
                <c:formatCode>#,##0</c:formatCode>
                <c:ptCount val="1"/>
                <c:pt idx="0">
                  <c:v>0</c:v>
                </c:pt>
              </c:numCache>
            </c:numRef>
          </c:val>
          <c:extLst>
            <c:ext xmlns:c16="http://schemas.microsoft.com/office/drawing/2014/chart" uri="{C3380CC4-5D6E-409C-BE32-E72D297353CC}">
              <c16:uniqueId val="{00000013-740F-4909-8829-8CA27FCD5F65}"/>
            </c:ext>
          </c:extLst>
        </c:ser>
        <c:ser>
          <c:idx val="6"/>
          <c:order val="6"/>
          <c:tx>
            <c:strRef>
              <c:f>Ventas_Ingresos!$A$26</c:f>
              <c:strCache>
                <c:ptCount val="1"/>
                <c:pt idx="0">
                  <c:v>Cadenas</c:v>
                </c:pt>
              </c:strCache>
            </c:strRef>
          </c:tx>
          <c:spPr>
            <a:solidFill>
              <a:schemeClr val="accent1">
                <a:lumMod val="80000"/>
                <a:lumOff val="20000"/>
              </a:schemeClr>
            </a:solidFill>
            <a:ln>
              <a:solidFill>
                <a:schemeClr val="accent1">
                  <a:lumMod val="80000"/>
                  <a:lumOff val="20000"/>
                  <a:lumMod val="75000"/>
                </a:schemeClr>
              </a:solidFill>
            </a:ln>
            <a:effectLst/>
            <a:scene3d>
              <a:camera prst="orthographicFront"/>
              <a:lightRig rig="threePt" dir="t"/>
            </a:scene3d>
            <a:sp3d prstMaterial="translucentPowder">
              <a:contourClr>
                <a:schemeClr val="accent1">
                  <a:lumMod val="80000"/>
                  <a:lumOff val="20000"/>
                  <a:lumMod val="75000"/>
                </a:schemeClr>
              </a:contourClr>
            </a:sp3d>
          </c:spPr>
          <c:invertIfNegative val="0"/>
          <c:val>
            <c:numRef>
              <c:f>Ventas_Ingresos!$D$26</c:f>
              <c:numCache>
                <c:formatCode>#,##0</c:formatCode>
                <c:ptCount val="1"/>
                <c:pt idx="0">
                  <c:v>452.15999999999997</c:v>
                </c:pt>
              </c:numCache>
            </c:numRef>
          </c:val>
          <c:extLst>
            <c:ext xmlns:c16="http://schemas.microsoft.com/office/drawing/2014/chart" uri="{C3380CC4-5D6E-409C-BE32-E72D297353CC}">
              <c16:uniqueId val="{00000014-740F-4909-8829-8CA27FCD5F65}"/>
            </c:ext>
          </c:extLst>
        </c:ser>
        <c:dLbls>
          <c:showLegendKey val="0"/>
          <c:showVal val="0"/>
          <c:showCatName val="0"/>
          <c:showSerName val="0"/>
          <c:showPercent val="0"/>
          <c:showBubbleSize val="0"/>
        </c:dLbls>
        <c:gapWidth val="150"/>
        <c:shape val="box"/>
        <c:axId val="1302060591"/>
        <c:axId val="1302063503"/>
        <c:axId val="0"/>
      </c:bar3DChart>
      <c:catAx>
        <c:axId val="130206059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crossAx val="1302063503"/>
        <c:crosses val="autoZero"/>
        <c:auto val="1"/>
        <c:lblAlgn val="ctr"/>
        <c:lblOffset val="100"/>
        <c:noMultiLvlLbl val="0"/>
      </c:catAx>
      <c:valAx>
        <c:axId val="1302063503"/>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crossAx val="1302060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Ventas_Ingresos!$A$36</c:f>
              <c:strCache>
                <c:ptCount val="1"/>
                <c:pt idx="0">
                  <c:v>Camisas</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dPt>
            <c:idx val="0"/>
            <c:invertIfNegative val="0"/>
            <c:bubble3D val="0"/>
            <c:extLst>
              <c:ext xmlns:c16="http://schemas.microsoft.com/office/drawing/2014/chart" uri="{C3380CC4-5D6E-409C-BE32-E72D297353CC}">
                <c16:uniqueId val="{00000001-1015-49DA-8233-D22FB4E1E2EF}"/>
              </c:ext>
            </c:extLst>
          </c:dPt>
          <c:dPt>
            <c:idx val="1"/>
            <c:invertIfNegative val="0"/>
            <c:bubble3D val="0"/>
            <c:extLst>
              <c:ext xmlns:c16="http://schemas.microsoft.com/office/drawing/2014/chart" uri="{C3380CC4-5D6E-409C-BE32-E72D297353CC}">
                <c16:uniqueId val="{00000003-1015-49DA-8233-D22FB4E1E2EF}"/>
              </c:ext>
            </c:extLst>
          </c:dPt>
          <c:dPt>
            <c:idx val="2"/>
            <c:invertIfNegative val="0"/>
            <c:bubble3D val="0"/>
            <c:extLst>
              <c:ext xmlns:c16="http://schemas.microsoft.com/office/drawing/2014/chart" uri="{C3380CC4-5D6E-409C-BE32-E72D297353CC}">
                <c16:uniqueId val="{00000005-1015-49DA-8233-D22FB4E1E2EF}"/>
              </c:ext>
            </c:extLst>
          </c:dPt>
          <c:dPt>
            <c:idx val="3"/>
            <c:invertIfNegative val="0"/>
            <c:bubble3D val="0"/>
            <c:extLst>
              <c:ext xmlns:c16="http://schemas.microsoft.com/office/drawing/2014/chart" uri="{C3380CC4-5D6E-409C-BE32-E72D297353CC}">
                <c16:uniqueId val="{00000007-1015-49DA-8233-D22FB4E1E2EF}"/>
              </c:ext>
            </c:extLst>
          </c:dPt>
          <c:dPt>
            <c:idx val="4"/>
            <c:invertIfNegative val="0"/>
            <c:bubble3D val="0"/>
            <c:extLst>
              <c:ext xmlns:c16="http://schemas.microsoft.com/office/drawing/2014/chart" uri="{C3380CC4-5D6E-409C-BE32-E72D297353CC}">
                <c16:uniqueId val="{00000009-1015-49DA-8233-D22FB4E1E2EF}"/>
              </c:ext>
            </c:extLst>
          </c:dPt>
          <c:dPt>
            <c:idx val="5"/>
            <c:invertIfNegative val="0"/>
            <c:bubble3D val="0"/>
            <c:extLst>
              <c:ext xmlns:c16="http://schemas.microsoft.com/office/drawing/2014/chart" uri="{C3380CC4-5D6E-409C-BE32-E72D297353CC}">
                <c16:uniqueId val="{0000000B-1015-49DA-8233-D22FB4E1E2EF}"/>
              </c:ext>
            </c:extLst>
          </c:dPt>
          <c:dPt>
            <c:idx val="6"/>
            <c:invertIfNegative val="0"/>
            <c:bubble3D val="0"/>
            <c:extLst>
              <c:ext xmlns:c16="http://schemas.microsoft.com/office/drawing/2014/chart" uri="{C3380CC4-5D6E-409C-BE32-E72D297353CC}">
                <c16:uniqueId val="{0000000D-1015-49DA-8233-D22FB4E1E2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HN"/>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Ventas_Ingresos!$D$36</c:f>
              <c:numCache>
                <c:formatCode>#,##0</c:formatCode>
                <c:ptCount val="1"/>
                <c:pt idx="0">
                  <c:v>567.91296000000011</c:v>
                </c:pt>
              </c:numCache>
            </c:numRef>
          </c:val>
          <c:extLst>
            <c:ext xmlns:c16="http://schemas.microsoft.com/office/drawing/2014/chart" uri="{C3380CC4-5D6E-409C-BE32-E72D297353CC}">
              <c16:uniqueId val="{0000000E-1015-49DA-8233-D22FB4E1E2EF}"/>
            </c:ext>
          </c:extLst>
        </c:ser>
        <c:ser>
          <c:idx val="1"/>
          <c:order val="1"/>
          <c:tx>
            <c:strRef>
              <c:f>Ventas_Ingresos!$A$37</c:f>
              <c:strCache>
                <c:ptCount val="1"/>
                <c:pt idx="0">
                  <c:v>Pantalones</c:v>
                </c:pt>
              </c:strCache>
            </c:strRef>
          </c:tx>
          <c:spPr>
            <a:solidFill>
              <a:schemeClr val="accent3"/>
            </a:solidFill>
            <a:ln>
              <a:solidFill>
                <a:schemeClr val="accent3">
                  <a:lumMod val="75000"/>
                </a:schemeClr>
              </a:solidFill>
            </a:ln>
            <a:effectLst/>
            <a:scene3d>
              <a:camera prst="orthographicFront"/>
              <a:lightRig rig="threePt" dir="t"/>
            </a:scene3d>
            <a:sp3d prstMaterial="translucentPowder">
              <a:contourClr>
                <a:schemeClr val="accent3">
                  <a:lumMod val="75000"/>
                </a:schemeClr>
              </a:contourClr>
            </a:sp3d>
          </c:spPr>
          <c:invertIfNegative val="0"/>
          <c:val>
            <c:numRef>
              <c:f>Ventas_Ingresos!$D$37</c:f>
              <c:numCache>
                <c:formatCode>#,##0</c:formatCode>
                <c:ptCount val="1"/>
                <c:pt idx="0">
                  <c:v>567.91296000000011</c:v>
                </c:pt>
              </c:numCache>
            </c:numRef>
          </c:val>
          <c:extLst>
            <c:ext xmlns:c16="http://schemas.microsoft.com/office/drawing/2014/chart" uri="{C3380CC4-5D6E-409C-BE32-E72D297353CC}">
              <c16:uniqueId val="{0000000F-E0C8-4261-B20A-4774C4630E3F}"/>
            </c:ext>
          </c:extLst>
        </c:ser>
        <c:ser>
          <c:idx val="2"/>
          <c:order val="2"/>
          <c:tx>
            <c:strRef>
              <c:f>Ventas_Ingresos!$A$38</c:f>
              <c:strCache>
                <c:ptCount val="1"/>
                <c:pt idx="0">
                  <c:v>Vestidos</c:v>
                </c:pt>
              </c:strCache>
            </c:strRef>
          </c:tx>
          <c:spPr>
            <a:solidFill>
              <a:schemeClr val="accent5"/>
            </a:solidFill>
            <a:ln>
              <a:solidFill>
                <a:schemeClr val="accent5">
                  <a:lumMod val="75000"/>
                </a:schemeClr>
              </a:solidFill>
            </a:ln>
            <a:effectLst/>
            <a:scene3d>
              <a:camera prst="orthographicFront"/>
              <a:lightRig rig="threePt" dir="t"/>
            </a:scene3d>
            <a:sp3d prstMaterial="translucentPowder">
              <a:contourClr>
                <a:schemeClr val="accent5">
                  <a:lumMod val="75000"/>
                </a:schemeClr>
              </a:contourClr>
            </a:sp3d>
          </c:spPr>
          <c:invertIfNegative val="0"/>
          <c:val>
            <c:numRef>
              <c:f>Ventas_Ingresos!$D$38</c:f>
              <c:numCache>
                <c:formatCode>#,##0</c:formatCode>
                <c:ptCount val="1"/>
                <c:pt idx="0">
                  <c:v>567.91296000000011</c:v>
                </c:pt>
              </c:numCache>
            </c:numRef>
          </c:val>
          <c:extLst>
            <c:ext xmlns:c16="http://schemas.microsoft.com/office/drawing/2014/chart" uri="{C3380CC4-5D6E-409C-BE32-E72D297353CC}">
              <c16:uniqueId val="{00000010-E0C8-4261-B20A-4774C4630E3F}"/>
            </c:ext>
          </c:extLst>
        </c:ser>
        <c:ser>
          <c:idx val="3"/>
          <c:order val="3"/>
          <c:tx>
            <c:strRef>
              <c:f>Ventas_Ingresos!$A$39</c:f>
              <c:strCache>
                <c:ptCount val="1"/>
                <c:pt idx="0">
                  <c:v>Payamas</c:v>
                </c:pt>
              </c:strCache>
            </c:strRef>
          </c:tx>
          <c:spPr>
            <a:solidFill>
              <a:schemeClr val="accent1">
                <a:lumMod val="60000"/>
              </a:schemeClr>
            </a:solidFill>
            <a:ln>
              <a:solidFill>
                <a:schemeClr val="accent1">
                  <a:lumMod val="60000"/>
                  <a:lumMod val="75000"/>
                </a:schemeClr>
              </a:solidFill>
            </a:ln>
            <a:effectLst/>
            <a:scene3d>
              <a:camera prst="orthographicFront"/>
              <a:lightRig rig="threePt" dir="t"/>
            </a:scene3d>
            <a:sp3d prstMaterial="translucentPowder">
              <a:contourClr>
                <a:schemeClr val="accent1">
                  <a:lumMod val="60000"/>
                  <a:lumMod val="75000"/>
                </a:schemeClr>
              </a:contourClr>
            </a:sp3d>
          </c:spPr>
          <c:invertIfNegative val="0"/>
          <c:val>
            <c:numRef>
              <c:f>Ventas_Ingresos!$D$39</c:f>
              <c:numCache>
                <c:formatCode>#,##0</c:formatCode>
                <c:ptCount val="1"/>
                <c:pt idx="0">
                  <c:v>452.15999999999997</c:v>
                </c:pt>
              </c:numCache>
            </c:numRef>
          </c:val>
          <c:extLst>
            <c:ext xmlns:c16="http://schemas.microsoft.com/office/drawing/2014/chart" uri="{C3380CC4-5D6E-409C-BE32-E72D297353CC}">
              <c16:uniqueId val="{00000011-E0C8-4261-B20A-4774C4630E3F}"/>
            </c:ext>
          </c:extLst>
        </c:ser>
        <c:ser>
          <c:idx val="4"/>
          <c:order val="4"/>
          <c:tx>
            <c:strRef>
              <c:f>Ventas_Ingresos!$A$40</c:f>
              <c:strCache>
                <c:ptCount val="1"/>
                <c:pt idx="0">
                  <c:v>Faldas</c:v>
                </c:pt>
              </c:strCache>
            </c:strRef>
          </c:tx>
          <c:spPr>
            <a:solidFill>
              <a:schemeClr val="accent3">
                <a:lumMod val="60000"/>
              </a:schemeClr>
            </a:solidFill>
            <a:ln>
              <a:solidFill>
                <a:schemeClr val="accent3">
                  <a:lumMod val="60000"/>
                  <a:lumMod val="75000"/>
                </a:schemeClr>
              </a:solidFill>
            </a:ln>
            <a:effectLst/>
            <a:scene3d>
              <a:camera prst="orthographicFront"/>
              <a:lightRig rig="threePt" dir="t"/>
            </a:scene3d>
            <a:sp3d prstMaterial="translucentPowder">
              <a:contourClr>
                <a:schemeClr val="accent3">
                  <a:lumMod val="60000"/>
                  <a:lumMod val="75000"/>
                </a:schemeClr>
              </a:contourClr>
            </a:sp3d>
          </c:spPr>
          <c:invertIfNegative val="0"/>
          <c:val>
            <c:numRef>
              <c:f>Ventas_Ingresos!$D$40</c:f>
              <c:numCache>
                <c:formatCode>#,##0</c:formatCode>
                <c:ptCount val="1"/>
                <c:pt idx="0">
                  <c:v>452.15999999999997</c:v>
                </c:pt>
              </c:numCache>
            </c:numRef>
          </c:val>
          <c:extLst>
            <c:ext xmlns:c16="http://schemas.microsoft.com/office/drawing/2014/chart" uri="{C3380CC4-5D6E-409C-BE32-E72D297353CC}">
              <c16:uniqueId val="{00000012-E0C8-4261-B20A-4774C4630E3F}"/>
            </c:ext>
          </c:extLst>
        </c:ser>
        <c:ser>
          <c:idx val="5"/>
          <c:order val="5"/>
          <c:tx>
            <c:strRef>
              <c:f>Ventas_Ingresos!$A$41</c:f>
              <c:strCache>
                <c:ptCount val="1"/>
                <c:pt idx="0">
                  <c:v>Bolsas</c:v>
                </c:pt>
              </c:strCache>
            </c:strRef>
          </c:tx>
          <c:spPr>
            <a:solidFill>
              <a:schemeClr val="accent5">
                <a:lumMod val="60000"/>
              </a:schemeClr>
            </a:solidFill>
            <a:ln>
              <a:solidFill>
                <a:schemeClr val="accent5">
                  <a:lumMod val="60000"/>
                  <a:lumMod val="75000"/>
                </a:schemeClr>
              </a:solidFill>
            </a:ln>
            <a:effectLst/>
            <a:scene3d>
              <a:camera prst="orthographicFront"/>
              <a:lightRig rig="threePt" dir="t"/>
            </a:scene3d>
            <a:sp3d prstMaterial="translucentPowder">
              <a:contourClr>
                <a:schemeClr val="accent5">
                  <a:lumMod val="60000"/>
                  <a:lumMod val="75000"/>
                </a:schemeClr>
              </a:contourClr>
            </a:sp3d>
          </c:spPr>
          <c:invertIfNegative val="0"/>
          <c:val>
            <c:numRef>
              <c:f>Ventas_Ingresos!$D$41</c:f>
              <c:numCache>
                <c:formatCode>#,##0</c:formatCode>
                <c:ptCount val="1"/>
                <c:pt idx="0">
                  <c:v>452.15999999999997</c:v>
                </c:pt>
              </c:numCache>
            </c:numRef>
          </c:val>
          <c:extLst>
            <c:ext xmlns:c16="http://schemas.microsoft.com/office/drawing/2014/chart" uri="{C3380CC4-5D6E-409C-BE32-E72D297353CC}">
              <c16:uniqueId val="{00000013-E0C8-4261-B20A-4774C4630E3F}"/>
            </c:ext>
          </c:extLst>
        </c:ser>
        <c:ser>
          <c:idx val="6"/>
          <c:order val="6"/>
          <c:tx>
            <c:strRef>
              <c:f>Ventas_Ingresos!$A$42</c:f>
              <c:strCache>
                <c:ptCount val="1"/>
                <c:pt idx="0">
                  <c:v>Cadenas</c:v>
                </c:pt>
              </c:strCache>
            </c:strRef>
          </c:tx>
          <c:spPr>
            <a:solidFill>
              <a:schemeClr val="accent1">
                <a:lumMod val="80000"/>
                <a:lumOff val="20000"/>
              </a:schemeClr>
            </a:solidFill>
            <a:ln>
              <a:solidFill>
                <a:schemeClr val="accent1">
                  <a:lumMod val="80000"/>
                  <a:lumOff val="20000"/>
                  <a:lumMod val="75000"/>
                </a:schemeClr>
              </a:solidFill>
            </a:ln>
            <a:effectLst/>
            <a:scene3d>
              <a:camera prst="orthographicFront"/>
              <a:lightRig rig="threePt" dir="t"/>
            </a:scene3d>
            <a:sp3d prstMaterial="translucentPowder">
              <a:contourClr>
                <a:schemeClr val="accent1">
                  <a:lumMod val="80000"/>
                  <a:lumOff val="20000"/>
                  <a:lumMod val="75000"/>
                </a:schemeClr>
              </a:contourClr>
            </a:sp3d>
          </c:spPr>
          <c:invertIfNegative val="0"/>
          <c:val>
            <c:numRef>
              <c:f>Ventas_Ingresos!$D$42</c:f>
              <c:numCache>
                <c:formatCode>#,##0</c:formatCode>
                <c:ptCount val="1"/>
                <c:pt idx="0">
                  <c:v>360</c:v>
                </c:pt>
              </c:numCache>
            </c:numRef>
          </c:val>
          <c:extLst>
            <c:ext xmlns:c16="http://schemas.microsoft.com/office/drawing/2014/chart" uri="{C3380CC4-5D6E-409C-BE32-E72D297353CC}">
              <c16:uniqueId val="{00000014-E0C8-4261-B20A-4774C4630E3F}"/>
            </c:ext>
          </c:extLst>
        </c:ser>
        <c:dLbls>
          <c:showLegendKey val="0"/>
          <c:showVal val="0"/>
          <c:showCatName val="0"/>
          <c:showSerName val="0"/>
          <c:showPercent val="0"/>
          <c:showBubbleSize val="0"/>
        </c:dLbls>
        <c:gapWidth val="150"/>
        <c:shape val="box"/>
        <c:axId val="1624657327"/>
        <c:axId val="1624664815"/>
        <c:axId val="0"/>
      </c:bar3DChart>
      <c:catAx>
        <c:axId val="162465732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crossAx val="1624664815"/>
        <c:crosses val="autoZero"/>
        <c:auto val="1"/>
        <c:lblAlgn val="ctr"/>
        <c:lblOffset val="100"/>
        <c:noMultiLvlLbl val="0"/>
      </c:catAx>
      <c:valAx>
        <c:axId val="1624664815"/>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crossAx val="1624657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H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H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11.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12.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13.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14.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15.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1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9.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5</xdr:col>
      <xdr:colOff>333912</xdr:colOff>
      <xdr:row>0</xdr:row>
      <xdr:rowOff>106289</xdr:rowOff>
    </xdr:from>
    <xdr:to>
      <xdr:col>11</xdr:col>
      <xdr:colOff>21492</xdr:colOff>
      <xdr:row>16</xdr:row>
      <xdr:rowOff>106290</xdr:rowOff>
    </xdr:to>
    <xdr:graphicFrame macro="">
      <xdr:nvGraphicFramePr>
        <xdr:cNvPr id="8" name="Gráfico 7">
          <a:extLst>
            <a:ext uri="{FF2B5EF4-FFF2-40B4-BE49-F238E27FC236}">
              <a16:creationId xmlns:a16="http://schemas.microsoft.com/office/drawing/2014/main" id="{640C7B18-5B14-4B18-AD37-1C1657942C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402736</xdr:colOff>
      <xdr:row>17</xdr:row>
      <xdr:rowOff>172719</xdr:rowOff>
    </xdr:from>
    <xdr:to>
      <xdr:col>11</xdr:col>
      <xdr:colOff>225541</xdr:colOff>
      <xdr:row>34</xdr:row>
      <xdr:rowOff>6617</xdr:rowOff>
    </xdr:to>
    <xdr:graphicFrame macro="">
      <xdr:nvGraphicFramePr>
        <xdr:cNvPr id="11" name="Gráfico 10">
          <a:extLst>
            <a:ext uri="{FF2B5EF4-FFF2-40B4-BE49-F238E27FC236}">
              <a16:creationId xmlns:a16="http://schemas.microsoft.com/office/drawing/2014/main" id="{D85A7AF0-05CD-411C-BDC5-09CC4C8CA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123411</xdr:colOff>
      <xdr:row>7</xdr:row>
      <xdr:rowOff>29983</xdr:rowOff>
    </xdr:from>
    <xdr:to>
      <xdr:col>1</xdr:col>
      <xdr:colOff>236220</xdr:colOff>
      <xdr:row>7</xdr:row>
      <xdr:rowOff>160020</xdr:rowOff>
    </xdr:to>
    <xdr:sp macro="" textlink="">
      <xdr:nvSpPr>
        <xdr:cNvPr id="3" name="Rectángulo 2">
          <a:extLst>
            <a:ext uri="{FF2B5EF4-FFF2-40B4-BE49-F238E27FC236}">
              <a16:creationId xmlns:a16="http://schemas.microsoft.com/office/drawing/2014/main" id="{058CED12-8138-425B-8049-5D38AEC04623}"/>
            </a:ext>
          </a:extLst>
        </xdr:cNvPr>
        <xdr:cNvSpPr/>
      </xdr:nvSpPr>
      <xdr:spPr>
        <a:xfrm>
          <a:off x="1213071" y="1310143"/>
          <a:ext cx="112809" cy="13003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HN" sz="1100"/>
        </a:p>
      </xdr:txBody>
    </xdr:sp>
    <xdr:clientData/>
  </xdr:twoCellAnchor>
  <xdr:twoCellAnchor>
    <xdr:from>
      <xdr:col>5</xdr:col>
      <xdr:colOff>114134</xdr:colOff>
      <xdr:row>7</xdr:row>
      <xdr:rowOff>27167</xdr:rowOff>
    </xdr:from>
    <xdr:to>
      <xdr:col>5</xdr:col>
      <xdr:colOff>240858</xdr:colOff>
      <xdr:row>7</xdr:row>
      <xdr:rowOff>168633</xdr:rowOff>
    </xdr:to>
    <xdr:sp macro="" textlink="">
      <xdr:nvSpPr>
        <xdr:cNvPr id="4" name="Triángulo isósceles 3">
          <a:extLst>
            <a:ext uri="{FF2B5EF4-FFF2-40B4-BE49-F238E27FC236}">
              <a16:creationId xmlns:a16="http://schemas.microsoft.com/office/drawing/2014/main" id="{9DB3584E-0023-4CDC-897A-EEE5C029B5B6}"/>
            </a:ext>
          </a:extLst>
        </xdr:cNvPr>
        <xdr:cNvSpPr/>
      </xdr:nvSpPr>
      <xdr:spPr>
        <a:xfrm rot="10800000">
          <a:off x="2636354" y="1307327"/>
          <a:ext cx="126724" cy="141466"/>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HN" sz="1100"/>
        </a:p>
      </xdr:txBody>
    </xdr:sp>
    <xdr:clientData/>
  </xdr:twoCellAnchor>
  <xdr:twoCellAnchor>
    <xdr:from>
      <xdr:col>2</xdr:col>
      <xdr:colOff>116619</xdr:colOff>
      <xdr:row>7</xdr:row>
      <xdr:rowOff>20872</xdr:rowOff>
    </xdr:from>
    <xdr:to>
      <xdr:col>2</xdr:col>
      <xdr:colOff>259080</xdr:colOff>
      <xdr:row>7</xdr:row>
      <xdr:rowOff>160020</xdr:rowOff>
    </xdr:to>
    <xdr:sp macro="" textlink="">
      <xdr:nvSpPr>
        <xdr:cNvPr id="6" name="Elipse 5">
          <a:extLst>
            <a:ext uri="{FF2B5EF4-FFF2-40B4-BE49-F238E27FC236}">
              <a16:creationId xmlns:a16="http://schemas.microsoft.com/office/drawing/2014/main" id="{77B310F7-DF26-419A-A678-257403BAF95C}"/>
            </a:ext>
          </a:extLst>
        </xdr:cNvPr>
        <xdr:cNvSpPr/>
      </xdr:nvSpPr>
      <xdr:spPr>
        <a:xfrm>
          <a:off x="1564419" y="1301032"/>
          <a:ext cx="142461" cy="1391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HN" sz="1100"/>
        </a:p>
      </xdr:txBody>
    </xdr:sp>
    <xdr:clientData/>
  </xdr:twoCellAnchor>
  <xdr:twoCellAnchor>
    <xdr:from>
      <xdr:col>3</xdr:col>
      <xdr:colOff>116094</xdr:colOff>
      <xdr:row>7</xdr:row>
      <xdr:rowOff>32811</xdr:rowOff>
    </xdr:from>
    <xdr:to>
      <xdr:col>3</xdr:col>
      <xdr:colOff>260194</xdr:colOff>
      <xdr:row>7</xdr:row>
      <xdr:rowOff>156490</xdr:rowOff>
    </xdr:to>
    <xdr:sp macro="" textlink="">
      <xdr:nvSpPr>
        <xdr:cNvPr id="7" name="Rectángulo 6">
          <a:extLst>
            <a:ext uri="{FF2B5EF4-FFF2-40B4-BE49-F238E27FC236}">
              <a16:creationId xmlns:a16="http://schemas.microsoft.com/office/drawing/2014/main" id="{2848A45A-3140-4494-8685-17163CACDF68}"/>
            </a:ext>
          </a:extLst>
        </xdr:cNvPr>
        <xdr:cNvSpPr/>
      </xdr:nvSpPr>
      <xdr:spPr>
        <a:xfrm>
          <a:off x="2633003" y="1325902"/>
          <a:ext cx="144100" cy="1236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HN" sz="1100"/>
        </a:p>
      </xdr:txBody>
    </xdr:sp>
    <xdr:clientData/>
  </xdr:twoCellAnchor>
  <xdr:twoCellAnchor>
    <xdr:from>
      <xdr:col>3</xdr:col>
      <xdr:colOff>149283</xdr:colOff>
      <xdr:row>7</xdr:row>
      <xdr:rowOff>46600</xdr:rowOff>
    </xdr:from>
    <xdr:to>
      <xdr:col>3</xdr:col>
      <xdr:colOff>226095</xdr:colOff>
      <xdr:row>7</xdr:row>
      <xdr:rowOff>134301</xdr:rowOff>
    </xdr:to>
    <xdr:sp macro="" textlink="">
      <xdr:nvSpPr>
        <xdr:cNvPr id="8" name="Elipse 7">
          <a:extLst>
            <a:ext uri="{FF2B5EF4-FFF2-40B4-BE49-F238E27FC236}">
              <a16:creationId xmlns:a16="http://schemas.microsoft.com/office/drawing/2014/main" id="{A326BD4F-982C-4456-8C2C-1BBDC763F1FB}"/>
            </a:ext>
          </a:extLst>
        </xdr:cNvPr>
        <xdr:cNvSpPr/>
      </xdr:nvSpPr>
      <xdr:spPr>
        <a:xfrm>
          <a:off x="2655023" y="1336684"/>
          <a:ext cx="76812" cy="87701"/>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HN" sz="1100"/>
        </a:p>
      </xdr:txBody>
    </xdr:sp>
    <xdr:clientData/>
  </xdr:twoCellAnchor>
  <xdr:twoCellAnchor>
    <xdr:from>
      <xdr:col>4</xdr:col>
      <xdr:colOff>85937</xdr:colOff>
      <xdr:row>7</xdr:row>
      <xdr:rowOff>28646</xdr:rowOff>
    </xdr:from>
    <xdr:to>
      <xdr:col>4</xdr:col>
      <xdr:colOff>252087</xdr:colOff>
      <xdr:row>7</xdr:row>
      <xdr:rowOff>148962</xdr:rowOff>
    </xdr:to>
    <xdr:sp macro="" textlink="">
      <xdr:nvSpPr>
        <xdr:cNvPr id="9" name="Flecha: a la derecha 8">
          <a:extLst>
            <a:ext uri="{FF2B5EF4-FFF2-40B4-BE49-F238E27FC236}">
              <a16:creationId xmlns:a16="http://schemas.microsoft.com/office/drawing/2014/main" id="{F397EFA6-E9B6-409B-AE87-252867BA3EE4}"/>
            </a:ext>
          </a:extLst>
        </xdr:cNvPr>
        <xdr:cNvSpPr/>
      </xdr:nvSpPr>
      <xdr:spPr>
        <a:xfrm>
          <a:off x="2257351" y="1312014"/>
          <a:ext cx="166150" cy="1203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HN" sz="1100"/>
        </a:p>
      </xdr:txBody>
    </xdr:sp>
    <xdr:clientData/>
  </xdr:twoCellAnchor>
  <xdr:twoCellAnchor>
    <xdr:from>
      <xdr:col>6</xdr:col>
      <xdr:colOff>108856</xdr:colOff>
      <xdr:row>7</xdr:row>
      <xdr:rowOff>28647</xdr:rowOff>
    </xdr:from>
    <xdr:to>
      <xdr:col>6</xdr:col>
      <xdr:colOff>234901</xdr:colOff>
      <xdr:row>7</xdr:row>
      <xdr:rowOff>148963</xdr:rowOff>
    </xdr:to>
    <xdr:sp macro="" textlink="">
      <xdr:nvSpPr>
        <xdr:cNvPr id="10" name="Diagrama de flujo: retraso 9">
          <a:extLst>
            <a:ext uri="{FF2B5EF4-FFF2-40B4-BE49-F238E27FC236}">
              <a16:creationId xmlns:a16="http://schemas.microsoft.com/office/drawing/2014/main" id="{0FB8F910-0FDC-4C4E-988F-979F23F401B3}"/>
            </a:ext>
          </a:extLst>
        </xdr:cNvPr>
        <xdr:cNvSpPr/>
      </xdr:nvSpPr>
      <xdr:spPr>
        <a:xfrm>
          <a:off x="3002164" y="1312015"/>
          <a:ext cx="126045" cy="120316"/>
        </a:xfrm>
        <a:prstGeom prst="flowChartDelay">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HN" sz="1100"/>
        </a:p>
      </xdr:txBody>
    </xdr:sp>
    <xdr:clientData/>
  </xdr:twoCellAnchor>
  <xdr:twoCellAnchor>
    <xdr:from>
      <xdr:col>9</xdr:col>
      <xdr:colOff>233792</xdr:colOff>
      <xdr:row>2</xdr:row>
      <xdr:rowOff>25977</xdr:rowOff>
    </xdr:from>
    <xdr:to>
      <xdr:col>9</xdr:col>
      <xdr:colOff>346601</xdr:colOff>
      <xdr:row>2</xdr:row>
      <xdr:rowOff>156014</xdr:rowOff>
    </xdr:to>
    <xdr:sp macro="" textlink="">
      <xdr:nvSpPr>
        <xdr:cNvPr id="11" name="Rectángulo 10">
          <a:extLst>
            <a:ext uri="{FF2B5EF4-FFF2-40B4-BE49-F238E27FC236}">
              <a16:creationId xmlns:a16="http://schemas.microsoft.com/office/drawing/2014/main" id="{24A570FF-B13C-4DC5-A6A9-051D91B70A3E}"/>
            </a:ext>
          </a:extLst>
        </xdr:cNvPr>
        <xdr:cNvSpPr/>
      </xdr:nvSpPr>
      <xdr:spPr>
        <a:xfrm>
          <a:off x="5870860" y="389659"/>
          <a:ext cx="112809" cy="13003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HN" sz="1100"/>
        </a:p>
      </xdr:txBody>
    </xdr:sp>
    <xdr:clientData/>
  </xdr:twoCellAnchor>
  <xdr:twoCellAnchor>
    <xdr:from>
      <xdr:col>9</xdr:col>
      <xdr:colOff>230921</xdr:colOff>
      <xdr:row>3</xdr:row>
      <xdr:rowOff>28146</xdr:rowOff>
    </xdr:from>
    <xdr:to>
      <xdr:col>9</xdr:col>
      <xdr:colOff>373382</xdr:colOff>
      <xdr:row>3</xdr:row>
      <xdr:rowOff>167294</xdr:rowOff>
    </xdr:to>
    <xdr:sp macro="" textlink="">
      <xdr:nvSpPr>
        <xdr:cNvPr id="12" name="Elipse 11">
          <a:extLst>
            <a:ext uri="{FF2B5EF4-FFF2-40B4-BE49-F238E27FC236}">
              <a16:creationId xmlns:a16="http://schemas.microsoft.com/office/drawing/2014/main" id="{BE053991-E086-405A-9E95-C54396491BBE}"/>
            </a:ext>
          </a:extLst>
        </xdr:cNvPr>
        <xdr:cNvSpPr/>
      </xdr:nvSpPr>
      <xdr:spPr>
        <a:xfrm>
          <a:off x="5867989" y="573669"/>
          <a:ext cx="142461" cy="1391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HN" sz="1100"/>
        </a:p>
      </xdr:txBody>
    </xdr:sp>
    <xdr:clientData/>
  </xdr:twoCellAnchor>
  <xdr:twoCellAnchor>
    <xdr:from>
      <xdr:col>9</xdr:col>
      <xdr:colOff>237322</xdr:colOff>
      <xdr:row>4</xdr:row>
      <xdr:rowOff>32811</xdr:rowOff>
    </xdr:from>
    <xdr:to>
      <xdr:col>9</xdr:col>
      <xdr:colOff>381422</xdr:colOff>
      <xdr:row>4</xdr:row>
      <xdr:rowOff>156490</xdr:rowOff>
    </xdr:to>
    <xdr:sp macro="" textlink="">
      <xdr:nvSpPr>
        <xdr:cNvPr id="13" name="Rectángulo 12">
          <a:extLst>
            <a:ext uri="{FF2B5EF4-FFF2-40B4-BE49-F238E27FC236}">
              <a16:creationId xmlns:a16="http://schemas.microsoft.com/office/drawing/2014/main" id="{14AAB3E3-9209-4E58-A9BB-D85BEB37722C}"/>
            </a:ext>
          </a:extLst>
        </xdr:cNvPr>
        <xdr:cNvSpPr/>
      </xdr:nvSpPr>
      <xdr:spPr>
        <a:xfrm>
          <a:off x="5874390" y="760175"/>
          <a:ext cx="144100" cy="1236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HN" sz="1100"/>
        </a:p>
      </xdr:txBody>
    </xdr:sp>
    <xdr:clientData/>
  </xdr:twoCellAnchor>
  <xdr:twoCellAnchor>
    <xdr:from>
      <xdr:col>9</xdr:col>
      <xdr:colOff>270511</xdr:colOff>
      <xdr:row>4</xdr:row>
      <xdr:rowOff>55259</xdr:rowOff>
    </xdr:from>
    <xdr:to>
      <xdr:col>9</xdr:col>
      <xdr:colOff>347323</xdr:colOff>
      <xdr:row>4</xdr:row>
      <xdr:rowOff>142960</xdr:rowOff>
    </xdr:to>
    <xdr:sp macro="" textlink="">
      <xdr:nvSpPr>
        <xdr:cNvPr id="14" name="Elipse 13">
          <a:extLst>
            <a:ext uri="{FF2B5EF4-FFF2-40B4-BE49-F238E27FC236}">
              <a16:creationId xmlns:a16="http://schemas.microsoft.com/office/drawing/2014/main" id="{746EDAF2-28F3-430E-A9CA-EB23C97011F1}"/>
            </a:ext>
          </a:extLst>
        </xdr:cNvPr>
        <xdr:cNvSpPr/>
      </xdr:nvSpPr>
      <xdr:spPr>
        <a:xfrm>
          <a:off x="5907579" y="782623"/>
          <a:ext cx="76812" cy="87701"/>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HN" sz="1100"/>
        </a:p>
      </xdr:txBody>
    </xdr:sp>
    <xdr:clientData/>
  </xdr:twoCellAnchor>
  <xdr:twoCellAnchor>
    <xdr:from>
      <xdr:col>9</xdr:col>
      <xdr:colOff>224482</xdr:colOff>
      <xdr:row>5</xdr:row>
      <xdr:rowOff>45964</xdr:rowOff>
    </xdr:from>
    <xdr:to>
      <xdr:col>9</xdr:col>
      <xdr:colOff>390632</xdr:colOff>
      <xdr:row>5</xdr:row>
      <xdr:rowOff>166280</xdr:rowOff>
    </xdr:to>
    <xdr:sp macro="" textlink="">
      <xdr:nvSpPr>
        <xdr:cNvPr id="15" name="Flecha: a la derecha 14">
          <a:extLst>
            <a:ext uri="{FF2B5EF4-FFF2-40B4-BE49-F238E27FC236}">
              <a16:creationId xmlns:a16="http://schemas.microsoft.com/office/drawing/2014/main" id="{6271BA14-D35A-496B-81BA-7BC4C436511F}"/>
            </a:ext>
          </a:extLst>
        </xdr:cNvPr>
        <xdr:cNvSpPr/>
      </xdr:nvSpPr>
      <xdr:spPr>
        <a:xfrm>
          <a:off x="5861550" y="955169"/>
          <a:ext cx="166150" cy="1203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HN" sz="1100"/>
        </a:p>
      </xdr:txBody>
    </xdr:sp>
    <xdr:clientData/>
  </xdr:twoCellAnchor>
  <xdr:twoCellAnchor>
    <xdr:from>
      <xdr:col>9</xdr:col>
      <xdr:colOff>229127</xdr:colOff>
      <xdr:row>6</xdr:row>
      <xdr:rowOff>25782</xdr:rowOff>
    </xdr:from>
    <xdr:to>
      <xdr:col>9</xdr:col>
      <xdr:colOff>355851</xdr:colOff>
      <xdr:row>6</xdr:row>
      <xdr:rowOff>167248</xdr:rowOff>
    </xdr:to>
    <xdr:sp macro="" textlink="">
      <xdr:nvSpPr>
        <xdr:cNvPr id="16" name="Triángulo isósceles 15">
          <a:extLst>
            <a:ext uri="{FF2B5EF4-FFF2-40B4-BE49-F238E27FC236}">
              <a16:creationId xmlns:a16="http://schemas.microsoft.com/office/drawing/2014/main" id="{8CA05B46-6B8B-4AC4-A79E-6C4EE01A95B3}"/>
            </a:ext>
          </a:extLst>
        </xdr:cNvPr>
        <xdr:cNvSpPr/>
      </xdr:nvSpPr>
      <xdr:spPr>
        <a:xfrm rot="10800000">
          <a:off x="5866195" y="1116827"/>
          <a:ext cx="126724" cy="141466"/>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HN" sz="1100"/>
        </a:p>
      </xdr:txBody>
    </xdr:sp>
    <xdr:clientData/>
  </xdr:twoCellAnchor>
  <xdr:twoCellAnchor>
    <xdr:from>
      <xdr:col>9</xdr:col>
      <xdr:colOff>239914</xdr:colOff>
      <xdr:row>7</xdr:row>
      <xdr:rowOff>30470</xdr:rowOff>
    </xdr:from>
    <xdr:to>
      <xdr:col>9</xdr:col>
      <xdr:colOff>365959</xdr:colOff>
      <xdr:row>7</xdr:row>
      <xdr:rowOff>150786</xdr:rowOff>
    </xdr:to>
    <xdr:sp macro="" textlink="">
      <xdr:nvSpPr>
        <xdr:cNvPr id="17" name="Diagrama de flujo: retraso 16">
          <a:extLst>
            <a:ext uri="{FF2B5EF4-FFF2-40B4-BE49-F238E27FC236}">
              <a16:creationId xmlns:a16="http://schemas.microsoft.com/office/drawing/2014/main" id="{6B488DF3-3F08-434D-AC41-DA3D744F020B}"/>
            </a:ext>
          </a:extLst>
        </xdr:cNvPr>
        <xdr:cNvSpPr/>
      </xdr:nvSpPr>
      <xdr:spPr>
        <a:xfrm>
          <a:off x="5876982" y="1303356"/>
          <a:ext cx="126045" cy="120316"/>
        </a:xfrm>
        <a:prstGeom prst="flowChartDelay">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HN" sz="1100"/>
        </a:p>
      </xdr:txBody>
    </xdr:sp>
    <xdr:clientData/>
  </xdr:twoCellAnchor>
  <xdr:twoCellAnchor>
    <xdr:from>
      <xdr:col>1</xdr:col>
      <xdr:colOff>125488</xdr:colOff>
      <xdr:row>19</xdr:row>
      <xdr:rowOff>28598</xdr:rowOff>
    </xdr:from>
    <xdr:to>
      <xdr:col>1</xdr:col>
      <xdr:colOff>238297</xdr:colOff>
      <xdr:row>19</xdr:row>
      <xdr:rowOff>158635</xdr:rowOff>
    </xdr:to>
    <xdr:sp macro="" textlink="">
      <xdr:nvSpPr>
        <xdr:cNvPr id="18" name="Rectángulo 17">
          <a:extLst>
            <a:ext uri="{FF2B5EF4-FFF2-40B4-BE49-F238E27FC236}">
              <a16:creationId xmlns:a16="http://schemas.microsoft.com/office/drawing/2014/main" id="{CB7C699E-7A9D-4A1B-BAFC-69A50FEDDADC}"/>
            </a:ext>
          </a:extLst>
        </xdr:cNvPr>
        <xdr:cNvSpPr/>
      </xdr:nvSpPr>
      <xdr:spPr>
        <a:xfrm>
          <a:off x="1968143" y="3450671"/>
          <a:ext cx="112809" cy="13003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HN" sz="1100"/>
        </a:p>
      </xdr:txBody>
    </xdr:sp>
    <xdr:clientData/>
  </xdr:twoCellAnchor>
  <xdr:twoCellAnchor>
    <xdr:from>
      <xdr:col>2</xdr:col>
      <xdr:colOff>111425</xdr:colOff>
      <xdr:row>8</xdr:row>
      <xdr:rowOff>19488</xdr:rowOff>
    </xdr:from>
    <xdr:to>
      <xdr:col>2</xdr:col>
      <xdr:colOff>253886</xdr:colOff>
      <xdr:row>8</xdr:row>
      <xdr:rowOff>158636</xdr:rowOff>
    </xdr:to>
    <xdr:sp macro="" textlink="">
      <xdr:nvSpPr>
        <xdr:cNvPr id="20" name="Elipse 19">
          <a:extLst>
            <a:ext uri="{FF2B5EF4-FFF2-40B4-BE49-F238E27FC236}">
              <a16:creationId xmlns:a16="http://schemas.microsoft.com/office/drawing/2014/main" id="{5C8B17DE-E75A-4A4C-AD15-22AF8CE1CD96}"/>
            </a:ext>
          </a:extLst>
        </xdr:cNvPr>
        <xdr:cNvSpPr/>
      </xdr:nvSpPr>
      <xdr:spPr>
        <a:xfrm>
          <a:off x="2314298" y="1460361"/>
          <a:ext cx="142461" cy="1391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HN" sz="1100"/>
        </a:p>
      </xdr:txBody>
    </xdr:sp>
    <xdr:clientData/>
  </xdr:twoCellAnchor>
  <xdr:twoCellAnchor>
    <xdr:from>
      <xdr:col>2</xdr:col>
      <xdr:colOff>111425</xdr:colOff>
      <xdr:row>9</xdr:row>
      <xdr:rowOff>19488</xdr:rowOff>
    </xdr:from>
    <xdr:to>
      <xdr:col>2</xdr:col>
      <xdr:colOff>253886</xdr:colOff>
      <xdr:row>9</xdr:row>
      <xdr:rowOff>158636</xdr:rowOff>
    </xdr:to>
    <xdr:sp macro="" textlink="">
      <xdr:nvSpPr>
        <xdr:cNvPr id="21" name="Elipse 20">
          <a:extLst>
            <a:ext uri="{FF2B5EF4-FFF2-40B4-BE49-F238E27FC236}">
              <a16:creationId xmlns:a16="http://schemas.microsoft.com/office/drawing/2014/main" id="{865F5ED5-151A-4C7E-88DC-36619AC78F51}"/>
            </a:ext>
          </a:extLst>
        </xdr:cNvPr>
        <xdr:cNvSpPr/>
      </xdr:nvSpPr>
      <xdr:spPr>
        <a:xfrm>
          <a:off x="2314298" y="1640470"/>
          <a:ext cx="142461" cy="1391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HN" sz="1100"/>
        </a:p>
      </xdr:txBody>
    </xdr:sp>
    <xdr:clientData/>
  </xdr:twoCellAnchor>
  <xdr:twoCellAnchor>
    <xdr:from>
      <xdr:col>3</xdr:col>
      <xdr:colOff>116094</xdr:colOff>
      <xdr:row>7</xdr:row>
      <xdr:rowOff>32811</xdr:rowOff>
    </xdr:from>
    <xdr:to>
      <xdr:col>3</xdr:col>
      <xdr:colOff>260194</xdr:colOff>
      <xdr:row>7</xdr:row>
      <xdr:rowOff>156490</xdr:rowOff>
    </xdr:to>
    <xdr:sp macro="" textlink="">
      <xdr:nvSpPr>
        <xdr:cNvPr id="23" name="Rectángulo 22">
          <a:extLst>
            <a:ext uri="{FF2B5EF4-FFF2-40B4-BE49-F238E27FC236}">
              <a16:creationId xmlns:a16="http://schemas.microsoft.com/office/drawing/2014/main" id="{1E7357B2-D365-470F-A0D5-030E0F80C78E}"/>
            </a:ext>
          </a:extLst>
        </xdr:cNvPr>
        <xdr:cNvSpPr/>
      </xdr:nvSpPr>
      <xdr:spPr>
        <a:xfrm>
          <a:off x="2679185" y="1293575"/>
          <a:ext cx="144100" cy="1236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HN" sz="1100"/>
        </a:p>
      </xdr:txBody>
    </xdr:sp>
    <xdr:clientData/>
  </xdr:twoCellAnchor>
  <xdr:twoCellAnchor>
    <xdr:from>
      <xdr:col>3</xdr:col>
      <xdr:colOff>149283</xdr:colOff>
      <xdr:row>7</xdr:row>
      <xdr:rowOff>46600</xdr:rowOff>
    </xdr:from>
    <xdr:to>
      <xdr:col>3</xdr:col>
      <xdr:colOff>226095</xdr:colOff>
      <xdr:row>7</xdr:row>
      <xdr:rowOff>134301</xdr:rowOff>
    </xdr:to>
    <xdr:sp macro="" textlink="">
      <xdr:nvSpPr>
        <xdr:cNvPr id="24" name="Elipse 23">
          <a:extLst>
            <a:ext uri="{FF2B5EF4-FFF2-40B4-BE49-F238E27FC236}">
              <a16:creationId xmlns:a16="http://schemas.microsoft.com/office/drawing/2014/main" id="{2E30D9EB-324E-424E-8D64-BC79DB607CE6}"/>
            </a:ext>
          </a:extLst>
        </xdr:cNvPr>
        <xdr:cNvSpPr/>
      </xdr:nvSpPr>
      <xdr:spPr>
        <a:xfrm>
          <a:off x="2712374" y="1307364"/>
          <a:ext cx="76812" cy="87701"/>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HN" sz="1100"/>
        </a:p>
      </xdr:txBody>
    </xdr:sp>
    <xdr:clientData/>
  </xdr:twoCellAnchor>
  <xdr:twoCellAnchor>
    <xdr:from>
      <xdr:col>3</xdr:col>
      <xdr:colOff>95312</xdr:colOff>
      <xdr:row>12</xdr:row>
      <xdr:rowOff>25884</xdr:rowOff>
    </xdr:from>
    <xdr:to>
      <xdr:col>3</xdr:col>
      <xdr:colOff>239412</xdr:colOff>
      <xdr:row>12</xdr:row>
      <xdr:rowOff>149563</xdr:rowOff>
    </xdr:to>
    <xdr:sp macro="" textlink="">
      <xdr:nvSpPr>
        <xdr:cNvPr id="27" name="Rectángulo 26">
          <a:extLst>
            <a:ext uri="{FF2B5EF4-FFF2-40B4-BE49-F238E27FC236}">
              <a16:creationId xmlns:a16="http://schemas.microsoft.com/office/drawing/2014/main" id="{EBD522E2-C0D9-4BA4-B0D7-0E878A3ACFE4}"/>
            </a:ext>
          </a:extLst>
        </xdr:cNvPr>
        <xdr:cNvSpPr/>
      </xdr:nvSpPr>
      <xdr:spPr>
        <a:xfrm>
          <a:off x="2658403" y="2187193"/>
          <a:ext cx="144100" cy="1236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HN" sz="1100"/>
        </a:p>
      </xdr:txBody>
    </xdr:sp>
    <xdr:clientData/>
  </xdr:twoCellAnchor>
  <xdr:twoCellAnchor>
    <xdr:from>
      <xdr:col>3</xdr:col>
      <xdr:colOff>102239</xdr:colOff>
      <xdr:row>15</xdr:row>
      <xdr:rowOff>32811</xdr:rowOff>
    </xdr:from>
    <xdr:to>
      <xdr:col>3</xdr:col>
      <xdr:colOff>246339</xdr:colOff>
      <xdr:row>15</xdr:row>
      <xdr:rowOff>156490</xdr:rowOff>
    </xdr:to>
    <xdr:sp macro="" textlink="">
      <xdr:nvSpPr>
        <xdr:cNvPr id="28" name="Rectángulo 27">
          <a:extLst>
            <a:ext uri="{FF2B5EF4-FFF2-40B4-BE49-F238E27FC236}">
              <a16:creationId xmlns:a16="http://schemas.microsoft.com/office/drawing/2014/main" id="{347AC299-61E8-45FF-A934-EE7958654CC5}"/>
            </a:ext>
          </a:extLst>
        </xdr:cNvPr>
        <xdr:cNvSpPr/>
      </xdr:nvSpPr>
      <xdr:spPr>
        <a:xfrm>
          <a:off x="2665330" y="2734447"/>
          <a:ext cx="144100" cy="1236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HN" sz="1100"/>
        </a:p>
      </xdr:txBody>
    </xdr:sp>
    <xdr:clientData/>
  </xdr:twoCellAnchor>
  <xdr:twoCellAnchor>
    <xdr:from>
      <xdr:col>3</xdr:col>
      <xdr:colOff>95313</xdr:colOff>
      <xdr:row>17</xdr:row>
      <xdr:rowOff>25883</xdr:rowOff>
    </xdr:from>
    <xdr:to>
      <xdr:col>3</xdr:col>
      <xdr:colOff>239413</xdr:colOff>
      <xdr:row>17</xdr:row>
      <xdr:rowOff>149562</xdr:rowOff>
    </xdr:to>
    <xdr:sp macro="" textlink="">
      <xdr:nvSpPr>
        <xdr:cNvPr id="29" name="Rectángulo 28">
          <a:extLst>
            <a:ext uri="{FF2B5EF4-FFF2-40B4-BE49-F238E27FC236}">
              <a16:creationId xmlns:a16="http://schemas.microsoft.com/office/drawing/2014/main" id="{BC259609-2133-447C-9DE2-6811D88C68D4}"/>
            </a:ext>
          </a:extLst>
        </xdr:cNvPr>
        <xdr:cNvSpPr/>
      </xdr:nvSpPr>
      <xdr:spPr>
        <a:xfrm>
          <a:off x="2658404" y="3087738"/>
          <a:ext cx="144100" cy="1236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HN" sz="1100"/>
        </a:p>
      </xdr:txBody>
    </xdr:sp>
    <xdr:clientData/>
  </xdr:twoCellAnchor>
  <xdr:twoCellAnchor>
    <xdr:from>
      <xdr:col>3</xdr:col>
      <xdr:colOff>97020</xdr:colOff>
      <xdr:row>19</xdr:row>
      <xdr:rowOff>25884</xdr:rowOff>
    </xdr:from>
    <xdr:to>
      <xdr:col>3</xdr:col>
      <xdr:colOff>241120</xdr:colOff>
      <xdr:row>19</xdr:row>
      <xdr:rowOff>149563</xdr:rowOff>
    </xdr:to>
    <xdr:sp macro="" textlink="">
      <xdr:nvSpPr>
        <xdr:cNvPr id="30" name="Rectángulo 29">
          <a:extLst>
            <a:ext uri="{FF2B5EF4-FFF2-40B4-BE49-F238E27FC236}">
              <a16:creationId xmlns:a16="http://schemas.microsoft.com/office/drawing/2014/main" id="{7BC2E207-DA6A-4DF7-8840-889024A4F8CF}"/>
            </a:ext>
          </a:extLst>
        </xdr:cNvPr>
        <xdr:cNvSpPr/>
      </xdr:nvSpPr>
      <xdr:spPr>
        <a:xfrm>
          <a:off x="2659636" y="3496637"/>
          <a:ext cx="144100" cy="1236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HN" sz="1100"/>
        </a:p>
      </xdr:txBody>
    </xdr:sp>
    <xdr:clientData/>
  </xdr:twoCellAnchor>
  <xdr:twoCellAnchor>
    <xdr:from>
      <xdr:col>2</xdr:col>
      <xdr:colOff>111425</xdr:colOff>
      <xdr:row>22</xdr:row>
      <xdr:rowOff>26416</xdr:rowOff>
    </xdr:from>
    <xdr:to>
      <xdr:col>2</xdr:col>
      <xdr:colOff>253886</xdr:colOff>
      <xdr:row>22</xdr:row>
      <xdr:rowOff>165564</xdr:rowOff>
    </xdr:to>
    <xdr:sp macro="" textlink="">
      <xdr:nvSpPr>
        <xdr:cNvPr id="32" name="Elipse 31">
          <a:extLst>
            <a:ext uri="{FF2B5EF4-FFF2-40B4-BE49-F238E27FC236}">
              <a16:creationId xmlns:a16="http://schemas.microsoft.com/office/drawing/2014/main" id="{5913A245-C8E3-4266-B322-65E072EA2A37}"/>
            </a:ext>
          </a:extLst>
        </xdr:cNvPr>
        <xdr:cNvSpPr/>
      </xdr:nvSpPr>
      <xdr:spPr>
        <a:xfrm>
          <a:off x="2314298" y="3988816"/>
          <a:ext cx="142461" cy="1391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HN" sz="1100"/>
        </a:p>
      </xdr:txBody>
    </xdr:sp>
    <xdr:clientData/>
  </xdr:twoCellAnchor>
  <xdr:twoCellAnchor>
    <xdr:from>
      <xdr:col>2</xdr:col>
      <xdr:colOff>132207</xdr:colOff>
      <xdr:row>20</xdr:row>
      <xdr:rowOff>19489</xdr:rowOff>
    </xdr:from>
    <xdr:to>
      <xdr:col>2</xdr:col>
      <xdr:colOff>274668</xdr:colOff>
      <xdr:row>20</xdr:row>
      <xdr:rowOff>158637</xdr:rowOff>
    </xdr:to>
    <xdr:sp macro="" textlink="">
      <xdr:nvSpPr>
        <xdr:cNvPr id="33" name="Elipse 32">
          <a:extLst>
            <a:ext uri="{FF2B5EF4-FFF2-40B4-BE49-F238E27FC236}">
              <a16:creationId xmlns:a16="http://schemas.microsoft.com/office/drawing/2014/main" id="{EE9FDE4B-43A1-470F-9243-2130DFD19D33}"/>
            </a:ext>
          </a:extLst>
        </xdr:cNvPr>
        <xdr:cNvSpPr/>
      </xdr:nvSpPr>
      <xdr:spPr>
        <a:xfrm>
          <a:off x="2335080" y="3621671"/>
          <a:ext cx="142461" cy="1391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HN" sz="1100"/>
        </a:p>
      </xdr:txBody>
    </xdr:sp>
    <xdr:clientData/>
  </xdr:twoCellAnchor>
  <xdr:twoCellAnchor>
    <xdr:from>
      <xdr:col>4</xdr:col>
      <xdr:colOff>102969</xdr:colOff>
      <xdr:row>21</xdr:row>
      <xdr:rowOff>37395</xdr:rowOff>
    </xdr:from>
    <xdr:to>
      <xdr:col>4</xdr:col>
      <xdr:colOff>269119</xdr:colOff>
      <xdr:row>21</xdr:row>
      <xdr:rowOff>157711</xdr:rowOff>
    </xdr:to>
    <xdr:sp macro="" textlink="">
      <xdr:nvSpPr>
        <xdr:cNvPr id="34" name="Flecha: a la derecha 33">
          <a:extLst>
            <a:ext uri="{FF2B5EF4-FFF2-40B4-BE49-F238E27FC236}">
              <a16:creationId xmlns:a16="http://schemas.microsoft.com/office/drawing/2014/main" id="{9C5213E3-4FDE-480A-8D8F-A932AABDC766}"/>
            </a:ext>
          </a:extLst>
        </xdr:cNvPr>
        <xdr:cNvSpPr/>
      </xdr:nvSpPr>
      <xdr:spPr>
        <a:xfrm>
          <a:off x="3026278" y="3819686"/>
          <a:ext cx="166150" cy="1203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HN" sz="1100"/>
        </a:p>
      </xdr:txBody>
    </xdr:sp>
    <xdr:clientData/>
  </xdr:twoCellAnchor>
  <xdr:twoCellAnchor>
    <xdr:from>
      <xdr:col>6</xdr:col>
      <xdr:colOff>113492</xdr:colOff>
      <xdr:row>20</xdr:row>
      <xdr:rowOff>37397</xdr:rowOff>
    </xdr:from>
    <xdr:to>
      <xdr:col>6</xdr:col>
      <xdr:colOff>239537</xdr:colOff>
      <xdr:row>20</xdr:row>
      <xdr:rowOff>157713</xdr:rowOff>
    </xdr:to>
    <xdr:sp macro="" textlink="">
      <xdr:nvSpPr>
        <xdr:cNvPr id="35" name="Diagrama de flujo: retraso 34">
          <a:extLst>
            <a:ext uri="{FF2B5EF4-FFF2-40B4-BE49-F238E27FC236}">
              <a16:creationId xmlns:a16="http://schemas.microsoft.com/office/drawing/2014/main" id="{9F0214D8-4903-49C8-99C8-8447914606E0}"/>
            </a:ext>
          </a:extLst>
        </xdr:cNvPr>
        <xdr:cNvSpPr/>
      </xdr:nvSpPr>
      <xdr:spPr>
        <a:xfrm>
          <a:off x="3756478" y="3690822"/>
          <a:ext cx="126045" cy="120316"/>
        </a:xfrm>
        <a:prstGeom prst="flowChartDelay">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HN" sz="1100"/>
        </a:p>
      </xdr:txBody>
    </xdr:sp>
    <xdr:clientData/>
  </xdr:twoCellAnchor>
  <xdr:twoCellAnchor>
    <xdr:from>
      <xdr:col>2</xdr:col>
      <xdr:colOff>104498</xdr:colOff>
      <xdr:row>10</xdr:row>
      <xdr:rowOff>19488</xdr:rowOff>
    </xdr:from>
    <xdr:to>
      <xdr:col>2</xdr:col>
      <xdr:colOff>246959</xdr:colOff>
      <xdr:row>10</xdr:row>
      <xdr:rowOff>158636</xdr:rowOff>
    </xdr:to>
    <xdr:sp macro="" textlink="">
      <xdr:nvSpPr>
        <xdr:cNvPr id="36" name="Elipse 35">
          <a:extLst>
            <a:ext uri="{FF2B5EF4-FFF2-40B4-BE49-F238E27FC236}">
              <a16:creationId xmlns:a16="http://schemas.microsoft.com/office/drawing/2014/main" id="{B09560E3-B680-4F82-92F3-2165E4CE683F}"/>
            </a:ext>
          </a:extLst>
        </xdr:cNvPr>
        <xdr:cNvSpPr/>
      </xdr:nvSpPr>
      <xdr:spPr>
        <a:xfrm>
          <a:off x="2307371" y="1820579"/>
          <a:ext cx="142461" cy="1391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HN" sz="1100"/>
        </a:p>
      </xdr:txBody>
    </xdr:sp>
    <xdr:clientData/>
  </xdr:twoCellAnchor>
  <xdr:twoCellAnchor>
    <xdr:from>
      <xdr:col>3</xdr:col>
      <xdr:colOff>95312</xdr:colOff>
      <xdr:row>11</xdr:row>
      <xdr:rowOff>25884</xdr:rowOff>
    </xdr:from>
    <xdr:to>
      <xdr:col>3</xdr:col>
      <xdr:colOff>239412</xdr:colOff>
      <xdr:row>11</xdr:row>
      <xdr:rowOff>149563</xdr:rowOff>
    </xdr:to>
    <xdr:sp macro="" textlink="">
      <xdr:nvSpPr>
        <xdr:cNvPr id="37" name="Rectángulo 36">
          <a:extLst>
            <a:ext uri="{FF2B5EF4-FFF2-40B4-BE49-F238E27FC236}">
              <a16:creationId xmlns:a16="http://schemas.microsoft.com/office/drawing/2014/main" id="{7B461803-F039-4D40-AA6E-501B74D42ABD}"/>
            </a:ext>
          </a:extLst>
        </xdr:cNvPr>
        <xdr:cNvSpPr/>
      </xdr:nvSpPr>
      <xdr:spPr>
        <a:xfrm>
          <a:off x="2658403" y="2007084"/>
          <a:ext cx="144100" cy="1236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HN" sz="1100"/>
        </a:p>
      </xdr:txBody>
    </xdr:sp>
    <xdr:clientData/>
  </xdr:twoCellAnchor>
  <xdr:twoCellAnchor>
    <xdr:from>
      <xdr:col>3</xdr:col>
      <xdr:colOff>95312</xdr:colOff>
      <xdr:row>13</xdr:row>
      <xdr:rowOff>32812</xdr:rowOff>
    </xdr:from>
    <xdr:to>
      <xdr:col>3</xdr:col>
      <xdr:colOff>239412</xdr:colOff>
      <xdr:row>13</xdr:row>
      <xdr:rowOff>156491</xdr:rowOff>
    </xdr:to>
    <xdr:sp macro="" textlink="">
      <xdr:nvSpPr>
        <xdr:cNvPr id="38" name="Rectángulo 37">
          <a:extLst>
            <a:ext uri="{FF2B5EF4-FFF2-40B4-BE49-F238E27FC236}">
              <a16:creationId xmlns:a16="http://schemas.microsoft.com/office/drawing/2014/main" id="{A3DBC157-352E-43BB-9658-9EB7801B6456}"/>
            </a:ext>
          </a:extLst>
        </xdr:cNvPr>
        <xdr:cNvSpPr/>
      </xdr:nvSpPr>
      <xdr:spPr>
        <a:xfrm>
          <a:off x="2658403" y="2374230"/>
          <a:ext cx="144100" cy="1236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HN" sz="1100"/>
        </a:p>
      </xdr:txBody>
    </xdr:sp>
    <xdr:clientData/>
  </xdr:twoCellAnchor>
  <xdr:twoCellAnchor>
    <xdr:from>
      <xdr:col>3</xdr:col>
      <xdr:colOff>102239</xdr:colOff>
      <xdr:row>14</xdr:row>
      <xdr:rowOff>32812</xdr:rowOff>
    </xdr:from>
    <xdr:to>
      <xdr:col>3</xdr:col>
      <xdr:colOff>246339</xdr:colOff>
      <xdr:row>14</xdr:row>
      <xdr:rowOff>156491</xdr:rowOff>
    </xdr:to>
    <xdr:sp macro="" textlink="">
      <xdr:nvSpPr>
        <xdr:cNvPr id="39" name="Rectángulo 38">
          <a:extLst>
            <a:ext uri="{FF2B5EF4-FFF2-40B4-BE49-F238E27FC236}">
              <a16:creationId xmlns:a16="http://schemas.microsoft.com/office/drawing/2014/main" id="{AD1B9DD6-817F-40D0-A0D2-FB9C4FF5DC94}"/>
            </a:ext>
          </a:extLst>
        </xdr:cNvPr>
        <xdr:cNvSpPr/>
      </xdr:nvSpPr>
      <xdr:spPr>
        <a:xfrm>
          <a:off x="2665330" y="2554339"/>
          <a:ext cx="144100" cy="1236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HN" sz="1100"/>
        </a:p>
      </xdr:txBody>
    </xdr:sp>
    <xdr:clientData/>
  </xdr:twoCellAnchor>
  <xdr:twoCellAnchor>
    <xdr:from>
      <xdr:col>3</xdr:col>
      <xdr:colOff>124231</xdr:colOff>
      <xdr:row>11</xdr:row>
      <xdr:rowOff>39767</xdr:rowOff>
    </xdr:from>
    <xdr:to>
      <xdr:col>3</xdr:col>
      <xdr:colOff>200949</xdr:colOff>
      <xdr:row>11</xdr:row>
      <xdr:rowOff>127468</xdr:rowOff>
    </xdr:to>
    <xdr:sp macro="" textlink="">
      <xdr:nvSpPr>
        <xdr:cNvPr id="40" name="Elipse 39">
          <a:extLst>
            <a:ext uri="{FF2B5EF4-FFF2-40B4-BE49-F238E27FC236}">
              <a16:creationId xmlns:a16="http://schemas.microsoft.com/office/drawing/2014/main" id="{9B2C374B-14AC-4B3B-98E9-22DEAA6E518C}"/>
            </a:ext>
          </a:extLst>
        </xdr:cNvPr>
        <xdr:cNvSpPr/>
      </xdr:nvSpPr>
      <xdr:spPr>
        <a:xfrm>
          <a:off x="2686847" y="2049151"/>
          <a:ext cx="76718" cy="87701"/>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HN" sz="1100"/>
        </a:p>
      </xdr:txBody>
    </xdr:sp>
    <xdr:clientData/>
  </xdr:twoCellAnchor>
  <xdr:twoCellAnchor>
    <xdr:from>
      <xdr:col>3</xdr:col>
      <xdr:colOff>125275</xdr:colOff>
      <xdr:row>12</xdr:row>
      <xdr:rowOff>46030</xdr:rowOff>
    </xdr:from>
    <xdr:to>
      <xdr:col>3</xdr:col>
      <xdr:colOff>201993</xdr:colOff>
      <xdr:row>12</xdr:row>
      <xdr:rowOff>133731</xdr:rowOff>
    </xdr:to>
    <xdr:sp macro="" textlink="">
      <xdr:nvSpPr>
        <xdr:cNvPr id="41" name="Elipse 40">
          <a:extLst>
            <a:ext uri="{FF2B5EF4-FFF2-40B4-BE49-F238E27FC236}">
              <a16:creationId xmlns:a16="http://schemas.microsoft.com/office/drawing/2014/main" id="{65780C20-911B-42BE-AC00-4448DEE0B268}"/>
            </a:ext>
          </a:extLst>
        </xdr:cNvPr>
        <xdr:cNvSpPr/>
      </xdr:nvSpPr>
      <xdr:spPr>
        <a:xfrm>
          <a:off x="2687891" y="2238085"/>
          <a:ext cx="76718" cy="87701"/>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HN" sz="1100"/>
        </a:p>
      </xdr:txBody>
    </xdr:sp>
    <xdr:clientData/>
  </xdr:twoCellAnchor>
  <xdr:twoCellAnchor>
    <xdr:from>
      <xdr:col>3</xdr:col>
      <xdr:colOff>126319</xdr:colOff>
      <xdr:row>13</xdr:row>
      <xdr:rowOff>52293</xdr:rowOff>
    </xdr:from>
    <xdr:to>
      <xdr:col>3</xdr:col>
      <xdr:colOff>203037</xdr:colOff>
      <xdr:row>13</xdr:row>
      <xdr:rowOff>139994</xdr:rowOff>
    </xdr:to>
    <xdr:sp macro="" textlink="">
      <xdr:nvSpPr>
        <xdr:cNvPr id="42" name="Elipse 41">
          <a:extLst>
            <a:ext uri="{FF2B5EF4-FFF2-40B4-BE49-F238E27FC236}">
              <a16:creationId xmlns:a16="http://schemas.microsoft.com/office/drawing/2014/main" id="{CC8A10FA-2762-4CAF-90CF-A342F4082505}"/>
            </a:ext>
          </a:extLst>
        </xdr:cNvPr>
        <xdr:cNvSpPr/>
      </xdr:nvSpPr>
      <xdr:spPr>
        <a:xfrm>
          <a:off x="2688935" y="2427019"/>
          <a:ext cx="76718" cy="87701"/>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HN" sz="1100"/>
        </a:p>
      </xdr:txBody>
    </xdr:sp>
    <xdr:clientData/>
  </xdr:twoCellAnchor>
  <xdr:twoCellAnchor>
    <xdr:from>
      <xdr:col>3</xdr:col>
      <xdr:colOff>137801</xdr:colOff>
      <xdr:row>14</xdr:row>
      <xdr:rowOff>48117</xdr:rowOff>
    </xdr:from>
    <xdr:to>
      <xdr:col>3</xdr:col>
      <xdr:colOff>214519</xdr:colOff>
      <xdr:row>14</xdr:row>
      <xdr:rowOff>135818</xdr:rowOff>
    </xdr:to>
    <xdr:sp macro="" textlink="">
      <xdr:nvSpPr>
        <xdr:cNvPr id="43" name="Elipse 42">
          <a:extLst>
            <a:ext uri="{FF2B5EF4-FFF2-40B4-BE49-F238E27FC236}">
              <a16:creationId xmlns:a16="http://schemas.microsoft.com/office/drawing/2014/main" id="{FA0957AD-C6C7-4999-B5C1-FE7330E5366F}"/>
            </a:ext>
          </a:extLst>
        </xdr:cNvPr>
        <xdr:cNvSpPr/>
      </xdr:nvSpPr>
      <xdr:spPr>
        <a:xfrm>
          <a:off x="2700417" y="2605514"/>
          <a:ext cx="76718" cy="87701"/>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HN" sz="1100"/>
        </a:p>
      </xdr:txBody>
    </xdr:sp>
    <xdr:clientData/>
  </xdr:twoCellAnchor>
  <xdr:twoCellAnchor>
    <xdr:from>
      <xdr:col>3</xdr:col>
      <xdr:colOff>133626</xdr:colOff>
      <xdr:row>15</xdr:row>
      <xdr:rowOff>49161</xdr:rowOff>
    </xdr:from>
    <xdr:to>
      <xdr:col>3</xdr:col>
      <xdr:colOff>210344</xdr:colOff>
      <xdr:row>15</xdr:row>
      <xdr:rowOff>136862</xdr:rowOff>
    </xdr:to>
    <xdr:sp macro="" textlink="">
      <xdr:nvSpPr>
        <xdr:cNvPr id="44" name="Elipse 43">
          <a:extLst>
            <a:ext uri="{FF2B5EF4-FFF2-40B4-BE49-F238E27FC236}">
              <a16:creationId xmlns:a16="http://schemas.microsoft.com/office/drawing/2014/main" id="{FECCA44B-E4A7-4DD9-A20F-B8EB93121369}"/>
            </a:ext>
          </a:extLst>
        </xdr:cNvPr>
        <xdr:cNvSpPr/>
      </xdr:nvSpPr>
      <xdr:spPr>
        <a:xfrm>
          <a:off x="2696242" y="2789229"/>
          <a:ext cx="76718" cy="87701"/>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HN" sz="1100"/>
        </a:p>
      </xdr:txBody>
    </xdr:sp>
    <xdr:clientData/>
  </xdr:twoCellAnchor>
  <xdr:twoCellAnchor>
    <xdr:from>
      <xdr:col>3</xdr:col>
      <xdr:colOff>129450</xdr:colOff>
      <xdr:row>17</xdr:row>
      <xdr:rowOff>39766</xdr:rowOff>
    </xdr:from>
    <xdr:to>
      <xdr:col>3</xdr:col>
      <xdr:colOff>206168</xdr:colOff>
      <xdr:row>17</xdr:row>
      <xdr:rowOff>127467</xdr:rowOff>
    </xdr:to>
    <xdr:sp macro="" textlink="">
      <xdr:nvSpPr>
        <xdr:cNvPr id="45" name="Elipse 44">
          <a:extLst>
            <a:ext uri="{FF2B5EF4-FFF2-40B4-BE49-F238E27FC236}">
              <a16:creationId xmlns:a16="http://schemas.microsoft.com/office/drawing/2014/main" id="{4D1F57F3-4250-4FF4-9563-17BCDF9F0BF0}"/>
            </a:ext>
          </a:extLst>
        </xdr:cNvPr>
        <xdr:cNvSpPr/>
      </xdr:nvSpPr>
      <xdr:spPr>
        <a:xfrm>
          <a:off x="2692066" y="3145177"/>
          <a:ext cx="76718" cy="87701"/>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HN" sz="1100"/>
        </a:p>
      </xdr:txBody>
    </xdr:sp>
    <xdr:clientData/>
  </xdr:twoCellAnchor>
  <xdr:twoCellAnchor>
    <xdr:from>
      <xdr:col>3</xdr:col>
      <xdr:colOff>130494</xdr:colOff>
      <xdr:row>19</xdr:row>
      <xdr:rowOff>35591</xdr:rowOff>
    </xdr:from>
    <xdr:to>
      <xdr:col>3</xdr:col>
      <xdr:colOff>207212</xdr:colOff>
      <xdr:row>19</xdr:row>
      <xdr:rowOff>123292</xdr:rowOff>
    </xdr:to>
    <xdr:sp macro="" textlink="">
      <xdr:nvSpPr>
        <xdr:cNvPr id="46" name="Elipse 45">
          <a:extLst>
            <a:ext uri="{FF2B5EF4-FFF2-40B4-BE49-F238E27FC236}">
              <a16:creationId xmlns:a16="http://schemas.microsoft.com/office/drawing/2014/main" id="{899F2F77-D7C9-42EC-B0DB-7AF925B27874}"/>
            </a:ext>
          </a:extLst>
        </xdr:cNvPr>
        <xdr:cNvSpPr/>
      </xdr:nvSpPr>
      <xdr:spPr>
        <a:xfrm>
          <a:off x="2693110" y="3506344"/>
          <a:ext cx="76718" cy="87701"/>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HN" sz="1100"/>
        </a:p>
      </xdr:txBody>
    </xdr:sp>
    <xdr:clientData/>
  </xdr:twoCellAnchor>
  <xdr:twoCellAnchor>
    <xdr:from>
      <xdr:col>2</xdr:col>
      <xdr:colOff>175729</xdr:colOff>
      <xdr:row>8</xdr:row>
      <xdr:rowOff>19488</xdr:rowOff>
    </xdr:from>
    <xdr:to>
      <xdr:col>2</xdr:col>
      <xdr:colOff>182656</xdr:colOff>
      <xdr:row>10</xdr:row>
      <xdr:rowOff>158636</xdr:rowOff>
    </xdr:to>
    <xdr:cxnSp macro="">
      <xdr:nvCxnSpPr>
        <xdr:cNvPr id="49" name="Conector recto de flecha 48">
          <a:extLst>
            <a:ext uri="{FF2B5EF4-FFF2-40B4-BE49-F238E27FC236}">
              <a16:creationId xmlns:a16="http://schemas.microsoft.com/office/drawing/2014/main" id="{CC819C26-2070-486D-9AAB-62CB2F1F8671}"/>
            </a:ext>
          </a:extLst>
        </xdr:cNvPr>
        <xdr:cNvCxnSpPr>
          <a:stCxn id="20" idx="0"/>
          <a:endCxn id="36" idx="4"/>
        </xdr:cNvCxnSpPr>
      </xdr:nvCxnSpPr>
      <xdr:spPr>
        <a:xfrm flipH="1">
          <a:off x="2378222" y="1480858"/>
          <a:ext cx="6927" cy="50449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175729</xdr:colOff>
      <xdr:row>10</xdr:row>
      <xdr:rowOff>158636</xdr:rowOff>
    </xdr:from>
    <xdr:to>
      <xdr:col>3</xdr:col>
      <xdr:colOff>189714</xdr:colOff>
      <xdr:row>11</xdr:row>
      <xdr:rowOff>114624</xdr:rowOff>
    </xdr:to>
    <xdr:cxnSp macro="">
      <xdr:nvCxnSpPr>
        <xdr:cNvPr id="51" name="Conector recto de flecha 50">
          <a:extLst>
            <a:ext uri="{FF2B5EF4-FFF2-40B4-BE49-F238E27FC236}">
              <a16:creationId xmlns:a16="http://schemas.microsoft.com/office/drawing/2014/main" id="{58DA0393-4033-4F34-8CFA-3635D8AA9454}"/>
            </a:ext>
          </a:extLst>
        </xdr:cNvPr>
        <xdr:cNvCxnSpPr>
          <a:stCxn id="36" idx="4"/>
          <a:endCxn id="40" idx="5"/>
        </xdr:cNvCxnSpPr>
      </xdr:nvCxnSpPr>
      <xdr:spPr>
        <a:xfrm>
          <a:off x="2378222" y="1985348"/>
          <a:ext cx="374108" cy="13866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162839</xdr:colOff>
      <xdr:row>11</xdr:row>
      <xdr:rowOff>89769</xdr:rowOff>
    </xdr:from>
    <xdr:to>
      <xdr:col>3</xdr:col>
      <xdr:colOff>168853</xdr:colOff>
      <xdr:row>19</xdr:row>
      <xdr:rowOff>123292</xdr:rowOff>
    </xdr:to>
    <xdr:cxnSp macro="">
      <xdr:nvCxnSpPr>
        <xdr:cNvPr id="54" name="Conector recto de flecha 53">
          <a:extLst>
            <a:ext uri="{FF2B5EF4-FFF2-40B4-BE49-F238E27FC236}">
              <a16:creationId xmlns:a16="http://schemas.microsoft.com/office/drawing/2014/main" id="{C3009C2B-8005-4DE9-BD38-2B6720355AF1}"/>
            </a:ext>
          </a:extLst>
        </xdr:cNvPr>
        <xdr:cNvCxnSpPr>
          <a:endCxn id="46" idx="4"/>
        </xdr:cNvCxnSpPr>
      </xdr:nvCxnSpPr>
      <xdr:spPr>
        <a:xfrm>
          <a:off x="2725455" y="2099153"/>
          <a:ext cx="6014" cy="149489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125488</xdr:colOff>
      <xdr:row>19</xdr:row>
      <xdr:rowOff>70954</xdr:rowOff>
    </xdr:from>
    <xdr:to>
      <xdr:col>3</xdr:col>
      <xdr:colOff>166334</xdr:colOff>
      <xdr:row>19</xdr:row>
      <xdr:rowOff>93617</xdr:rowOff>
    </xdr:to>
    <xdr:cxnSp macro="">
      <xdr:nvCxnSpPr>
        <xdr:cNvPr id="59" name="Conector recto de flecha 58">
          <a:extLst>
            <a:ext uri="{FF2B5EF4-FFF2-40B4-BE49-F238E27FC236}">
              <a16:creationId xmlns:a16="http://schemas.microsoft.com/office/drawing/2014/main" id="{7A28B30A-65FA-4E3E-BE74-64710058CD25}"/>
            </a:ext>
          </a:extLst>
        </xdr:cNvPr>
        <xdr:cNvCxnSpPr>
          <a:endCxn id="18" idx="1"/>
        </xdr:cNvCxnSpPr>
      </xdr:nvCxnSpPr>
      <xdr:spPr>
        <a:xfrm flipH="1">
          <a:off x="1967858" y="3541707"/>
          <a:ext cx="761092" cy="2266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194139</xdr:colOff>
      <xdr:row>19</xdr:row>
      <xdr:rowOff>77943</xdr:rowOff>
    </xdr:from>
    <xdr:to>
      <xdr:col>2</xdr:col>
      <xdr:colOff>274668</xdr:colOff>
      <xdr:row>20</xdr:row>
      <xdr:rowOff>89063</xdr:rowOff>
    </xdr:to>
    <xdr:cxnSp macro="">
      <xdr:nvCxnSpPr>
        <xdr:cNvPr id="63" name="Conector recto de flecha 62">
          <a:extLst>
            <a:ext uri="{FF2B5EF4-FFF2-40B4-BE49-F238E27FC236}">
              <a16:creationId xmlns:a16="http://schemas.microsoft.com/office/drawing/2014/main" id="{8CCFA391-6D79-4261-BA3A-7B30165AA31E}"/>
            </a:ext>
          </a:extLst>
        </xdr:cNvPr>
        <xdr:cNvCxnSpPr>
          <a:endCxn id="33" idx="6"/>
        </xdr:cNvCxnSpPr>
      </xdr:nvCxnSpPr>
      <xdr:spPr>
        <a:xfrm>
          <a:off x="2036509" y="3548696"/>
          <a:ext cx="440652" cy="19379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247375</xdr:colOff>
      <xdr:row>20</xdr:row>
      <xdr:rowOff>73767</xdr:rowOff>
    </xdr:from>
    <xdr:to>
      <xdr:col>6</xdr:col>
      <xdr:colOff>113492</xdr:colOff>
      <xdr:row>20</xdr:row>
      <xdr:rowOff>97555</xdr:rowOff>
    </xdr:to>
    <xdr:cxnSp macro="">
      <xdr:nvCxnSpPr>
        <xdr:cNvPr id="65" name="Conector recto de flecha 64">
          <a:extLst>
            <a:ext uri="{FF2B5EF4-FFF2-40B4-BE49-F238E27FC236}">
              <a16:creationId xmlns:a16="http://schemas.microsoft.com/office/drawing/2014/main" id="{002FD41A-FD1E-4F25-90CE-D0A17E018EC6}"/>
            </a:ext>
          </a:extLst>
        </xdr:cNvPr>
        <xdr:cNvCxnSpPr>
          <a:endCxn id="35" idx="1"/>
        </xdr:cNvCxnSpPr>
      </xdr:nvCxnSpPr>
      <xdr:spPr>
        <a:xfrm>
          <a:off x="2449868" y="3727192"/>
          <a:ext cx="1306610" cy="237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269119</xdr:colOff>
      <xdr:row>20</xdr:row>
      <xdr:rowOff>97555</xdr:rowOff>
    </xdr:from>
    <xdr:to>
      <xdr:col>6</xdr:col>
      <xdr:colOff>113492</xdr:colOff>
      <xdr:row>21</xdr:row>
      <xdr:rowOff>97553</xdr:rowOff>
    </xdr:to>
    <xdr:cxnSp macro="">
      <xdr:nvCxnSpPr>
        <xdr:cNvPr id="68" name="Conector recto de flecha 67">
          <a:extLst>
            <a:ext uri="{FF2B5EF4-FFF2-40B4-BE49-F238E27FC236}">
              <a16:creationId xmlns:a16="http://schemas.microsoft.com/office/drawing/2014/main" id="{3DEC532F-821B-4C1E-9B82-D0D8356B61EA}"/>
            </a:ext>
          </a:extLst>
        </xdr:cNvPr>
        <xdr:cNvCxnSpPr>
          <a:stCxn id="35" idx="1"/>
          <a:endCxn id="34" idx="3"/>
        </xdr:cNvCxnSpPr>
      </xdr:nvCxnSpPr>
      <xdr:spPr>
        <a:xfrm flipH="1">
          <a:off x="3191859" y="3750980"/>
          <a:ext cx="564619" cy="18266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186657</xdr:colOff>
      <xdr:row>21</xdr:row>
      <xdr:rowOff>97553</xdr:rowOff>
    </xdr:from>
    <xdr:to>
      <xdr:col>4</xdr:col>
      <xdr:colOff>102969</xdr:colOff>
      <xdr:row>22</xdr:row>
      <xdr:rowOff>93378</xdr:rowOff>
    </xdr:to>
    <xdr:cxnSp macro="">
      <xdr:nvCxnSpPr>
        <xdr:cNvPr id="72" name="Conector recto de flecha 71">
          <a:extLst>
            <a:ext uri="{FF2B5EF4-FFF2-40B4-BE49-F238E27FC236}">
              <a16:creationId xmlns:a16="http://schemas.microsoft.com/office/drawing/2014/main" id="{90831189-E16A-4B9A-870D-8BABD8E12D3D}"/>
            </a:ext>
          </a:extLst>
        </xdr:cNvPr>
        <xdr:cNvCxnSpPr>
          <a:stCxn id="34" idx="1"/>
        </xdr:cNvCxnSpPr>
      </xdr:nvCxnSpPr>
      <xdr:spPr>
        <a:xfrm flipH="1">
          <a:off x="2389150" y="3933649"/>
          <a:ext cx="636559" cy="17849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281940</xdr:colOff>
      <xdr:row>0</xdr:row>
      <xdr:rowOff>45720</xdr:rowOff>
    </xdr:from>
    <xdr:to>
      <xdr:col>16</xdr:col>
      <xdr:colOff>99060</xdr:colOff>
      <xdr:row>15</xdr:row>
      <xdr:rowOff>45720</xdr:rowOff>
    </xdr:to>
    <xdr:graphicFrame macro="">
      <xdr:nvGraphicFramePr>
        <xdr:cNvPr id="2" name="Gráfico 1">
          <a:extLst>
            <a:ext uri="{FF2B5EF4-FFF2-40B4-BE49-F238E27FC236}">
              <a16:creationId xmlns:a16="http://schemas.microsoft.com/office/drawing/2014/main" id="{5AF40AB2-8117-4A1E-B848-6E0908F55A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357000</xdr:colOff>
      <xdr:row>0</xdr:row>
      <xdr:rowOff>92400</xdr:rowOff>
    </xdr:from>
    <xdr:to>
      <xdr:col>11</xdr:col>
      <xdr:colOff>486228</xdr:colOff>
      <xdr:row>12</xdr:row>
      <xdr:rowOff>137886</xdr:rowOff>
    </xdr:to>
    <xdr:graphicFrame macro="">
      <xdr:nvGraphicFramePr>
        <xdr:cNvPr id="2" name="Gráfico 1">
          <a:extLst>
            <a:ext uri="{FF2B5EF4-FFF2-40B4-BE49-F238E27FC236}">
              <a16:creationId xmlns:a16="http://schemas.microsoft.com/office/drawing/2014/main" id="{DDB4C29C-0FDC-4A9E-8C6B-DFCDBFCB3E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484547</xdr:colOff>
      <xdr:row>0</xdr:row>
      <xdr:rowOff>0</xdr:rowOff>
    </xdr:from>
    <xdr:to>
      <xdr:col>13</xdr:col>
      <xdr:colOff>436735</xdr:colOff>
      <xdr:row>18</xdr:row>
      <xdr:rowOff>135637</xdr:rowOff>
    </xdr:to>
    <xdr:graphicFrame macro="">
      <xdr:nvGraphicFramePr>
        <xdr:cNvPr id="2" name="Gráfico 1">
          <a:extLst>
            <a:ext uri="{FF2B5EF4-FFF2-40B4-BE49-F238E27FC236}">
              <a16:creationId xmlns:a16="http://schemas.microsoft.com/office/drawing/2014/main" id="{6C93B107-0B16-4CDA-818F-4FEA9FE0C8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778565</xdr:colOff>
      <xdr:row>63</xdr:row>
      <xdr:rowOff>165007</xdr:rowOff>
    </xdr:from>
    <xdr:to>
      <xdr:col>14</xdr:col>
      <xdr:colOff>637149</xdr:colOff>
      <xdr:row>78</xdr:row>
      <xdr:rowOff>145216</xdr:rowOff>
    </xdr:to>
    <xdr:graphicFrame macro="">
      <xdr:nvGraphicFramePr>
        <xdr:cNvPr id="13" name="Gráfico 12">
          <a:extLst>
            <a:ext uri="{FF2B5EF4-FFF2-40B4-BE49-F238E27FC236}">
              <a16:creationId xmlns:a16="http://schemas.microsoft.com/office/drawing/2014/main" id="{942FFCCB-9AD5-47C1-A26A-B3DA441F6A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0</xdr:row>
      <xdr:rowOff>0</xdr:rowOff>
    </xdr:from>
    <xdr:to>
      <xdr:col>14</xdr:col>
      <xdr:colOff>647700</xdr:colOff>
      <xdr:row>14</xdr:row>
      <xdr:rowOff>162560</xdr:rowOff>
    </xdr:to>
    <xdr:graphicFrame macro="">
      <xdr:nvGraphicFramePr>
        <xdr:cNvPr id="16" name="Gráfico 15">
          <a:extLst>
            <a:ext uri="{FF2B5EF4-FFF2-40B4-BE49-F238E27FC236}">
              <a16:creationId xmlns:a16="http://schemas.microsoft.com/office/drawing/2014/main" id="{EE81F4F7-BC87-44B5-8691-714E545CA9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15</xdr:row>
      <xdr:rowOff>172720</xdr:rowOff>
    </xdr:from>
    <xdr:to>
      <xdr:col>14</xdr:col>
      <xdr:colOff>647700</xdr:colOff>
      <xdr:row>30</xdr:row>
      <xdr:rowOff>152400</xdr:rowOff>
    </xdr:to>
    <xdr:graphicFrame macro="">
      <xdr:nvGraphicFramePr>
        <xdr:cNvPr id="19" name="Gráfico 18">
          <a:extLst>
            <a:ext uri="{FF2B5EF4-FFF2-40B4-BE49-F238E27FC236}">
              <a16:creationId xmlns:a16="http://schemas.microsoft.com/office/drawing/2014/main" id="{E265826B-62AE-4069-9D95-22273CA0A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32</xdr:row>
      <xdr:rowOff>0</xdr:rowOff>
    </xdr:from>
    <xdr:to>
      <xdr:col>14</xdr:col>
      <xdr:colOff>647700</xdr:colOff>
      <xdr:row>46</xdr:row>
      <xdr:rowOff>162560</xdr:rowOff>
    </xdr:to>
    <xdr:graphicFrame macro="">
      <xdr:nvGraphicFramePr>
        <xdr:cNvPr id="20" name="Gráfico 19">
          <a:extLst>
            <a:ext uri="{FF2B5EF4-FFF2-40B4-BE49-F238E27FC236}">
              <a16:creationId xmlns:a16="http://schemas.microsoft.com/office/drawing/2014/main" id="{8910B738-20B8-43B3-AADC-DC5D4104F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48</xdr:row>
      <xdr:rowOff>0</xdr:rowOff>
    </xdr:from>
    <xdr:to>
      <xdr:col>14</xdr:col>
      <xdr:colOff>647700</xdr:colOff>
      <xdr:row>63</xdr:row>
      <xdr:rowOff>0</xdr:rowOff>
    </xdr:to>
    <xdr:graphicFrame macro="">
      <xdr:nvGraphicFramePr>
        <xdr:cNvPr id="21" name="Gráfico 20">
          <a:extLst>
            <a:ext uri="{FF2B5EF4-FFF2-40B4-BE49-F238E27FC236}">
              <a16:creationId xmlns:a16="http://schemas.microsoft.com/office/drawing/2014/main" id="{7E7F7AE9-A48A-47C2-9A3C-B0C02C445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788461</xdr:colOff>
      <xdr:row>79</xdr:row>
      <xdr:rowOff>165007</xdr:rowOff>
    </xdr:from>
    <xdr:to>
      <xdr:col>14</xdr:col>
      <xdr:colOff>647045</xdr:colOff>
      <xdr:row>95</xdr:row>
      <xdr:rowOff>145216</xdr:rowOff>
    </xdr:to>
    <xdr:graphicFrame macro="">
      <xdr:nvGraphicFramePr>
        <xdr:cNvPr id="22" name="Gráfico 21">
          <a:extLst>
            <a:ext uri="{FF2B5EF4-FFF2-40B4-BE49-F238E27FC236}">
              <a16:creationId xmlns:a16="http://schemas.microsoft.com/office/drawing/2014/main" id="{884BF390-48E8-4CAB-8090-C01EBC74B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788461</xdr:colOff>
      <xdr:row>96</xdr:row>
      <xdr:rowOff>165007</xdr:rowOff>
    </xdr:from>
    <xdr:to>
      <xdr:col>14</xdr:col>
      <xdr:colOff>647045</xdr:colOff>
      <xdr:row>112</xdr:row>
      <xdr:rowOff>145216</xdr:rowOff>
    </xdr:to>
    <xdr:graphicFrame macro="">
      <xdr:nvGraphicFramePr>
        <xdr:cNvPr id="23" name="Gráfico 22">
          <a:extLst>
            <a:ext uri="{FF2B5EF4-FFF2-40B4-BE49-F238E27FC236}">
              <a16:creationId xmlns:a16="http://schemas.microsoft.com/office/drawing/2014/main" id="{072CB5A1-60FA-4B63-B24B-86420E2992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788461</xdr:colOff>
      <xdr:row>113</xdr:row>
      <xdr:rowOff>165007</xdr:rowOff>
    </xdr:from>
    <xdr:to>
      <xdr:col>14</xdr:col>
      <xdr:colOff>647045</xdr:colOff>
      <xdr:row>129</xdr:row>
      <xdr:rowOff>145216</xdr:rowOff>
    </xdr:to>
    <xdr:graphicFrame macro="">
      <xdr:nvGraphicFramePr>
        <xdr:cNvPr id="24" name="Gráfico 23">
          <a:extLst>
            <a:ext uri="{FF2B5EF4-FFF2-40B4-BE49-F238E27FC236}">
              <a16:creationId xmlns:a16="http://schemas.microsoft.com/office/drawing/2014/main" id="{B07F128C-F6D6-4BAB-AC75-4421F76AA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788461</xdr:colOff>
      <xdr:row>130</xdr:row>
      <xdr:rowOff>165007</xdr:rowOff>
    </xdr:from>
    <xdr:to>
      <xdr:col>14</xdr:col>
      <xdr:colOff>647045</xdr:colOff>
      <xdr:row>146</xdr:row>
      <xdr:rowOff>145216</xdr:rowOff>
    </xdr:to>
    <xdr:graphicFrame macro="">
      <xdr:nvGraphicFramePr>
        <xdr:cNvPr id="25" name="Gráfico 24">
          <a:extLst>
            <a:ext uri="{FF2B5EF4-FFF2-40B4-BE49-F238E27FC236}">
              <a16:creationId xmlns:a16="http://schemas.microsoft.com/office/drawing/2014/main" id="{BB5E248B-A86D-4D2D-9B4B-6672F02D8A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788461</xdr:colOff>
      <xdr:row>147</xdr:row>
      <xdr:rowOff>165007</xdr:rowOff>
    </xdr:from>
    <xdr:to>
      <xdr:col>14</xdr:col>
      <xdr:colOff>647045</xdr:colOff>
      <xdr:row>163</xdr:row>
      <xdr:rowOff>145216</xdr:rowOff>
    </xdr:to>
    <xdr:graphicFrame macro="">
      <xdr:nvGraphicFramePr>
        <xdr:cNvPr id="26" name="Gráfico 25">
          <a:extLst>
            <a:ext uri="{FF2B5EF4-FFF2-40B4-BE49-F238E27FC236}">
              <a16:creationId xmlns:a16="http://schemas.microsoft.com/office/drawing/2014/main" id="{1A9A6349-F9E5-478F-AE2A-812D73E166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757571</xdr:colOff>
      <xdr:row>161</xdr:row>
      <xdr:rowOff>6202</xdr:rowOff>
    </xdr:from>
    <xdr:to>
      <xdr:col>8</xdr:col>
      <xdr:colOff>22152</xdr:colOff>
      <xdr:row>175</xdr:row>
      <xdr:rowOff>144425</xdr:rowOff>
    </xdr:to>
    <xdr:graphicFrame macro="">
      <xdr:nvGraphicFramePr>
        <xdr:cNvPr id="27" name="Gráfico 26">
          <a:extLst>
            <a:ext uri="{FF2B5EF4-FFF2-40B4-BE49-F238E27FC236}">
              <a16:creationId xmlns:a16="http://schemas.microsoft.com/office/drawing/2014/main" id="{310A5376-F14C-45AD-A164-60AAE38414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220579</xdr:colOff>
      <xdr:row>179</xdr:row>
      <xdr:rowOff>167439</xdr:rowOff>
    </xdr:from>
    <xdr:to>
      <xdr:col>11</xdr:col>
      <xdr:colOff>370974</xdr:colOff>
      <xdr:row>195</xdr:row>
      <xdr:rowOff>23060</xdr:rowOff>
    </xdr:to>
    <xdr:graphicFrame macro="">
      <xdr:nvGraphicFramePr>
        <xdr:cNvPr id="4" name="Gráfico 3">
          <a:extLst>
            <a:ext uri="{FF2B5EF4-FFF2-40B4-BE49-F238E27FC236}">
              <a16:creationId xmlns:a16="http://schemas.microsoft.com/office/drawing/2014/main" id="{52E0F69B-3E7A-4DB3-8DF9-4F59BC7AA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YECTO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PRESA"/>
      <sheetName val="SALIDAS"/>
      <sheetName val="PLANILLA A FIRMAR"/>
      <sheetName val="INVENTARIO"/>
      <sheetName val="FACTURAS"/>
      <sheetName val="BANDERAS Y VALORES"/>
      <sheetName val="GRÁFICAS"/>
    </sheetNames>
    <sheetDataSet>
      <sheetData sheetId="0" refreshError="1"/>
      <sheetData sheetId="1">
        <row r="12">
          <cell r="B12" t="str">
            <v>TPM001</v>
          </cell>
          <cell r="C12" t="str">
            <v>LIRIO FLORES</v>
          </cell>
          <cell r="D12">
            <v>43831</v>
          </cell>
          <cell r="E12" t="str">
            <v>VENDEDOR</v>
          </cell>
          <cell r="F12" t="str">
            <v>Col. Kennedy</v>
          </cell>
          <cell r="G12" t="str">
            <v>A+</v>
          </cell>
          <cell r="H12">
            <v>40</v>
          </cell>
          <cell r="I12">
            <v>8</v>
          </cell>
          <cell r="J12">
            <v>6</v>
          </cell>
          <cell r="K12">
            <v>4</v>
          </cell>
          <cell r="L12">
            <v>3</v>
          </cell>
          <cell r="M12">
            <v>7683</v>
          </cell>
          <cell r="N12">
            <v>192.07500000000002</v>
          </cell>
          <cell r="O12">
            <v>111.40349999999999</v>
          </cell>
          <cell r="P12">
            <v>34.573500000000003</v>
          </cell>
          <cell r="Q12">
            <v>338.05200000000002</v>
          </cell>
          <cell r="R12">
            <v>7344.9480000000003</v>
          </cell>
        </row>
        <row r="13">
          <cell r="B13" t="str">
            <v>TPM002</v>
          </cell>
          <cell r="C13" t="str">
            <v>ANDREA MASS</v>
          </cell>
          <cell r="D13">
            <v>43811</v>
          </cell>
          <cell r="E13" t="str">
            <v>DUEÑO</v>
          </cell>
          <cell r="F13" t="str">
            <v>Col. Alameda</v>
          </cell>
          <cell r="G13" t="str">
            <v>O+</v>
          </cell>
          <cell r="H13">
            <v>50</v>
          </cell>
          <cell r="I13">
            <v>8</v>
          </cell>
          <cell r="J13">
            <v>7</v>
          </cell>
          <cell r="K13">
            <v>4</v>
          </cell>
          <cell r="L13">
            <v>3</v>
          </cell>
          <cell r="M13">
            <v>11203</v>
          </cell>
          <cell r="N13">
            <v>280.07499999999999</v>
          </cell>
          <cell r="O13">
            <v>162.4435</v>
          </cell>
          <cell r="P13">
            <v>50.413500000000006</v>
          </cell>
          <cell r="Q13">
            <v>492.93200000000002</v>
          </cell>
          <cell r="R13">
            <v>10710.067999999999</v>
          </cell>
        </row>
        <row r="14">
          <cell r="B14" t="str">
            <v>TPM003</v>
          </cell>
          <cell r="C14" t="str">
            <v>VERMILIO PEREZ</v>
          </cell>
          <cell r="D14">
            <v>43832</v>
          </cell>
          <cell r="E14" t="str">
            <v>MOTORISTA</v>
          </cell>
          <cell r="F14" t="str">
            <v>Col. Cerro Grande</v>
          </cell>
          <cell r="G14" t="str">
            <v>A+</v>
          </cell>
          <cell r="H14">
            <v>39.380000000000003</v>
          </cell>
          <cell r="I14">
            <v>8</v>
          </cell>
          <cell r="J14">
            <v>6</v>
          </cell>
          <cell r="K14">
            <v>4</v>
          </cell>
          <cell r="L14">
            <v>3</v>
          </cell>
          <cell r="M14">
            <v>7563.9600000000009</v>
          </cell>
          <cell r="N14">
            <v>189.09900000000005</v>
          </cell>
          <cell r="O14">
            <v>109.67742000000001</v>
          </cell>
          <cell r="P14">
            <v>34.037820000000011</v>
          </cell>
          <cell r="Q14">
            <v>332.81424000000004</v>
          </cell>
          <cell r="R14">
            <v>7231.1457600000012</v>
          </cell>
        </row>
        <row r="20">
          <cell r="N20">
            <v>365</v>
          </cell>
          <cell r="O20">
            <v>1</v>
          </cell>
          <cell r="P20">
            <v>10</v>
          </cell>
        </row>
        <row r="21">
          <cell r="N21">
            <v>730</v>
          </cell>
          <cell r="O21">
            <v>2</v>
          </cell>
          <cell r="P21">
            <v>12</v>
          </cell>
        </row>
        <row r="22">
          <cell r="N22">
            <v>1095</v>
          </cell>
          <cell r="O22">
            <v>3</v>
          </cell>
          <cell r="P22">
            <v>15</v>
          </cell>
        </row>
        <row r="23">
          <cell r="N23">
            <v>1460</v>
          </cell>
          <cell r="O23">
            <v>4</v>
          </cell>
          <cell r="P23">
            <v>20</v>
          </cell>
        </row>
        <row r="24">
          <cell r="N24">
            <v>1825</v>
          </cell>
          <cell r="O24">
            <v>5</v>
          </cell>
          <cell r="P24">
            <v>22</v>
          </cell>
        </row>
      </sheetData>
      <sheetData sheetId="2" refreshError="1"/>
      <sheetData sheetId="3">
        <row r="8">
          <cell r="B8" t="str">
            <v>TPM01</v>
          </cell>
          <cell r="C8" t="str">
            <v>Camisas</v>
          </cell>
          <cell r="D8">
            <v>5000</v>
          </cell>
          <cell r="E8">
            <v>100</v>
          </cell>
          <cell r="F8">
            <v>100</v>
          </cell>
          <cell r="G8">
            <v>200</v>
          </cell>
          <cell r="H8">
            <v>2118</v>
          </cell>
          <cell r="I8">
            <v>2882</v>
          </cell>
        </row>
        <row r="9">
          <cell r="B9" t="str">
            <v>TPM02</v>
          </cell>
          <cell r="C9" t="str">
            <v>Lentes de sol</v>
          </cell>
          <cell r="D9">
            <v>5000</v>
          </cell>
          <cell r="E9">
            <v>80</v>
          </cell>
          <cell r="F9">
            <v>100</v>
          </cell>
          <cell r="G9">
            <v>180</v>
          </cell>
          <cell r="H9">
            <v>2612</v>
          </cell>
          <cell r="I9">
            <v>2388</v>
          </cell>
        </row>
        <row r="10">
          <cell r="B10" t="str">
            <v>TPM03</v>
          </cell>
          <cell r="C10" t="str">
            <v>Cinturones</v>
          </cell>
          <cell r="D10">
            <v>5000</v>
          </cell>
          <cell r="E10">
            <v>95</v>
          </cell>
          <cell r="F10">
            <v>100</v>
          </cell>
          <cell r="G10">
            <v>195</v>
          </cell>
          <cell r="H10">
            <v>965</v>
          </cell>
          <cell r="I10">
            <v>4035</v>
          </cell>
        </row>
        <row r="11">
          <cell r="B11" t="str">
            <v>TPM04</v>
          </cell>
          <cell r="C11" t="str">
            <v>Pantalones</v>
          </cell>
          <cell r="D11">
            <v>5000</v>
          </cell>
          <cell r="E11">
            <v>120</v>
          </cell>
          <cell r="F11">
            <v>100</v>
          </cell>
          <cell r="G11">
            <v>220</v>
          </cell>
          <cell r="H11">
            <v>1550</v>
          </cell>
          <cell r="I11">
            <v>3450</v>
          </cell>
        </row>
        <row r="12">
          <cell r="B12" t="str">
            <v>TPM05</v>
          </cell>
          <cell r="C12" t="str">
            <v>Crop tops</v>
          </cell>
          <cell r="D12">
            <v>1000</v>
          </cell>
          <cell r="E12">
            <v>90</v>
          </cell>
          <cell r="F12">
            <v>100</v>
          </cell>
          <cell r="G12">
            <v>190</v>
          </cell>
          <cell r="H12">
            <v>426</v>
          </cell>
          <cell r="I12">
            <v>574</v>
          </cell>
        </row>
        <row r="13">
          <cell r="B13" t="str">
            <v>TPM06</v>
          </cell>
          <cell r="C13" t="str">
            <v>Faldas</v>
          </cell>
          <cell r="D13">
            <v>1000</v>
          </cell>
          <cell r="E13">
            <v>100</v>
          </cell>
          <cell r="F13">
            <v>100</v>
          </cell>
          <cell r="G13">
            <v>200</v>
          </cell>
          <cell r="H13">
            <v>102</v>
          </cell>
          <cell r="I13">
            <v>898</v>
          </cell>
        </row>
      </sheetData>
      <sheetData sheetId="4" refreshError="1"/>
      <sheetData sheetId="5" refreshError="1"/>
      <sheetData sheetId="6"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97DA7-A8AD-47E2-BD19-E1FC2F6CF7BD}">
  <sheetPr filterMode="1">
    <outlinePr summaryBelow="0" summaryRight="0"/>
  </sheetPr>
  <dimension ref="A1:R154"/>
  <sheetViews>
    <sheetView showGridLines="0" zoomScale="75" workbookViewId="0">
      <pane ySplit="1" topLeftCell="A2" activePane="bottomLeft" state="frozen"/>
      <selection pane="bottomLeft" activeCell="G61" sqref="G61"/>
    </sheetView>
  </sheetViews>
  <sheetFormatPr baseColWidth="10" defaultColWidth="14.44140625" defaultRowHeight="15.75" customHeight="1" x14ac:dyDescent="0.25"/>
  <cols>
    <col min="1" max="24" width="21.5546875" style="97" customWidth="1"/>
    <col min="25" max="16384" width="14.44140625" style="97"/>
  </cols>
  <sheetData>
    <row r="1" spans="1:18" ht="13.2" x14ac:dyDescent="0.25">
      <c r="A1" s="98" t="s">
        <v>304</v>
      </c>
      <c r="B1" s="98" t="s">
        <v>303</v>
      </c>
      <c r="C1" s="98" t="s">
        <v>302</v>
      </c>
      <c r="D1" s="98" t="s">
        <v>301</v>
      </c>
      <c r="E1" s="98" t="s">
        <v>305</v>
      </c>
      <c r="F1" s="98" t="s">
        <v>17</v>
      </c>
      <c r="G1" s="98" t="s">
        <v>306</v>
      </c>
      <c r="H1" s="98" t="s">
        <v>307</v>
      </c>
      <c r="I1" s="98" t="s">
        <v>300</v>
      </c>
      <c r="J1" s="98" t="s">
        <v>299</v>
      </c>
      <c r="K1" s="98" t="s">
        <v>298</v>
      </c>
      <c r="L1" s="98" t="s">
        <v>297</v>
      </c>
      <c r="M1" s="98" t="s">
        <v>296</v>
      </c>
      <c r="N1" s="98" t="s">
        <v>295</v>
      </c>
      <c r="O1" s="98" t="s">
        <v>294</v>
      </c>
      <c r="P1" s="98" t="s">
        <v>293</v>
      </c>
      <c r="Q1" s="98" t="s">
        <v>292</v>
      </c>
      <c r="R1" s="98" t="s">
        <v>291</v>
      </c>
    </row>
    <row r="2" spans="1:18" ht="13.2" hidden="1" x14ac:dyDescent="0.25">
      <c r="A2" s="99">
        <v>44505.855553125002</v>
      </c>
      <c r="B2" s="98" t="s">
        <v>181</v>
      </c>
      <c r="C2" s="98" t="s">
        <v>170</v>
      </c>
      <c r="D2" s="98" t="s">
        <v>186</v>
      </c>
      <c r="E2" s="98" t="s">
        <v>179</v>
      </c>
      <c r="F2" s="98" t="s">
        <v>201</v>
      </c>
      <c r="G2" s="98" t="s">
        <v>179</v>
      </c>
      <c r="H2" s="98" t="s">
        <v>167</v>
      </c>
      <c r="I2" s="98" t="s">
        <v>276</v>
      </c>
      <c r="J2" s="98" t="s">
        <v>246</v>
      </c>
      <c r="K2" s="98" t="s">
        <v>176</v>
      </c>
      <c r="L2" s="98" t="s">
        <v>160</v>
      </c>
      <c r="M2" s="98" t="s">
        <v>160</v>
      </c>
      <c r="N2" s="98" t="s">
        <v>223</v>
      </c>
      <c r="O2" s="98" t="s">
        <v>290</v>
      </c>
      <c r="P2" s="98" t="s">
        <v>188</v>
      </c>
      <c r="Q2" s="98" t="s">
        <v>160</v>
      </c>
      <c r="R2" s="98" t="s">
        <v>187</v>
      </c>
    </row>
    <row r="3" spans="1:18" ht="13.2" hidden="1" x14ac:dyDescent="0.25">
      <c r="A3" s="99">
        <v>44505.90691899306</v>
      </c>
      <c r="B3" s="98" t="s">
        <v>181</v>
      </c>
      <c r="C3" s="98" t="s">
        <v>180</v>
      </c>
      <c r="D3" s="98" t="s">
        <v>212</v>
      </c>
      <c r="E3" s="98" t="s">
        <v>201</v>
      </c>
      <c r="F3" s="98" t="s">
        <v>178</v>
      </c>
      <c r="G3" s="98" t="s">
        <v>167</v>
      </c>
      <c r="H3" s="98" t="s">
        <v>201</v>
      </c>
      <c r="I3" s="98" t="s">
        <v>289</v>
      </c>
      <c r="J3" s="98" t="s">
        <v>288</v>
      </c>
      <c r="K3" s="98" t="s">
        <v>176</v>
      </c>
      <c r="L3" s="98" t="s">
        <v>160</v>
      </c>
      <c r="M3" s="98" t="s">
        <v>160</v>
      </c>
      <c r="N3" s="98" t="s">
        <v>287</v>
      </c>
      <c r="O3" s="98" t="s">
        <v>286</v>
      </c>
      <c r="P3" s="98" t="s">
        <v>161</v>
      </c>
      <c r="Q3" s="98" t="s">
        <v>160</v>
      </c>
      <c r="R3" s="98" t="s">
        <v>285</v>
      </c>
    </row>
    <row r="4" spans="1:18" ht="13.2" hidden="1" x14ac:dyDescent="0.25">
      <c r="A4" s="99">
        <v>44505.953908541662</v>
      </c>
      <c r="B4" s="98" t="s">
        <v>171</v>
      </c>
      <c r="C4" s="98" t="s">
        <v>180</v>
      </c>
      <c r="D4" s="98" t="s">
        <v>197</v>
      </c>
      <c r="E4" s="98" t="s">
        <v>168</v>
      </c>
      <c r="F4" s="98" t="s">
        <v>168</v>
      </c>
      <c r="G4" s="98" t="s">
        <v>167</v>
      </c>
      <c r="H4" s="98" t="s">
        <v>167</v>
      </c>
      <c r="I4" s="98" t="s">
        <v>196</v>
      </c>
      <c r="J4" s="98" t="s">
        <v>177</v>
      </c>
      <c r="K4" s="98" t="s">
        <v>176</v>
      </c>
      <c r="L4" s="98" t="s">
        <v>160</v>
      </c>
      <c r="M4" s="98" t="s">
        <v>160</v>
      </c>
      <c r="N4" s="98" t="s">
        <v>163</v>
      </c>
      <c r="O4" s="98" t="s">
        <v>189</v>
      </c>
      <c r="P4" s="98" t="s">
        <v>188</v>
      </c>
      <c r="Q4" s="98" t="s">
        <v>160</v>
      </c>
      <c r="R4" s="98" t="s">
        <v>193</v>
      </c>
    </row>
    <row r="5" spans="1:18" ht="13.2" hidden="1" x14ac:dyDescent="0.25">
      <c r="A5" s="99">
        <v>44505.953922824076</v>
      </c>
      <c r="B5" s="98" t="s">
        <v>181</v>
      </c>
      <c r="C5" s="98" t="s">
        <v>203</v>
      </c>
      <c r="D5" s="98" t="s">
        <v>169</v>
      </c>
      <c r="E5" s="98" t="s">
        <v>179</v>
      </c>
      <c r="F5" s="98" t="s">
        <v>179</v>
      </c>
      <c r="G5" s="98" t="s">
        <v>179</v>
      </c>
      <c r="H5" s="98" t="s">
        <v>179</v>
      </c>
      <c r="I5" s="98" t="s">
        <v>196</v>
      </c>
      <c r="J5" s="98" t="s">
        <v>177</v>
      </c>
      <c r="K5" s="98" t="s">
        <v>176</v>
      </c>
      <c r="L5" s="98" t="s">
        <v>160</v>
      </c>
      <c r="M5" s="98" t="s">
        <v>160</v>
      </c>
      <c r="N5" s="98" t="s">
        <v>163</v>
      </c>
      <c r="O5" s="98" t="s">
        <v>284</v>
      </c>
      <c r="P5" s="98" t="s">
        <v>173</v>
      </c>
      <c r="Q5" s="98" t="s">
        <v>160</v>
      </c>
      <c r="R5" s="98" t="s">
        <v>216</v>
      </c>
    </row>
    <row r="6" spans="1:18" ht="13.2" hidden="1" x14ac:dyDescent="0.25">
      <c r="A6" s="99">
        <v>44505.95509747685</v>
      </c>
      <c r="B6" s="98" t="s">
        <v>171</v>
      </c>
      <c r="C6" s="98" t="s">
        <v>170</v>
      </c>
      <c r="D6" s="98" t="s">
        <v>212</v>
      </c>
      <c r="E6" s="98" t="s">
        <v>168</v>
      </c>
      <c r="F6" s="98" t="s">
        <v>167</v>
      </c>
      <c r="G6" s="98" t="s">
        <v>167</v>
      </c>
      <c r="H6" s="98" t="s">
        <v>167</v>
      </c>
      <c r="I6" s="98" t="s">
        <v>283</v>
      </c>
      <c r="J6" s="98" t="s">
        <v>165</v>
      </c>
      <c r="K6" s="98" t="s">
        <v>164</v>
      </c>
      <c r="L6" s="98" t="s">
        <v>160</v>
      </c>
      <c r="M6" s="98" t="s">
        <v>160</v>
      </c>
      <c r="N6" s="98" t="s">
        <v>163</v>
      </c>
      <c r="O6" s="98" t="s">
        <v>282</v>
      </c>
      <c r="P6" s="98" t="s">
        <v>161</v>
      </c>
      <c r="Q6" s="98" t="s">
        <v>160</v>
      </c>
      <c r="R6" s="98" t="s">
        <v>187</v>
      </c>
    </row>
    <row r="7" spans="1:18" ht="13.2" hidden="1" x14ac:dyDescent="0.25">
      <c r="A7" s="99">
        <v>44505.955852187501</v>
      </c>
      <c r="B7" s="98" t="s">
        <v>171</v>
      </c>
      <c r="C7" s="98" t="s">
        <v>203</v>
      </c>
      <c r="D7" s="98" t="s">
        <v>169</v>
      </c>
      <c r="E7" s="98" t="s">
        <v>178</v>
      </c>
      <c r="F7" s="98" t="s">
        <v>168</v>
      </c>
      <c r="G7" s="98" t="s">
        <v>178</v>
      </c>
      <c r="H7" s="98" t="s">
        <v>201</v>
      </c>
      <c r="I7" s="98" t="s">
        <v>206</v>
      </c>
      <c r="J7" s="98" t="s">
        <v>236</v>
      </c>
      <c r="K7" s="98" t="s">
        <v>164</v>
      </c>
      <c r="L7" s="98" t="s">
        <v>160</v>
      </c>
      <c r="M7" s="98" t="s">
        <v>160</v>
      </c>
      <c r="N7" s="98" t="s">
        <v>163</v>
      </c>
      <c r="O7" s="98" t="s">
        <v>281</v>
      </c>
      <c r="P7" s="98" t="s">
        <v>188</v>
      </c>
      <c r="Q7" s="98" t="s">
        <v>160</v>
      </c>
      <c r="R7" s="98" t="s">
        <v>193</v>
      </c>
    </row>
    <row r="8" spans="1:18" ht="13.2" hidden="1" x14ac:dyDescent="0.25">
      <c r="A8" s="99">
        <v>44505.956078958334</v>
      </c>
      <c r="B8" s="98" t="s">
        <v>171</v>
      </c>
      <c r="C8" s="98" t="s">
        <v>257</v>
      </c>
      <c r="D8" s="98" t="s">
        <v>197</v>
      </c>
      <c r="E8" s="98" t="s">
        <v>168</v>
      </c>
      <c r="F8" s="98" t="s">
        <v>178</v>
      </c>
      <c r="G8" s="98" t="s">
        <v>167</v>
      </c>
      <c r="H8" s="98" t="s">
        <v>178</v>
      </c>
      <c r="I8" s="98" t="s">
        <v>191</v>
      </c>
      <c r="J8" s="98" t="s">
        <v>177</v>
      </c>
      <c r="K8" s="98" t="s">
        <v>164</v>
      </c>
      <c r="L8" s="98" t="s">
        <v>160</v>
      </c>
      <c r="M8" s="98" t="s">
        <v>160</v>
      </c>
      <c r="N8" s="98" t="s">
        <v>163</v>
      </c>
      <c r="O8" s="98" t="s">
        <v>202</v>
      </c>
      <c r="P8" s="98" t="s">
        <v>161</v>
      </c>
      <c r="R8" s="98" t="s">
        <v>193</v>
      </c>
    </row>
    <row r="9" spans="1:18" ht="13.2" hidden="1" x14ac:dyDescent="0.25">
      <c r="A9" s="99">
        <v>44505.957358078704</v>
      </c>
      <c r="B9" s="98" t="s">
        <v>181</v>
      </c>
      <c r="C9" s="98" t="s">
        <v>199</v>
      </c>
      <c r="D9" s="98" t="s">
        <v>197</v>
      </c>
      <c r="E9" s="98" t="s">
        <v>168</v>
      </c>
      <c r="F9" s="98" t="s">
        <v>168</v>
      </c>
      <c r="G9" s="98" t="s">
        <v>167</v>
      </c>
      <c r="H9" s="98" t="s">
        <v>168</v>
      </c>
      <c r="I9" s="98" t="s">
        <v>206</v>
      </c>
      <c r="J9" s="98" t="s">
        <v>254</v>
      </c>
      <c r="K9" s="98" t="s">
        <v>176</v>
      </c>
      <c r="L9" s="98" t="s">
        <v>160</v>
      </c>
      <c r="M9" s="98" t="s">
        <v>160</v>
      </c>
      <c r="N9" s="98" t="s">
        <v>208</v>
      </c>
      <c r="O9" s="98" t="s">
        <v>202</v>
      </c>
      <c r="P9" s="98" t="s">
        <v>188</v>
      </c>
      <c r="Q9" s="98" t="s">
        <v>160</v>
      </c>
      <c r="R9" s="98" t="s">
        <v>216</v>
      </c>
    </row>
    <row r="10" spans="1:18" ht="13.2" hidden="1" x14ac:dyDescent="0.25">
      <c r="A10" s="99">
        <v>44505.957894224535</v>
      </c>
      <c r="B10" s="98" t="s">
        <v>171</v>
      </c>
      <c r="C10" s="98" t="s">
        <v>180</v>
      </c>
      <c r="D10" s="98" t="s">
        <v>169</v>
      </c>
      <c r="E10" s="98" t="s">
        <v>178</v>
      </c>
      <c r="F10" s="98" t="s">
        <v>168</v>
      </c>
      <c r="G10" s="98" t="s">
        <v>201</v>
      </c>
      <c r="H10" s="98" t="s">
        <v>168</v>
      </c>
      <c r="I10" s="98" t="s">
        <v>206</v>
      </c>
      <c r="J10" s="98" t="s">
        <v>227</v>
      </c>
      <c r="K10" s="98" t="s">
        <v>176</v>
      </c>
      <c r="L10" s="98" t="s">
        <v>160</v>
      </c>
      <c r="M10" s="98" t="s">
        <v>160</v>
      </c>
      <c r="N10" s="98" t="s">
        <v>163</v>
      </c>
      <c r="O10" s="98" t="s">
        <v>280</v>
      </c>
      <c r="P10" s="98" t="s">
        <v>188</v>
      </c>
      <c r="Q10" s="98" t="s">
        <v>160</v>
      </c>
      <c r="R10" s="98" t="s">
        <v>159</v>
      </c>
    </row>
    <row r="11" spans="1:18" ht="13.2" hidden="1" x14ac:dyDescent="0.25">
      <c r="A11" s="99">
        <v>44505.958426527781</v>
      </c>
      <c r="B11" s="98" t="s">
        <v>171</v>
      </c>
      <c r="C11" s="98" t="s">
        <v>214</v>
      </c>
      <c r="D11" s="98" t="s">
        <v>207</v>
      </c>
      <c r="E11" s="98" t="s">
        <v>167</v>
      </c>
      <c r="F11" s="98" t="s">
        <v>167</v>
      </c>
      <c r="G11" s="98" t="s">
        <v>167</v>
      </c>
      <c r="H11" s="98" t="s">
        <v>167</v>
      </c>
      <c r="I11" s="98" t="s">
        <v>279</v>
      </c>
      <c r="J11" s="98" t="s">
        <v>218</v>
      </c>
      <c r="K11" s="98" t="s">
        <v>176</v>
      </c>
      <c r="L11" s="98" t="s">
        <v>160</v>
      </c>
      <c r="M11" s="98" t="s">
        <v>160</v>
      </c>
      <c r="N11" s="98" t="s">
        <v>163</v>
      </c>
      <c r="O11" s="98" t="s">
        <v>189</v>
      </c>
      <c r="P11" s="98" t="s">
        <v>188</v>
      </c>
      <c r="Q11" s="98" t="s">
        <v>160</v>
      </c>
      <c r="R11" s="98" t="s">
        <v>193</v>
      </c>
    </row>
    <row r="12" spans="1:18" ht="13.2" hidden="1" x14ac:dyDescent="0.25">
      <c r="A12" s="99">
        <v>44505.961853738423</v>
      </c>
      <c r="B12" s="98" t="s">
        <v>181</v>
      </c>
      <c r="C12" s="98" t="s">
        <v>180</v>
      </c>
      <c r="D12" s="98" t="s">
        <v>169</v>
      </c>
      <c r="E12" s="98" t="s">
        <v>168</v>
      </c>
      <c r="F12" s="98" t="s">
        <v>168</v>
      </c>
      <c r="G12" s="98" t="s">
        <v>179</v>
      </c>
      <c r="H12" s="98" t="s">
        <v>167</v>
      </c>
      <c r="I12" s="98" t="s">
        <v>206</v>
      </c>
      <c r="J12" s="98" t="s">
        <v>177</v>
      </c>
      <c r="K12" s="98" t="s">
        <v>164</v>
      </c>
      <c r="L12" s="98" t="s">
        <v>160</v>
      </c>
      <c r="M12" s="98" t="s">
        <v>160</v>
      </c>
      <c r="N12" s="98" t="s">
        <v>163</v>
      </c>
      <c r="O12" s="98" t="s">
        <v>202</v>
      </c>
      <c r="P12" s="98" t="s">
        <v>173</v>
      </c>
      <c r="Q12" s="98" t="s">
        <v>160</v>
      </c>
      <c r="R12" s="98" t="s">
        <v>187</v>
      </c>
    </row>
    <row r="13" spans="1:18" ht="13.2" x14ac:dyDescent="0.25">
      <c r="A13" s="99">
        <v>44505.962055925927</v>
      </c>
      <c r="B13" s="98" t="s">
        <v>181</v>
      </c>
      <c r="C13" s="98" t="s">
        <v>180</v>
      </c>
      <c r="D13" s="98" t="s">
        <v>169</v>
      </c>
      <c r="E13" s="98" t="s">
        <v>168</v>
      </c>
      <c r="F13" s="98" t="s">
        <v>201</v>
      </c>
      <c r="G13" s="98" t="s">
        <v>168</v>
      </c>
      <c r="H13" s="98" t="s">
        <v>167</v>
      </c>
      <c r="I13" s="98" t="s">
        <v>166</v>
      </c>
      <c r="J13" s="98" t="s">
        <v>204</v>
      </c>
      <c r="K13" s="98" t="s">
        <v>176</v>
      </c>
      <c r="L13" s="98" t="s">
        <v>160</v>
      </c>
      <c r="M13" s="98" t="s">
        <v>160</v>
      </c>
      <c r="N13" s="98" t="s">
        <v>163</v>
      </c>
      <c r="O13" s="98" t="s">
        <v>278</v>
      </c>
      <c r="P13" s="98" t="s">
        <v>250</v>
      </c>
      <c r="Q13" s="98" t="s">
        <v>160</v>
      </c>
      <c r="R13" s="98" t="s">
        <v>172</v>
      </c>
    </row>
    <row r="14" spans="1:18" ht="13.2" x14ac:dyDescent="0.25">
      <c r="A14" s="99">
        <v>44505.968317662038</v>
      </c>
      <c r="B14" s="98" t="s">
        <v>181</v>
      </c>
      <c r="C14" s="98" t="s">
        <v>180</v>
      </c>
      <c r="D14" s="98" t="s">
        <v>186</v>
      </c>
      <c r="E14" s="98" t="s">
        <v>168</v>
      </c>
      <c r="F14" s="98" t="s">
        <v>168</v>
      </c>
      <c r="G14" s="98" t="s">
        <v>168</v>
      </c>
      <c r="H14" s="98" t="s">
        <v>179</v>
      </c>
      <c r="I14" s="98" t="s">
        <v>166</v>
      </c>
      <c r="J14" s="98" t="s">
        <v>200</v>
      </c>
      <c r="K14" s="98" t="s">
        <v>164</v>
      </c>
      <c r="L14" s="98" t="s">
        <v>160</v>
      </c>
      <c r="M14" s="98" t="s">
        <v>160</v>
      </c>
      <c r="N14" s="98" t="s">
        <v>163</v>
      </c>
      <c r="O14" s="98" t="s">
        <v>189</v>
      </c>
      <c r="P14" s="98" t="s">
        <v>173</v>
      </c>
      <c r="Q14" s="98" t="s">
        <v>160</v>
      </c>
      <c r="R14" s="98" t="s">
        <v>216</v>
      </c>
    </row>
    <row r="15" spans="1:18" ht="13.2" hidden="1" x14ac:dyDescent="0.25">
      <c r="A15" s="99">
        <v>44505.96837869213</v>
      </c>
      <c r="B15" s="98" t="s">
        <v>171</v>
      </c>
      <c r="C15" s="98" t="s">
        <v>180</v>
      </c>
      <c r="D15" s="98" t="s">
        <v>186</v>
      </c>
      <c r="E15" s="98" t="s">
        <v>168</v>
      </c>
      <c r="F15" s="98" t="s">
        <v>179</v>
      </c>
      <c r="G15" s="98" t="s">
        <v>167</v>
      </c>
      <c r="H15" s="98" t="s">
        <v>167</v>
      </c>
      <c r="I15" s="98" t="s">
        <v>206</v>
      </c>
      <c r="J15" s="98" t="s">
        <v>177</v>
      </c>
      <c r="K15" s="98" t="s">
        <v>176</v>
      </c>
      <c r="L15" s="98" t="s">
        <v>160</v>
      </c>
      <c r="M15" s="98" t="s">
        <v>160</v>
      </c>
      <c r="N15" s="98" t="s">
        <v>163</v>
      </c>
      <c r="O15" s="98" t="s">
        <v>277</v>
      </c>
      <c r="P15" s="98" t="s">
        <v>161</v>
      </c>
      <c r="Q15" s="98" t="s">
        <v>160</v>
      </c>
      <c r="R15" s="98" t="s">
        <v>172</v>
      </c>
    </row>
    <row r="16" spans="1:18" ht="13.2" x14ac:dyDescent="0.25">
      <c r="A16" s="99">
        <v>44505.970775173613</v>
      </c>
      <c r="B16" s="98" t="s">
        <v>171</v>
      </c>
      <c r="C16" s="98" t="s">
        <v>170</v>
      </c>
      <c r="D16" s="98" t="s">
        <v>212</v>
      </c>
      <c r="E16" s="98" t="s">
        <v>178</v>
      </c>
      <c r="F16" s="98" t="s">
        <v>167</v>
      </c>
      <c r="G16" s="98" t="s">
        <v>167</v>
      </c>
      <c r="H16" s="98" t="s">
        <v>178</v>
      </c>
      <c r="I16" s="98" t="s">
        <v>166</v>
      </c>
      <c r="J16" s="98" t="s">
        <v>165</v>
      </c>
      <c r="K16" s="98" t="s">
        <v>176</v>
      </c>
      <c r="L16" s="98" t="s">
        <v>160</v>
      </c>
      <c r="M16" s="98" t="s">
        <v>160</v>
      </c>
      <c r="N16" s="98" t="s">
        <v>223</v>
      </c>
      <c r="O16" s="98" t="s">
        <v>202</v>
      </c>
      <c r="P16" s="98" t="s">
        <v>219</v>
      </c>
      <c r="Q16" s="98" t="s">
        <v>160</v>
      </c>
      <c r="R16" s="98" t="s">
        <v>172</v>
      </c>
    </row>
    <row r="17" spans="1:18" ht="13.2" hidden="1" x14ac:dyDescent="0.25">
      <c r="A17" s="99">
        <v>44505.979495370368</v>
      </c>
      <c r="B17" s="98" t="s">
        <v>171</v>
      </c>
      <c r="C17" s="98" t="s">
        <v>180</v>
      </c>
      <c r="D17" s="98" t="s">
        <v>212</v>
      </c>
      <c r="E17" s="98" t="s">
        <v>168</v>
      </c>
      <c r="F17" s="98" t="s">
        <v>167</v>
      </c>
      <c r="G17" s="98" t="s">
        <v>201</v>
      </c>
      <c r="H17" s="98" t="s">
        <v>167</v>
      </c>
      <c r="I17" s="98" t="s">
        <v>191</v>
      </c>
      <c r="J17" s="98" t="s">
        <v>177</v>
      </c>
      <c r="K17" s="98" t="s">
        <v>176</v>
      </c>
      <c r="L17" s="98" t="s">
        <v>160</v>
      </c>
      <c r="M17" s="98" t="s">
        <v>160</v>
      </c>
      <c r="N17" s="98" t="s">
        <v>163</v>
      </c>
      <c r="O17" s="98" t="s">
        <v>217</v>
      </c>
      <c r="P17" s="98" t="s">
        <v>219</v>
      </c>
      <c r="Q17" s="98" t="s">
        <v>160</v>
      </c>
      <c r="R17" s="98" t="s">
        <v>187</v>
      </c>
    </row>
    <row r="18" spans="1:18" ht="13.2" hidden="1" x14ac:dyDescent="0.25">
      <c r="A18" s="99">
        <v>44505.981302638887</v>
      </c>
      <c r="B18" s="98" t="s">
        <v>181</v>
      </c>
      <c r="C18" s="98" t="s">
        <v>203</v>
      </c>
      <c r="D18" s="98" t="s">
        <v>186</v>
      </c>
      <c r="E18" s="98" t="s">
        <v>168</v>
      </c>
      <c r="F18" s="98" t="s">
        <v>179</v>
      </c>
      <c r="G18" s="98" t="s">
        <v>167</v>
      </c>
      <c r="H18" s="98" t="s">
        <v>167</v>
      </c>
      <c r="I18" s="98" t="s">
        <v>211</v>
      </c>
      <c r="J18" s="98" t="s">
        <v>272</v>
      </c>
      <c r="K18" s="98" t="s">
        <v>176</v>
      </c>
      <c r="L18" s="98" t="s">
        <v>160</v>
      </c>
      <c r="M18" s="98" t="s">
        <v>160</v>
      </c>
      <c r="N18" s="98" t="s">
        <v>175</v>
      </c>
      <c r="O18" s="98" t="s">
        <v>262</v>
      </c>
      <c r="P18" s="98" t="s">
        <v>250</v>
      </c>
      <c r="Q18" s="98" t="s">
        <v>160</v>
      </c>
      <c r="R18" s="98" t="s">
        <v>172</v>
      </c>
    </row>
    <row r="19" spans="1:18" ht="13.2" x14ac:dyDescent="0.25">
      <c r="A19" s="99">
        <v>44506.012886759258</v>
      </c>
      <c r="B19" s="98" t="s">
        <v>181</v>
      </c>
      <c r="C19" s="98" t="s">
        <v>214</v>
      </c>
      <c r="D19" s="98" t="s">
        <v>186</v>
      </c>
      <c r="E19" s="98" t="s">
        <v>201</v>
      </c>
      <c r="F19" s="98" t="s">
        <v>201</v>
      </c>
      <c r="G19" s="98" t="s">
        <v>201</v>
      </c>
      <c r="H19" s="98" t="s">
        <v>201</v>
      </c>
      <c r="I19" s="98" t="s">
        <v>166</v>
      </c>
      <c r="J19" s="98" t="s">
        <v>177</v>
      </c>
      <c r="K19" s="98" t="s">
        <v>164</v>
      </c>
      <c r="L19" s="98" t="s">
        <v>160</v>
      </c>
      <c r="M19" s="98" t="s">
        <v>160</v>
      </c>
      <c r="N19" s="98" t="s">
        <v>163</v>
      </c>
      <c r="O19" s="98" t="s">
        <v>183</v>
      </c>
      <c r="P19" s="98" t="s">
        <v>188</v>
      </c>
      <c r="Q19" s="98" t="s">
        <v>160</v>
      </c>
      <c r="R19" s="98" t="s">
        <v>172</v>
      </c>
    </row>
    <row r="20" spans="1:18" ht="13.2" hidden="1" x14ac:dyDescent="0.25">
      <c r="A20" s="99">
        <v>44506.02217773148</v>
      </c>
      <c r="B20" s="98" t="s">
        <v>181</v>
      </c>
      <c r="C20" s="98" t="s">
        <v>170</v>
      </c>
      <c r="D20" s="98" t="s">
        <v>186</v>
      </c>
      <c r="E20" s="98" t="s">
        <v>179</v>
      </c>
      <c r="F20" s="98" t="s">
        <v>179</v>
      </c>
      <c r="G20" s="98" t="s">
        <v>179</v>
      </c>
      <c r="H20" s="98" t="s">
        <v>167</v>
      </c>
      <c r="I20" s="98" t="s">
        <v>276</v>
      </c>
      <c r="J20" s="98" t="s">
        <v>246</v>
      </c>
      <c r="K20" s="98" t="s">
        <v>176</v>
      </c>
      <c r="L20" s="98" t="s">
        <v>160</v>
      </c>
      <c r="M20" s="98" t="s">
        <v>160</v>
      </c>
      <c r="N20" s="98" t="s">
        <v>223</v>
      </c>
      <c r="O20" s="98" t="s">
        <v>205</v>
      </c>
      <c r="P20" s="98" t="s">
        <v>188</v>
      </c>
      <c r="Q20" s="98" t="s">
        <v>160</v>
      </c>
      <c r="R20" s="98" t="s">
        <v>187</v>
      </c>
    </row>
    <row r="21" spans="1:18" ht="13.2" x14ac:dyDescent="0.25">
      <c r="A21" s="99">
        <v>44506.035364097217</v>
      </c>
      <c r="B21" s="98" t="s">
        <v>181</v>
      </c>
      <c r="C21" s="98" t="s">
        <v>170</v>
      </c>
      <c r="D21" s="98" t="s">
        <v>212</v>
      </c>
      <c r="E21" s="98" t="s">
        <v>168</v>
      </c>
      <c r="F21" s="98" t="s">
        <v>178</v>
      </c>
      <c r="G21" s="98" t="s">
        <v>167</v>
      </c>
      <c r="H21" s="98" t="s">
        <v>167</v>
      </c>
      <c r="I21" s="98" t="s">
        <v>166</v>
      </c>
      <c r="J21" s="98" t="s">
        <v>265</v>
      </c>
      <c r="K21" s="98" t="s">
        <v>176</v>
      </c>
      <c r="L21" s="98" t="s">
        <v>160</v>
      </c>
      <c r="M21" s="98" t="s">
        <v>160</v>
      </c>
      <c r="N21" s="98" t="s">
        <v>163</v>
      </c>
      <c r="O21" s="98" t="s">
        <v>217</v>
      </c>
      <c r="P21" s="98" t="s">
        <v>188</v>
      </c>
      <c r="Q21" s="98" t="s">
        <v>160</v>
      </c>
      <c r="R21" s="98" t="s">
        <v>193</v>
      </c>
    </row>
    <row r="22" spans="1:18" ht="13.2" x14ac:dyDescent="0.25">
      <c r="A22" s="99">
        <v>44506.052093622682</v>
      </c>
      <c r="B22" s="98" t="s">
        <v>171</v>
      </c>
      <c r="C22" s="98" t="s">
        <v>170</v>
      </c>
      <c r="D22" s="98" t="s">
        <v>169</v>
      </c>
      <c r="E22" s="98" t="s">
        <v>167</v>
      </c>
      <c r="F22" s="98" t="s">
        <v>167</v>
      </c>
      <c r="G22" s="98" t="s">
        <v>167</v>
      </c>
      <c r="H22" s="98" t="s">
        <v>168</v>
      </c>
      <c r="I22" s="98" t="s">
        <v>166</v>
      </c>
      <c r="J22" s="98" t="s">
        <v>177</v>
      </c>
      <c r="K22" s="98" t="s">
        <v>176</v>
      </c>
      <c r="L22" s="98" t="s">
        <v>160</v>
      </c>
      <c r="M22" s="98" t="s">
        <v>160</v>
      </c>
      <c r="N22" s="98" t="s">
        <v>163</v>
      </c>
      <c r="O22" s="98" t="s">
        <v>189</v>
      </c>
      <c r="P22" s="98" t="s">
        <v>173</v>
      </c>
      <c r="Q22" s="98" t="s">
        <v>160</v>
      </c>
      <c r="R22" s="98" t="s">
        <v>193</v>
      </c>
    </row>
    <row r="23" spans="1:18" ht="13.2" hidden="1" x14ac:dyDescent="0.25">
      <c r="A23" s="99">
        <v>44506.065069282406</v>
      </c>
      <c r="B23" s="98" t="s">
        <v>171</v>
      </c>
      <c r="C23" s="98" t="s">
        <v>170</v>
      </c>
      <c r="D23" s="98" t="s">
        <v>197</v>
      </c>
      <c r="E23" s="98" t="s">
        <v>178</v>
      </c>
      <c r="F23" s="98" t="s">
        <v>178</v>
      </c>
      <c r="G23" s="98" t="s">
        <v>167</v>
      </c>
      <c r="H23" s="98" t="s">
        <v>178</v>
      </c>
      <c r="I23" s="98" t="s">
        <v>206</v>
      </c>
      <c r="J23" s="98" t="s">
        <v>165</v>
      </c>
      <c r="K23" s="98" t="s">
        <v>176</v>
      </c>
      <c r="L23" s="98" t="s">
        <v>160</v>
      </c>
      <c r="M23" s="98" t="s">
        <v>160</v>
      </c>
      <c r="N23" s="98" t="s">
        <v>223</v>
      </c>
      <c r="O23" s="98" t="s">
        <v>210</v>
      </c>
      <c r="P23" s="98" t="s">
        <v>188</v>
      </c>
      <c r="Q23" s="98" t="s">
        <v>160</v>
      </c>
      <c r="R23" s="98" t="s">
        <v>187</v>
      </c>
    </row>
    <row r="24" spans="1:18" ht="13.2" x14ac:dyDescent="0.25">
      <c r="A24" s="99">
        <v>44506.105178784725</v>
      </c>
      <c r="B24" s="98" t="s">
        <v>181</v>
      </c>
      <c r="C24" s="98" t="s">
        <v>203</v>
      </c>
      <c r="D24" s="98" t="s">
        <v>212</v>
      </c>
      <c r="E24" s="98" t="s">
        <v>179</v>
      </c>
      <c r="F24" s="98" t="s">
        <v>168</v>
      </c>
      <c r="G24" s="98" t="s">
        <v>168</v>
      </c>
      <c r="H24" s="98" t="s">
        <v>168</v>
      </c>
      <c r="I24" s="98" t="s">
        <v>166</v>
      </c>
      <c r="J24" s="98" t="s">
        <v>165</v>
      </c>
      <c r="K24" s="98" t="s">
        <v>176</v>
      </c>
      <c r="L24" s="98" t="s">
        <v>160</v>
      </c>
      <c r="M24" s="98" t="s">
        <v>160</v>
      </c>
      <c r="N24" s="98" t="s">
        <v>163</v>
      </c>
      <c r="O24" s="98" t="s">
        <v>274</v>
      </c>
      <c r="P24" s="98" t="s">
        <v>219</v>
      </c>
      <c r="Q24" s="98" t="s">
        <v>160</v>
      </c>
      <c r="R24" s="98" t="s">
        <v>240</v>
      </c>
    </row>
    <row r="25" spans="1:18" ht="13.2" x14ac:dyDescent="0.25">
      <c r="A25" s="99">
        <v>44506.24897792824</v>
      </c>
      <c r="B25" s="98" t="s">
        <v>171</v>
      </c>
      <c r="C25" s="98" t="s">
        <v>180</v>
      </c>
      <c r="D25" s="98" t="s">
        <v>169</v>
      </c>
      <c r="E25" s="98" t="s">
        <v>178</v>
      </c>
      <c r="F25" s="98" t="s">
        <v>178</v>
      </c>
      <c r="G25" s="98" t="s">
        <v>167</v>
      </c>
      <c r="H25" s="98" t="s">
        <v>179</v>
      </c>
      <c r="I25" s="98" t="s">
        <v>166</v>
      </c>
      <c r="J25" s="98" t="s">
        <v>177</v>
      </c>
      <c r="K25" s="98" t="s">
        <v>164</v>
      </c>
      <c r="L25" s="98" t="s">
        <v>160</v>
      </c>
      <c r="M25" s="98" t="s">
        <v>160</v>
      </c>
      <c r="N25" s="98" t="s">
        <v>163</v>
      </c>
      <c r="O25" s="98" t="s">
        <v>189</v>
      </c>
      <c r="P25" s="98" t="s">
        <v>173</v>
      </c>
      <c r="Q25" s="98" t="s">
        <v>160</v>
      </c>
      <c r="R25" s="98" t="s">
        <v>187</v>
      </c>
    </row>
    <row r="26" spans="1:18" ht="13.2" x14ac:dyDescent="0.25">
      <c r="A26" s="99">
        <v>44506.258163506944</v>
      </c>
      <c r="B26" s="98" t="s">
        <v>181</v>
      </c>
      <c r="C26" s="98" t="s">
        <v>257</v>
      </c>
      <c r="D26" s="98" t="s">
        <v>186</v>
      </c>
      <c r="E26" s="98" t="s">
        <v>201</v>
      </c>
      <c r="F26" s="98" t="s">
        <v>167</v>
      </c>
      <c r="G26" s="98" t="s">
        <v>201</v>
      </c>
      <c r="H26" s="98" t="s">
        <v>167</v>
      </c>
      <c r="I26" s="98" t="s">
        <v>166</v>
      </c>
      <c r="J26" s="98" t="s">
        <v>218</v>
      </c>
      <c r="K26" s="98" t="s">
        <v>176</v>
      </c>
      <c r="L26" s="98" t="s">
        <v>160</v>
      </c>
      <c r="M26" s="98" t="s">
        <v>160</v>
      </c>
      <c r="N26" s="98" t="s">
        <v>163</v>
      </c>
      <c r="O26" s="98" t="s">
        <v>205</v>
      </c>
      <c r="P26" s="98" t="s">
        <v>173</v>
      </c>
      <c r="Q26" s="98" t="s">
        <v>184</v>
      </c>
      <c r="R26" s="98" t="s">
        <v>172</v>
      </c>
    </row>
    <row r="27" spans="1:18" ht="13.2" hidden="1" x14ac:dyDescent="0.25">
      <c r="A27" s="99">
        <v>44506.265450983796</v>
      </c>
      <c r="B27" s="98" t="s">
        <v>181</v>
      </c>
      <c r="C27" s="98" t="s">
        <v>203</v>
      </c>
      <c r="D27" s="98" t="s">
        <v>186</v>
      </c>
      <c r="E27" s="98" t="s">
        <v>179</v>
      </c>
      <c r="F27" s="98" t="s">
        <v>179</v>
      </c>
      <c r="G27" s="98" t="s">
        <v>178</v>
      </c>
      <c r="H27" s="98" t="s">
        <v>201</v>
      </c>
      <c r="I27" s="98" t="s">
        <v>206</v>
      </c>
      <c r="J27" s="98" t="s">
        <v>165</v>
      </c>
      <c r="K27" s="98" t="s">
        <v>164</v>
      </c>
      <c r="L27" s="98" t="s">
        <v>160</v>
      </c>
      <c r="M27" s="98" t="s">
        <v>160</v>
      </c>
      <c r="N27" s="98" t="s">
        <v>175</v>
      </c>
      <c r="O27" s="98" t="s">
        <v>275</v>
      </c>
      <c r="P27" s="98" t="s">
        <v>188</v>
      </c>
      <c r="Q27" s="98" t="s">
        <v>160</v>
      </c>
      <c r="R27" s="98" t="s">
        <v>172</v>
      </c>
    </row>
    <row r="28" spans="1:18" ht="13.2" hidden="1" x14ac:dyDescent="0.25">
      <c r="A28" s="99">
        <v>44506.314573402778</v>
      </c>
      <c r="B28" s="98" t="s">
        <v>181</v>
      </c>
      <c r="C28" s="98" t="s">
        <v>203</v>
      </c>
      <c r="D28" s="98" t="s">
        <v>186</v>
      </c>
      <c r="E28" s="98" t="s">
        <v>168</v>
      </c>
      <c r="F28" s="98" t="s">
        <v>168</v>
      </c>
      <c r="G28" s="98" t="s">
        <v>167</v>
      </c>
      <c r="H28" s="98" t="s">
        <v>201</v>
      </c>
      <c r="I28" s="98" t="s">
        <v>269</v>
      </c>
      <c r="J28" s="98" t="s">
        <v>177</v>
      </c>
      <c r="K28" s="98" t="s">
        <v>164</v>
      </c>
      <c r="L28" s="98" t="s">
        <v>160</v>
      </c>
      <c r="M28" s="98" t="s">
        <v>160</v>
      </c>
      <c r="N28" s="98" t="s">
        <v>163</v>
      </c>
      <c r="O28" s="98" t="s">
        <v>174</v>
      </c>
      <c r="P28" s="98" t="s">
        <v>188</v>
      </c>
      <c r="Q28" s="98" t="s">
        <v>160</v>
      </c>
      <c r="R28" s="98" t="s">
        <v>187</v>
      </c>
    </row>
    <row r="29" spans="1:18" ht="13.2" x14ac:dyDescent="0.25">
      <c r="A29" s="99">
        <v>44506.320663819446</v>
      </c>
      <c r="B29" s="98" t="s">
        <v>181</v>
      </c>
      <c r="C29" s="98" t="s">
        <v>180</v>
      </c>
      <c r="D29" s="98" t="s">
        <v>169</v>
      </c>
      <c r="E29" s="98" t="s">
        <v>178</v>
      </c>
      <c r="F29" s="98" t="s">
        <v>168</v>
      </c>
      <c r="G29" s="98" t="s">
        <v>179</v>
      </c>
      <c r="H29" s="98" t="s">
        <v>167</v>
      </c>
      <c r="I29" s="98" t="s">
        <v>166</v>
      </c>
      <c r="J29" s="98" t="s">
        <v>185</v>
      </c>
      <c r="K29" s="98" t="s">
        <v>164</v>
      </c>
      <c r="L29" s="98" t="s">
        <v>160</v>
      </c>
      <c r="M29" s="98" t="s">
        <v>160</v>
      </c>
      <c r="N29" s="98" t="s">
        <v>163</v>
      </c>
      <c r="O29" s="98" t="s">
        <v>260</v>
      </c>
      <c r="P29" s="98" t="s">
        <v>173</v>
      </c>
      <c r="Q29" s="98" t="s">
        <v>160</v>
      </c>
      <c r="R29" s="98" t="s">
        <v>172</v>
      </c>
    </row>
    <row r="30" spans="1:18" ht="13.2" hidden="1" x14ac:dyDescent="0.25">
      <c r="A30" s="99">
        <v>44506.321569374995</v>
      </c>
      <c r="B30" s="98" t="s">
        <v>171</v>
      </c>
      <c r="C30" s="98" t="s">
        <v>180</v>
      </c>
      <c r="D30" s="98" t="s">
        <v>197</v>
      </c>
      <c r="E30" s="98" t="s">
        <v>178</v>
      </c>
      <c r="F30" s="98" t="s">
        <v>179</v>
      </c>
      <c r="G30" s="98" t="s">
        <v>167</v>
      </c>
      <c r="H30" s="98" t="s">
        <v>201</v>
      </c>
      <c r="I30" s="98" t="s">
        <v>206</v>
      </c>
      <c r="J30" s="98" t="s">
        <v>177</v>
      </c>
      <c r="K30" s="98" t="s">
        <v>176</v>
      </c>
      <c r="L30" s="98" t="s">
        <v>160</v>
      </c>
      <c r="M30" s="98" t="s">
        <v>160</v>
      </c>
      <c r="N30" s="98" t="s">
        <v>175</v>
      </c>
      <c r="O30" s="98" t="s">
        <v>189</v>
      </c>
      <c r="P30" s="98" t="s">
        <v>182</v>
      </c>
      <c r="Q30" s="98" t="s">
        <v>160</v>
      </c>
      <c r="R30" s="98" t="s">
        <v>240</v>
      </c>
    </row>
    <row r="31" spans="1:18" ht="13.2" hidden="1" x14ac:dyDescent="0.25">
      <c r="A31" s="99">
        <v>44506.329982418982</v>
      </c>
      <c r="B31" s="98" t="s">
        <v>181</v>
      </c>
      <c r="C31" s="98" t="s">
        <v>203</v>
      </c>
      <c r="D31" s="98" t="s">
        <v>186</v>
      </c>
      <c r="E31" s="98" t="s">
        <v>178</v>
      </c>
      <c r="F31" s="98" t="s">
        <v>168</v>
      </c>
      <c r="G31" s="98" t="s">
        <v>168</v>
      </c>
      <c r="H31" s="98" t="s">
        <v>179</v>
      </c>
      <c r="I31" s="98" t="s">
        <v>206</v>
      </c>
      <c r="J31" s="98" t="s">
        <v>177</v>
      </c>
      <c r="K31" s="98" t="s">
        <v>176</v>
      </c>
      <c r="L31" s="98" t="s">
        <v>160</v>
      </c>
      <c r="M31" s="98" t="s">
        <v>160</v>
      </c>
      <c r="N31" s="98" t="s">
        <v>223</v>
      </c>
      <c r="O31" s="98" t="s">
        <v>274</v>
      </c>
      <c r="P31" s="98" t="s">
        <v>188</v>
      </c>
      <c r="Q31" s="98" t="s">
        <v>160</v>
      </c>
      <c r="R31" s="98" t="s">
        <v>237</v>
      </c>
    </row>
    <row r="32" spans="1:18" ht="13.2" x14ac:dyDescent="0.25">
      <c r="A32" s="99">
        <v>44506.330901145833</v>
      </c>
      <c r="B32" s="98" t="s">
        <v>181</v>
      </c>
      <c r="C32" s="98" t="s">
        <v>199</v>
      </c>
      <c r="D32" s="98" t="s">
        <v>186</v>
      </c>
      <c r="E32" s="98" t="s">
        <v>168</v>
      </c>
      <c r="F32" s="98" t="s">
        <v>178</v>
      </c>
      <c r="G32" s="98" t="s">
        <v>167</v>
      </c>
      <c r="H32" s="98" t="s">
        <v>201</v>
      </c>
      <c r="I32" s="98" t="s">
        <v>166</v>
      </c>
      <c r="J32" s="98" t="s">
        <v>218</v>
      </c>
      <c r="K32" s="98" t="s">
        <v>164</v>
      </c>
      <c r="L32" s="98" t="s">
        <v>160</v>
      </c>
      <c r="M32" s="98" t="s">
        <v>160</v>
      </c>
      <c r="N32" s="98" t="s">
        <v>175</v>
      </c>
      <c r="O32" s="98" t="s">
        <v>222</v>
      </c>
      <c r="P32" s="98" t="s">
        <v>182</v>
      </c>
      <c r="Q32" s="98" t="s">
        <v>160</v>
      </c>
      <c r="R32" s="98" t="s">
        <v>172</v>
      </c>
    </row>
    <row r="33" spans="1:18" ht="13.2" x14ac:dyDescent="0.25">
      <c r="A33" s="99">
        <v>44506.342219583334</v>
      </c>
      <c r="B33" s="98" t="s">
        <v>181</v>
      </c>
      <c r="C33" s="98" t="s">
        <v>180</v>
      </c>
      <c r="D33" s="98" t="s">
        <v>186</v>
      </c>
      <c r="E33" s="98" t="s">
        <v>168</v>
      </c>
      <c r="F33" s="98" t="s">
        <v>167</v>
      </c>
      <c r="G33" s="98" t="s">
        <v>201</v>
      </c>
      <c r="H33" s="98" t="s">
        <v>167</v>
      </c>
      <c r="I33" s="98" t="s">
        <v>166</v>
      </c>
      <c r="J33" s="98" t="s">
        <v>200</v>
      </c>
      <c r="K33" s="98" t="s">
        <v>176</v>
      </c>
      <c r="L33" s="98" t="s">
        <v>160</v>
      </c>
      <c r="M33" s="98" t="s">
        <v>160</v>
      </c>
      <c r="N33" s="98" t="s">
        <v>163</v>
      </c>
      <c r="O33" s="98" t="s">
        <v>202</v>
      </c>
      <c r="P33" s="98" t="s">
        <v>188</v>
      </c>
      <c r="Q33" s="98" t="s">
        <v>160</v>
      </c>
      <c r="R33" s="98" t="s">
        <v>172</v>
      </c>
    </row>
    <row r="34" spans="1:18" ht="13.2" x14ac:dyDescent="0.25">
      <c r="A34" s="99">
        <v>44506.396102696759</v>
      </c>
      <c r="B34" s="98" t="s">
        <v>181</v>
      </c>
      <c r="C34" s="98" t="s">
        <v>203</v>
      </c>
      <c r="D34" s="98" t="s">
        <v>169</v>
      </c>
      <c r="E34" s="98" t="s">
        <v>167</v>
      </c>
      <c r="F34" s="98" t="s">
        <v>178</v>
      </c>
      <c r="G34" s="98" t="s">
        <v>201</v>
      </c>
      <c r="H34" s="98" t="s">
        <v>167</v>
      </c>
      <c r="I34" s="98" t="s">
        <v>166</v>
      </c>
      <c r="J34" s="98" t="s">
        <v>213</v>
      </c>
      <c r="K34" s="98" t="s">
        <v>176</v>
      </c>
      <c r="L34" s="98" t="s">
        <v>160</v>
      </c>
      <c r="M34" s="98" t="s">
        <v>160</v>
      </c>
      <c r="N34" s="98" t="s">
        <v>175</v>
      </c>
      <c r="O34" s="98" t="s">
        <v>222</v>
      </c>
      <c r="P34" s="98" t="s">
        <v>182</v>
      </c>
      <c r="Q34" s="98" t="s">
        <v>160</v>
      </c>
      <c r="R34" s="98" t="s">
        <v>172</v>
      </c>
    </row>
    <row r="35" spans="1:18" ht="13.2" hidden="1" x14ac:dyDescent="0.25">
      <c r="A35" s="99">
        <v>44506.397576180556</v>
      </c>
      <c r="B35" s="98" t="s">
        <v>181</v>
      </c>
      <c r="C35" s="98" t="s">
        <v>203</v>
      </c>
      <c r="D35" s="98" t="s">
        <v>186</v>
      </c>
      <c r="E35" s="98" t="s">
        <v>178</v>
      </c>
      <c r="F35" s="98" t="s">
        <v>178</v>
      </c>
      <c r="G35" s="98" t="s">
        <v>178</v>
      </c>
      <c r="H35" s="98" t="s">
        <v>167</v>
      </c>
      <c r="I35" s="98" t="s">
        <v>206</v>
      </c>
      <c r="J35" s="98" t="s">
        <v>264</v>
      </c>
      <c r="K35" s="98" t="s">
        <v>164</v>
      </c>
      <c r="L35" s="98" t="s">
        <v>160</v>
      </c>
      <c r="M35" s="98" t="s">
        <v>160</v>
      </c>
      <c r="N35" s="98" t="s">
        <v>175</v>
      </c>
      <c r="O35" s="98" t="s">
        <v>262</v>
      </c>
      <c r="P35" s="98" t="s">
        <v>182</v>
      </c>
      <c r="Q35" s="98" t="s">
        <v>160</v>
      </c>
      <c r="R35" s="98" t="s">
        <v>172</v>
      </c>
    </row>
    <row r="36" spans="1:18" ht="13.2" x14ac:dyDescent="0.25">
      <c r="A36" s="99">
        <v>44506.400519155097</v>
      </c>
      <c r="B36" s="98" t="s">
        <v>181</v>
      </c>
      <c r="C36" s="98" t="s">
        <v>180</v>
      </c>
      <c r="D36" s="98" t="s">
        <v>186</v>
      </c>
      <c r="E36" s="98" t="s">
        <v>179</v>
      </c>
      <c r="F36" s="98" t="s">
        <v>201</v>
      </c>
      <c r="G36" s="98" t="s">
        <v>201</v>
      </c>
      <c r="H36" s="98" t="s">
        <v>179</v>
      </c>
      <c r="I36" s="98" t="s">
        <v>166</v>
      </c>
      <c r="J36" s="98" t="s">
        <v>177</v>
      </c>
      <c r="K36" s="98" t="s">
        <v>176</v>
      </c>
      <c r="L36" s="98" t="s">
        <v>160</v>
      </c>
      <c r="M36" s="98" t="s">
        <v>160</v>
      </c>
      <c r="N36" s="98" t="s">
        <v>163</v>
      </c>
      <c r="O36" s="98" t="s">
        <v>202</v>
      </c>
      <c r="P36" s="98" t="s">
        <v>173</v>
      </c>
      <c r="Q36" s="98" t="s">
        <v>160</v>
      </c>
      <c r="R36" s="98" t="s">
        <v>172</v>
      </c>
    </row>
    <row r="37" spans="1:18" ht="13.2" hidden="1" x14ac:dyDescent="0.25">
      <c r="A37" s="99">
        <v>44506.400565451389</v>
      </c>
      <c r="B37" s="98" t="s">
        <v>181</v>
      </c>
      <c r="C37" s="98" t="s">
        <v>180</v>
      </c>
      <c r="D37" s="98" t="s">
        <v>169</v>
      </c>
      <c r="E37" s="98" t="s">
        <v>178</v>
      </c>
      <c r="F37" s="98" t="s">
        <v>178</v>
      </c>
      <c r="G37" s="98" t="s">
        <v>178</v>
      </c>
      <c r="H37" s="98" t="s">
        <v>167</v>
      </c>
      <c r="I37" s="98" t="s">
        <v>269</v>
      </c>
      <c r="J37" s="98" t="s">
        <v>177</v>
      </c>
      <c r="K37" s="98" t="s">
        <v>176</v>
      </c>
      <c r="L37" s="98" t="s">
        <v>160</v>
      </c>
      <c r="M37" s="98" t="s">
        <v>160</v>
      </c>
      <c r="N37" s="98" t="s">
        <v>175</v>
      </c>
      <c r="O37" s="98" t="s">
        <v>202</v>
      </c>
      <c r="P37" s="98" t="s">
        <v>173</v>
      </c>
      <c r="Q37" s="98" t="s">
        <v>160</v>
      </c>
      <c r="R37" s="98" t="s">
        <v>216</v>
      </c>
    </row>
    <row r="38" spans="1:18" ht="13.2" x14ac:dyDescent="0.25">
      <c r="A38" s="99">
        <v>44506.41190950232</v>
      </c>
      <c r="B38" s="98" t="s">
        <v>181</v>
      </c>
      <c r="C38" s="98" t="s">
        <v>170</v>
      </c>
      <c r="D38" s="98" t="s">
        <v>169</v>
      </c>
      <c r="E38" s="98" t="s">
        <v>179</v>
      </c>
      <c r="F38" s="98" t="s">
        <v>201</v>
      </c>
      <c r="G38" s="98" t="s">
        <v>201</v>
      </c>
      <c r="H38" s="98" t="s">
        <v>201</v>
      </c>
      <c r="I38" s="98" t="s">
        <v>166</v>
      </c>
      <c r="J38" s="98" t="s">
        <v>218</v>
      </c>
      <c r="K38" s="98" t="s">
        <v>164</v>
      </c>
      <c r="L38" s="98" t="s">
        <v>160</v>
      </c>
      <c r="M38" s="98" t="s">
        <v>160</v>
      </c>
      <c r="N38" s="98" t="s">
        <v>208</v>
      </c>
      <c r="O38" s="98" t="s">
        <v>217</v>
      </c>
      <c r="P38" s="98" t="s">
        <v>188</v>
      </c>
      <c r="Q38" s="98" t="s">
        <v>184</v>
      </c>
      <c r="R38" s="98" t="s">
        <v>172</v>
      </c>
    </row>
    <row r="39" spans="1:18" ht="13.2" x14ac:dyDescent="0.25">
      <c r="A39" s="99">
        <v>44506.421656631945</v>
      </c>
      <c r="B39" s="98" t="s">
        <v>171</v>
      </c>
      <c r="C39" s="98" t="s">
        <v>180</v>
      </c>
      <c r="D39" s="98" t="s">
        <v>197</v>
      </c>
      <c r="E39" s="98" t="s">
        <v>178</v>
      </c>
      <c r="F39" s="98" t="s">
        <v>201</v>
      </c>
      <c r="G39" s="98" t="s">
        <v>167</v>
      </c>
      <c r="H39" s="98" t="s">
        <v>178</v>
      </c>
      <c r="I39" s="98" t="s">
        <v>166</v>
      </c>
      <c r="J39" s="98" t="s">
        <v>165</v>
      </c>
      <c r="K39" s="98" t="s">
        <v>164</v>
      </c>
      <c r="L39" s="98" t="s">
        <v>160</v>
      </c>
      <c r="M39" s="98" t="s">
        <v>160</v>
      </c>
      <c r="N39" s="98" t="s">
        <v>163</v>
      </c>
      <c r="O39" s="98" t="s">
        <v>183</v>
      </c>
      <c r="P39" s="98" t="s">
        <v>250</v>
      </c>
      <c r="Q39" s="98" t="s">
        <v>160</v>
      </c>
      <c r="R39" s="98" t="s">
        <v>187</v>
      </c>
    </row>
    <row r="40" spans="1:18" ht="13.2" x14ac:dyDescent="0.25">
      <c r="A40" s="99">
        <v>44506.464377951386</v>
      </c>
      <c r="B40" s="98" t="s">
        <v>171</v>
      </c>
      <c r="C40" s="98" t="s">
        <v>180</v>
      </c>
      <c r="D40" s="98" t="s">
        <v>169</v>
      </c>
      <c r="E40" s="98" t="s">
        <v>168</v>
      </c>
      <c r="F40" s="98" t="s">
        <v>168</v>
      </c>
      <c r="G40" s="98" t="s">
        <v>168</v>
      </c>
      <c r="H40" s="98" t="s">
        <v>179</v>
      </c>
      <c r="I40" s="98" t="s">
        <v>166</v>
      </c>
      <c r="J40" s="98" t="s">
        <v>177</v>
      </c>
      <c r="K40" s="98" t="s">
        <v>176</v>
      </c>
      <c r="L40" s="98" t="s">
        <v>160</v>
      </c>
      <c r="M40" s="98" t="s">
        <v>160</v>
      </c>
      <c r="N40" s="98" t="s">
        <v>163</v>
      </c>
      <c r="O40" s="98" t="s">
        <v>262</v>
      </c>
      <c r="P40" s="98" t="s">
        <v>250</v>
      </c>
      <c r="Q40" s="98" t="s">
        <v>160</v>
      </c>
      <c r="R40" s="98" t="s">
        <v>247</v>
      </c>
    </row>
    <row r="41" spans="1:18" ht="13.2" hidden="1" x14ac:dyDescent="0.25">
      <c r="A41" s="99">
        <v>44506.466680046295</v>
      </c>
      <c r="B41" s="98" t="s">
        <v>171</v>
      </c>
      <c r="C41" s="98" t="s">
        <v>199</v>
      </c>
      <c r="D41" s="98" t="s">
        <v>207</v>
      </c>
      <c r="E41" s="98" t="s">
        <v>168</v>
      </c>
      <c r="F41" s="98" t="s">
        <v>168</v>
      </c>
      <c r="G41" s="98" t="s">
        <v>168</v>
      </c>
      <c r="H41" s="98" t="s">
        <v>178</v>
      </c>
      <c r="I41" s="98" t="s">
        <v>196</v>
      </c>
      <c r="J41" s="98" t="s">
        <v>177</v>
      </c>
      <c r="K41" s="98" t="s">
        <v>164</v>
      </c>
      <c r="L41" s="98" t="s">
        <v>160</v>
      </c>
      <c r="M41" s="98" t="s">
        <v>160</v>
      </c>
      <c r="N41" s="98" t="s">
        <v>175</v>
      </c>
      <c r="O41" s="98" t="s">
        <v>183</v>
      </c>
      <c r="P41" s="98" t="s">
        <v>182</v>
      </c>
      <c r="Q41" s="98" t="s">
        <v>184</v>
      </c>
      <c r="R41" s="98" t="s">
        <v>172</v>
      </c>
    </row>
    <row r="42" spans="1:18" ht="13.2" hidden="1" x14ac:dyDescent="0.25">
      <c r="A42" s="99">
        <v>44506.467572754627</v>
      </c>
      <c r="B42" s="98" t="s">
        <v>181</v>
      </c>
      <c r="C42" s="98" t="s">
        <v>180</v>
      </c>
      <c r="D42" s="98" t="s">
        <v>212</v>
      </c>
      <c r="E42" s="98" t="s">
        <v>201</v>
      </c>
      <c r="F42" s="98" t="s">
        <v>168</v>
      </c>
      <c r="G42" s="98" t="s">
        <v>201</v>
      </c>
      <c r="H42" s="98" t="s">
        <v>167</v>
      </c>
      <c r="I42" s="98" t="s">
        <v>196</v>
      </c>
      <c r="J42" s="98" t="s">
        <v>236</v>
      </c>
      <c r="K42" s="98" t="s">
        <v>176</v>
      </c>
      <c r="L42" s="98" t="s">
        <v>160</v>
      </c>
      <c r="M42" s="98" t="s">
        <v>160</v>
      </c>
      <c r="N42" s="98" t="s">
        <v>175</v>
      </c>
      <c r="O42" s="98" t="s">
        <v>233</v>
      </c>
      <c r="P42" s="98" t="s">
        <v>188</v>
      </c>
      <c r="Q42" s="98" t="s">
        <v>160</v>
      </c>
      <c r="R42" s="98" t="s">
        <v>172</v>
      </c>
    </row>
    <row r="43" spans="1:18" ht="13.2" hidden="1" x14ac:dyDescent="0.25">
      <c r="A43" s="99">
        <v>44506.467969074074</v>
      </c>
      <c r="B43" s="98" t="s">
        <v>181</v>
      </c>
      <c r="C43" s="98" t="s">
        <v>257</v>
      </c>
      <c r="D43" s="98" t="s">
        <v>186</v>
      </c>
      <c r="E43" s="98" t="s">
        <v>201</v>
      </c>
      <c r="F43" s="98" t="s">
        <v>179</v>
      </c>
      <c r="G43" s="98" t="s">
        <v>179</v>
      </c>
      <c r="H43" s="98" t="s">
        <v>179</v>
      </c>
      <c r="I43" s="98" t="s">
        <v>211</v>
      </c>
      <c r="J43" s="98" t="s">
        <v>185</v>
      </c>
      <c r="K43" s="98" t="s">
        <v>176</v>
      </c>
      <c r="L43" s="98" t="s">
        <v>160</v>
      </c>
      <c r="M43" s="98" t="s">
        <v>160</v>
      </c>
      <c r="N43" s="98" t="s">
        <v>175</v>
      </c>
      <c r="O43" s="98" t="s">
        <v>174</v>
      </c>
      <c r="P43" s="98" t="s">
        <v>173</v>
      </c>
      <c r="Q43" s="98" t="s">
        <v>160</v>
      </c>
      <c r="R43" s="98" t="s">
        <v>187</v>
      </c>
    </row>
    <row r="44" spans="1:18" ht="13.2" x14ac:dyDescent="0.25">
      <c r="A44" s="99">
        <v>44506.468843344905</v>
      </c>
      <c r="B44" s="98" t="s">
        <v>181</v>
      </c>
      <c r="C44" s="98" t="s">
        <v>180</v>
      </c>
      <c r="D44" s="98" t="s">
        <v>186</v>
      </c>
      <c r="E44" s="98" t="s">
        <v>201</v>
      </c>
      <c r="F44" s="98" t="s">
        <v>168</v>
      </c>
      <c r="G44" s="98" t="s">
        <v>179</v>
      </c>
      <c r="H44" s="98" t="s">
        <v>167</v>
      </c>
      <c r="I44" s="98" t="s">
        <v>166</v>
      </c>
      <c r="J44" s="98" t="s">
        <v>218</v>
      </c>
      <c r="K44" s="98" t="s">
        <v>176</v>
      </c>
      <c r="L44" s="98" t="s">
        <v>160</v>
      </c>
      <c r="M44" s="98" t="s">
        <v>160</v>
      </c>
      <c r="N44" s="98" t="s">
        <v>273</v>
      </c>
      <c r="O44" s="98" t="s">
        <v>241</v>
      </c>
      <c r="P44" s="98" t="s">
        <v>188</v>
      </c>
      <c r="Q44" s="98" t="s">
        <v>160</v>
      </c>
      <c r="R44" s="98" t="s">
        <v>193</v>
      </c>
    </row>
    <row r="45" spans="1:18" ht="13.2" x14ac:dyDescent="0.25">
      <c r="A45" s="99">
        <v>44506.469061666663</v>
      </c>
      <c r="B45" s="98" t="s">
        <v>171</v>
      </c>
      <c r="C45" s="98" t="s">
        <v>180</v>
      </c>
      <c r="D45" s="98" t="s">
        <v>261</v>
      </c>
      <c r="E45" s="98" t="s">
        <v>168</v>
      </c>
      <c r="F45" s="98" t="s">
        <v>168</v>
      </c>
      <c r="G45" s="98" t="s">
        <v>167</v>
      </c>
      <c r="H45" s="98" t="s">
        <v>167</v>
      </c>
      <c r="I45" s="98" t="s">
        <v>166</v>
      </c>
      <c r="J45" s="98" t="s">
        <v>165</v>
      </c>
      <c r="K45" s="98" t="s">
        <v>176</v>
      </c>
      <c r="L45" s="98" t="s">
        <v>160</v>
      </c>
      <c r="M45" s="98" t="s">
        <v>160</v>
      </c>
      <c r="N45" s="98" t="s">
        <v>163</v>
      </c>
      <c r="O45" s="98" t="s">
        <v>183</v>
      </c>
      <c r="P45" s="98" t="s">
        <v>188</v>
      </c>
      <c r="Q45" s="98" t="s">
        <v>160</v>
      </c>
      <c r="R45" s="98" t="s">
        <v>172</v>
      </c>
    </row>
    <row r="46" spans="1:18" ht="13.2" x14ac:dyDescent="0.25">
      <c r="A46" s="99">
        <v>44506.473860115744</v>
      </c>
      <c r="B46" s="98" t="s">
        <v>181</v>
      </c>
      <c r="C46" s="98" t="s">
        <v>180</v>
      </c>
      <c r="D46" s="98" t="s">
        <v>186</v>
      </c>
      <c r="E46" s="98" t="s">
        <v>168</v>
      </c>
      <c r="F46" s="98" t="s">
        <v>179</v>
      </c>
      <c r="G46" s="98" t="s">
        <v>167</v>
      </c>
      <c r="H46" s="98" t="s">
        <v>167</v>
      </c>
      <c r="I46" s="98" t="s">
        <v>166</v>
      </c>
      <c r="J46" s="98" t="s">
        <v>272</v>
      </c>
      <c r="K46" s="98" t="s">
        <v>164</v>
      </c>
      <c r="L46" s="98" t="s">
        <v>160</v>
      </c>
      <c r="M46" s="98" t="s">
        <v>160</v>
      </c>
      <c r="N46" s="98" t="s">
        <v>223</v>
      </c>
      <c r="O46" s="98" t="s">
        <v>271</v>
      </c>
      <c r="P46" s="98" t="s">
        <v>250</v>
      </c>
      <c r="Q46" s="98" t="s">
        <v>160</v>
      </c>
      <c r="R46" s="98" t="s">
        <v>187</v>
      </c>
    </row>
    <row r="47" spans="1:18" ht="13.2" hidden="1" x14ac:dyDescent="0.25">
      <c r="A47" s="99">
        <v>44506.477711481479</v>
      </c>
      <c r="B47" s="98" t="s">
        <v>181</v>
      </c>
      <c r="C47" s="98" t="s">
        <v>170</v>
      </c>
      <c r="D47" s="98" t="s">
        <v>207</v>
      </c>
      <c r="E47" s="98" t="s">
        <v>178</v>
      </c>
      <c r="F47" s="98" t="s">
        <v>201</v>
      </c>
      <c r="G47" s="98" t="s">
        <v>167</v>
      </c>
      <c r="H47" s="98" t="s">
        <v>167</v>
      </c>
      <c r="I47" s="98" t="s">
        <v>211</v>
      </c>
      <c r="J47" s="98" t="s">
        <v>218</v>
      </c>
      <c r="K47" s="98" t="s">
        <v>176</v>
      </c>
      <c r="L47" s="98" t="s">
        <v>160</v>
      </c>
      <c r="M47" s="98" t="s">
        <v>160</v>
      </c>
      <c r="N47" s="98" t="s">
        <v>251</v>
      </c>
      <c r="O47" s="98" t="s">
        <v>205</v>
      </c>
      <c r="P47" s="98" t="s">
        <v>188</v>
      </c>
      <c r="Q47" s="98" t="s">
        <v>160</v>
      </c>
      <c r="R47" s="98" t="s">
        <v>172</v>
      </c>
    </row>
    <row r="48" spans="1:18" ht="13.2" x14ac:dyDescent="0.25">
      <c r="A48" s="99">
        <v>44506.481856527782</v>
      </c>
      <c r="B48" s="98" t="s">
        <v>181</v>
      </c>
      <c r="C48" s="98" t="s">
        <v>203</v>
      </c>
      <c r="D48" s="98" t="s">
        <v>186</v>
      </c>
      <c r="E48" s="98" t="s">
        <v>168</v>
      </c>
      <c r="F48" s="98" t="s">
        <v>179</v>
      </c>
      <c r="G48" s="98" t="s">
        <v>178</v>
      </c>
      <c r="H48" s="98" t="s">
        <v>167</v>
      </c>
      <c r="I48" s="98" t="s">
        <v>166</v>
      </c>
      <c r="J48" s="98" t="s">
        <v>177</v>
      </c>
      <c r="K48" s="98" t="s">
        <v>176</v>
      </c>
      <c r="L48" s="98" t="s">
        <v>160</v>
      </c>
      <c r="M48" s="98" t="s">
        <v>160</v>
      </c>
      <c r="N48" s="98" t="s">
        <v>163</v>
      </c>
      <c r="O48" s="98" t="s">
        <v>229</v>
      </c>
      <c r="P48" s="98" t="s">
        <v>188</v>
      </c>
      <c r="Q48" s="98" t="s">
        <v>160</v>
      </c>
      <c r="R48" s="98" t="s">
        <v>172</v>
      </c>
    </row>
    <row r="49" spans="1:18" ht="13.2" x14ac:dyDescent="0.25">
      <c r="A49" s="99">
        <v>44506.482490034723</v>
      </c>
      <c r="B49" s="98" t="s">
        <v>181</v>
      </c>
      <c r="C49" s="98" t="s">
        <v>180</v>
      </c>
      <c r="D49" s="98" t="s">
        <v>186</v>
      </c>
      <c r="E49" s="98" t="s">
        <v>168</v>
      </c>
      <c r="F49" s="98" t="s">
        <v>168</v>
      </c>
      <c r="G49" s="98" t="s">
        <v>178</v>
      </c>
      <c r="H49" s="98" t="s">
        <v>167</v>
      </c>
      <c r="I49" s="98" t="s">
        <v>166</v>
      </c>
      <c r="J49" s="98" t="s">
        <v>200</v>
      </c>
      <c r="K49" s="98" t="s">
        <v>176</v>
      </c>
      <c r="L49" s="98" t="s">
        <v>160</v>
      </c>
      <c r="M49" s="98" t="s">
        <v>160</v>
      </c>
      <c r="N49" s="98" t="s">
        <v>175</v>
      </c>
      <c r="O49" s="98" t="s">
        <v>233</v>
      </c>
      <c r="P49" s="98" t="s">
        <v>182</v>
      </c>
      <c r="Q49" s="98" t="s">
        <v>160</v>
      </c>
      <c r="R49" s="98" t="s">
        <v>216</v>
      </c>
    </row>
    <row r="50" spans="1:18" ht="13.2" x14ac:dyDescent="0.25">
      <c r="A50" s="99">
        <v>44506.486839375</v>
      </c>
      <c r="B50" s="98" t="s">
        <v>181</v>
      </c>
      <c r="C50" s="98" t="s">
        <v>180</v>
      </c>
      <c r="D50" s="98" t="s">
        <v>197</v>
      </c>
      <c r="E50" s="98" t="s">
        <v>168</v>
      </c>
      <c r="F50" s="98" t="s">
        <v>168</v>
      </c>
      <c r="G50" s="98" t="s">
        <v>167</v>
      </c>
      <c r="H50" s="98" t="s">
        <v>167</v>
      </c>
      <c r="I50" s="98" t="s">
        <v>166</v>
      </c>
      <c r="J50" s="98" t="s">
        <v>177</v>
      </c>
      <c r="K50" s="98" t="s">
        <v>176</v>
      </c>
      <c r="L50" s="98" t="s">
        <v>184</v>
      </c>
      <c r="M50" s="98" t="s">
        <v>184</v>
      </c>
      <c r="N50" s="98" t="s">
        <v>163</v>
      </c>
      <c r="O50" s="98" t="s">
        <v>233</v>
      </c>
      <c r="P50" s="98" t="s">
        <v>182</v>
      </c>
      <c r="Q50" s="98" t="s">
        <v>184</v>
      </c>
      <c r="R50" s="98" t="s">
        <v>187</v>
      </c>
    </row>
    <row r="51" spans="1:18" ht="13.2" hidden="1" x14ac:dyDescent="0.25">
      <c r="A51" s="99">
        <v>44506.488691967592</v>
      </c>
      <c r="B51" s="98" t="s">
        <v>181</v>
      </c>
      <c r="C51" s="98" t="s">
        <v>180</v>
      </c>
      <c r="D51" s="98" t="s">
        <v>212</v>
      </c>
      <c r="E51" s="98" t="s">
        <v>178</v>
      </c>
      <c r="F51" s="98" t="s">
        <v>168</v>
      </c>
      <c r="G51" s="98" t="s">
        <v>167</v>
      </c>
      <c r="H51" s="98" t="s">
        <v>167</v>
      </c>
      <c r="I51" s="98" t="s">
        <v>269</v>
      </c>
      <c r="J51" s="98" t="s">
        <v>246</v>
      </c>
      <c r="K51" s="98" t="s">
        <v>164</v>
      </c>
      <c r="L51" s="98" t="s">
        <v>160</v>
      </c>
      <c r="M51" s="98" t="s">
        <v>160</v>
      </c>
      <c r="N51" s="98" t="s">
        <v>223</v>
      </c>
      <c r="O51" s="98" t="s">
        <v>255</v>
      </c>
      <c r="P51" s="98" t="s">
        <v>250</v>
      </c>
      <c r="Q51" s="98" t="s">
        <v>160</v>
      </c>
      <c r="R51" s="98" t="s">
        <v>193</v>
      </c>
    </row>
    <row r="52" spans="1:18" ht="13.2" hidden="1" x14ac:dyDescent="0.25">
      <c r="A52" s="99">
        <v>44506.494530902783</v>
      </c>
      <c r="B52" s="98" t="s">
        <v>181</v>
      </c>
      <c r="C52" s="98" t="s">
        <v>199</v>
      </c>
      <c r="D52" s="98" t="s">
        <v>186</v>
      </c>
      <c r="E52" s="98" t="s">
        <v>168</v>
      </c>
      <c r="F52" s="98" t="s">
        <v>168</v>
      </c>
      <c r="G52" s="98" t="s">
        <v>178</v>
      </c>
      <c r="H52" s="98" t="s">
        <v>167</v>
      </c>
      <c r="I52" s="98" t="s">
        <v>211</v>
      </c>
      <c r="J52" s="98" t="s">
        <v>218</v>
      </c>
      <c r="K52" s="98" t="s">
        <v>164</v>
      </c>
      <c r="L52" s="98" t="s">
        <v>160</v>
      </c>
      <c r="M52" s="98" t="s">
        <v>160</v>
      </c>
      <c r="N52" s="98" t="s">
        <v>163</v>
      </c>
      <c r="O52" s="98" t="s">
        <v>222</v>
      </c>
      <c r="P52" s="98" t="s">
        <v>250</v>
      </c>
      <c r="Q52" s="98" t="s">
        <v>160</v>
      </c>
      <c r="R52" s="98" t="s">
        <v>159</v>
      </c>
    </row>
    <row r="53" spans="1:18" ht="13.2" x14ac:dyDescent="0.25">
      <c r="A53" s="99">
        <v>44506.500893159726</v>
      </c>
      <c r="B53" s="98" t="s">
        <v>181</v>
      </c>
      <c r="C53" s="98" t="s">
        <v>180</v>
      </c>
      <c r="D53" s="98" t="s">
        <v>186</v>
      </c>
      <c r="E53" s="98" t="s">
        <v>168</v>
      </c>
      <c r="F53" s="98" t="s">
        <v>168</v>
      </c>
      <c r="G53" s="98" t="s">
        <v>168</v>
      </c>
      <c r="H53" s="98" t="s">
        <v>201</v>
      </c>
      <c r="I53" s="98" t="s">
        <v>166</v>
      </c>
      <c r="J53" s="98" t="s">
        <v>200</v>
      </c>
      <c r="K53" s="98" t="s">
        <v>176</v>
      </c>
      <c r="L53" s="98" t="s">
        <v>160</v>
      </c>
      <c r="M53" s="98" t="s">
        <v>160</v>
      </c>
      <c r="N53" s="98" t="s">
        <v>163</v>
      </c>
      <c r="O53" s="98" t="s">
        <v>174</v>
      </c>
      <c r="P53" s="98" t="s">
        <v>161</v>
      </c>
      <c r="Q53" s="98" t="s">
        <v>160</v>
      </c>
      <c r="R53" s="98" t="s">
        <v>240</v>
      </c>
    </row>
    <row r="54" spans="1:18" ht="13.2" hidden="1" x14ac:dyDescent="0.25">
      <c r="A54" s="99">
        <v>44506.503640138893</v>
      </c>
      <c r="B54" s="98" t="s">
        <v>181</v>
      </c>
      <c r="C54" s="98" t="s">
        <v>180</v>
      </c>
      <c r="D54" s="98" t="s">
        <v>169</v>
      </c>
      <c r="E54" s="98" t="s">
        <v>168</v>
      </c>
      <c r="F54" s="98" t="s">
        <v>178</v>
      </c>
      <c r="G54" s="98" t="s">
        <v>167</v>
      </c>
      <c r="H54" s="98" t="s">
        <v>167</v>
      </c>
      <c r="I54" s="98" t="s">
        <v>270</v>
      </c>
      <c r="J54" s="98" t="s">
        <v>177</v>
      </c>
      <c r="K54" s="98" t="s">
        <v>164</v>
      </c>
      <c r="L54" s="98" t="s">
        <v>160</v>
      </c>
      <c r="M54" s="98" t="s">
        <v>160</v>
      </c>
      <c r="N54" s="98" t="s">
        <v>163</v>
      </c>
      <c r="O54" s="98" t="s">
        <v>162</v>
      </c>
      <c r="P54" s="98" t="s">
        <v>188</v>
      </c>
      <c r="Q54" s="98" t="s">
        <v>160</v>
      </c>
      <c r="R54" s="98" t="s">
        <v>193</v>
      </c>
    </row>
    <row r="55" spans="1:18" ht="13.2" hidden="1" x14ac:dyDescent="0.25">
      <c r="A55" s="99">
        <v>44506.504441562502</v>
      </c>
      <c r="B55" s="98" t="s">
        <v>181</v>
      </c>
      <c r="C55" s="98" t="s">
        <v>199</v>
      </c>
      <c r="D55" s="98" t="s">
        <v>212</v>
      </c>
      <c r="E55" s="98" t="s">
        <v>178</v>
      </c>
      <c r="F55" s="98" t="s">
        <v>179</v>
      </c>
      <c r="G55" s="98" t="s">
        <v>167</v>
      </c>
      <c r="H55" s="98" t="s">
        <v>167</v>
      </c>
      <c r="I55" s="98" t="s">
        <v>269</v>
      </c>
      <c r="J55" s="98" t="s">
        <v>177</v>
      </c>
      <c r="K55" s="98" t="s">
        <v>176</v>
      </c>
      <c r="L55" s="98" t="s">
        <v>160</v>
      </c>
      <c r="M55" s="98" t="s">
        <v>160</v>
      </c>
      <c r="N55" s="98" t="s">
        <v>208</v>
      </c>
      <c r="O55" s="98" t="s">
        <v>220</v>
      </c>
      <c r="P55" s="98" t="s">
        <v>188</v>
      </c>
      <c r="Q55" s="98" t="s">
        <v>160</v>
      </c>
      <c r="R55" s="98" t="s">
        <v>172</v>
      </c>
    </row>
    <row r="56" spans="1:18" ht="13.2" hidden="1" x14ac:dyDescent="0.25">
      <c r="A56" s="99">
        <v>44506.504572719903</v>
      </c>
      <c r="B56" s="98" t="s">
        <v>181</v>
      </c>
      <c r="C56" s="98" t="s">
        <v>170</v>
      </c>
      <c r="D56" s="98" t="s">
        <v>207</v>
      </c>
      <c r="E56" s="98" t="s">
        <v>168</v>
      </c>
      <c r="F56" s="98" t="s">
        <v>168</v>
      </c>
      <c r="G56" s="98" t="s">
        <v>167</v>
      </c>
      <c r="H56" s="98" t="s">
        <v>201</v>
      </c>
      <c r="I56" s="98" t="s">
        <v>239</v>
      </c>
      <c r="J56" s="98" t="s">
        <v>268</v>
      </c>
      <c r="K56" s="98" t="s">
        <v>176</v>
      </c>
      <c r="L56" s="98" t="s">
        <v>160</v>
      </c>
      <c r="M56" s="98" t="s">
        <v>160</v>
      </c>
      <c r="N56" s="98" t="s">
        <v>163</v>
      </c>
      <c r="O56" s="98" t="s">
        <v>162</v>
      </c>
      <c r="P56" s="98" t="s">
        <v>173</v>
      </c>
      <c r="Q56" s="98" t="s">
        <v>160</v>
      </c>
      <c r="R56" s="98" t="s">
        <v>240</v>
      </c>
    </row>
    <row r="57" spans="1:18" ht="13.2" x14ac:dyDescent="0.25">
      <c r="A57" s="99">
        <v>44506.507551238421</v>
      </c>
      <c r="B57" s="98" t="s">
        <v>181</v>
      </c>
      <c r="C57" s="98" t="s">
        <v>180</v>
      </c>
      <c r="D57" s="98" t="s">
        <v>169</v>
      </c>
      <c r="E57" s="98" t="s">
        <v>178</v>
      </c>
      <c r="F57" s="98" t="s">
        <v>168</v>
      </c>
      <c r="G57" s="98" t="s">
        <v>167</v>
      </c>
      <c r="H57" s="98" t="s">
        <v>201</v>
      </c>
      <c r="I57" s="98" t="s">
        <v>166</v>
      </c>
      <c r="J57" s="98" t="s">
        <v>177</v>
      </c>
      <c r="K57" s="98" t="s">
        <v>176</v>
      </c>
      <c r="L57" s="98" t="s">
        <v>160</v>
      </c>
      <c r="M57" s="98" t="s">
        <v>160</v>
      </c>
      <c r="N57" s="98" t="s">
        <v>208</v>
      </c>
      <c r="O57" s="98" t="s">
        <v>174</v>
      </c>
      <c r="P57" s="98" t="s">
        <v>188</v>
      </c>
      <c r="Q57" s="98" t="s">
        <v>160</v>
      </c>
      <c r="R57" s="98" t="s">
        <v>172</v>
      </c>
    </row>
    <row r="58" spans="1:18" ht="13.2" x14ac:dyDescent="0.25">
      <c r="A58" s="99">
        <v>44506.508771817127</v>
      </c>
      <c r="B58" s="98" t="s">
        <v>181</v>
      </c>
      <c r="C58" s="98" t="s">
        <v>199</v>
      </c>
      <c r="D58" s="98" t="s">
        <v>186</v>
      </c>
      <c r="E58" s="98" t="s">
        <v>178</v>
      </c>
      <c r="F58" s="98" t="s">
        <v>201</v>
      </c>
      <c r="G58" s="98" t="s">
        <v>178</v>
      </c>
      <c r="H58" s="98" t="s">
        <v>201</v>
      </c>
      <c r="I58" s="98" t="s">
        <v>166</v>
      </c>
      <c r="J58" s="98" t="s">
        <v>204</v>
      </c>
      <c r="K58" s="98" t="s">
        <v>176</v>
      </c>
      <c r="L58" s="98" t="s">
        <v>160</v>
      </c>
      <c r="M58" s="98" t="s">
        <v>184</v>
      </c>
      <c r="N58" s="98" t="s">
        <v>163</v>
      </c>
      <c r="O58" s="98" t="s">
        <v>183</v>
      </c>
      <c r="P58" s="98" t="s">
        <v>182</v>
      </c>
      <c r="Q58" s="98" t="s">
        <v>160</v>
      </c>
      <c r="R58" s="98" t="s">
        <v>159</v>
      </c>
    </row>
    <row r="59" spans="1:18" ht="13.2" x14ac:dyDescent="0.25">
      <c r="A59" s="99">
        <v>44506.511425474542</v>
      </c>
      <c r="B59" s="98" t="s">
        <v>181</v>
      </c>
      <c r="C59" s="98" t="s">
        <v>203</v>
      </c>
      <c r="D59" s="98" t="s">
        <v>186</v>
      </c>
      <c r="E59" s="98" t="s">
        <v>179</v>
      </c>
      <c r="F59" s="98" t="s">
        <v>201</v>
      </c>
      <c r="G59" s="98" t="s">
        <v>178</v>
      </c>
      <c r="H59" s="98" t="s">
        <v>167</v>
      </c>
      <c r="I59" s="98" t="s">
        <v>166</v>
      </c>
      <c r="J59" s="98" t="s">
        <v>177</v>
      </c>
      <c r="K59" s="98" t="s">
        <v>164</v>
      </c>
      <c r="L59" s="98" t="s">
        <v>160</v>
      </c>
      <c r="M59" s="98" t="s">
        <v>160</v>
      </c>
      <c r="N59" s="98" t="s">
        <v>163</v>
      </c>
      <c r="O59" s="98" t="s">
        <v>174</v>
      </c>
      <c r="P59" s="98" t="s">
        <v>188</v>
      </c>
      <c r="Q59" s="98" t="s">
        <v>160</v>
      </c>
      <c r="R59" s="98" t="s">
        <v>172</v>
      </c>
    </row>
    <row r="60" spans="1:18" ht="13.2" x14ac:dyDescent="0.25">
      <c r="A60" s="99">
        <v>44506.513399722222</v>
      </c>
      <c r="B60" s="98" t="s">
        <v>181</v>
      </c>
      <c r="C60" s="98" t="s">
        <v>203</v>
      </c>
      <c r="D60" s="98" t="s">
        <v>186</v>
      </c>
      <c r="E60" s="98" t="s">
        <v>201</v>
      </c>
      <c r="F60" s="98" t="s">
        <v>167</v>
      </c>
      <c r="G60" s="98" t="s">
        <v>167</v>
      </c>
      <c r="H60" s="98" t="s">
        <v>167</v>
      </c>
      <c r="I60" s="98" t="s">
        <v>166</v>
      </c>
      <c r="J60" s="98" t="s">
        <v>165</v>
      </c>
      <c r="K60" s="98" t="s">
        <v>176</v>
      </c>
      <c r="L60" s="98" t="s">
        <v>160</v>
      </c>
      <c r="M60" s="98" t="s">
        <v>160</v>
      </c>
      <c r="N60" s="98" t="s">
        <v>163</v>
      </c>
      <c r="O60" s="98" t="s">
        <v>174</v>
      </c>
      <c r="P60" s="98" t="s">
        <v>188</v>
      </c>
      <c r="Q60" s="98" t="s">
        <v>160</v>
      </c>
      <c r="R60" s="98" t="s">
        <v>172</v>
      </c>
    </row>
    <row r="61" spans="1:18" ht="13.2" x14ac:dyDescent="0.25">
      <c r="A61" s="99">
        <v>44506.516727071757</v>
      </c>
      <c r="B61" s="98" t="s">
        <v>181</v>
      </c>
      <c r="C61" s="98" t="s">
        <v>257</v>
      </c>
      <c r="D61" s="98" t="s">
        <v>212</v>
      </c>
      <c r="E61" s="98" t="s">
        <v>201</v>
      </c>
      <c r="F61" s="98" t="s">
        <v>167</v>
      </c>
      <c r="G61" s="98" t="s">
        <v>167</v>
      </c>
      <c r="H61" s="98" t="s">
        <v>167</v>
      </c>
      <c r="I61" s="98" t="s">
        <v>166</v>
      </c>
      <c r="J61" s="98" t="s">
        <v>177</v>
      </c>
      <c r="K61" s="98" t="s">
        <v>176</v>
      </c>
      <c r="L61" s="98" t="s">
        <v>160</v>
      </c>
      <c r="M61" s="98" t="s">
        <v>184</v>
      </c>
      <c r="N61" s="98" t="s">
        <v>163</v>
      </c>
      <c r="O61" s="98" t="s">
        <v>202</v>
      </c>
      <c r="P61" s="98" t="s">
        <v>182</v>
      </c>
      <c r="Q61" s="98" t="s">
        <v>160</v>
      </c>
      <c r="R61" s="98" t="s">
        <v>172</v>
      </c>
    </row>
    <row r="62" spans="1:18" ht="13.2" hidden="1" x14ac:dyDescent="0.25">
      <c r="A62" s="99">
        <v>44506.517318715283</v>
      </c>
      <c r="B62" s="98" t="s">
        <v>181</v>
      </c>
      <c r="C62" s="98" t="s">
        <v>203</v>
      </c>
      <c r="D62" s="98" t="s">
        <v>169</v>
      </c>
      <c r="E62" s="98" t="s">
        <v>168</v>
      </c>
      <c r="F62" s="98" t="s">
        <v>168</v>
      </c>
      <c r="G62" s="98" t="s">
        <v>168</v>
      </c>
      <c r="H62" s="98" t="s">
        <v>167</v>
      </c>
      <c r="I62" s="98" t="s">
        <v>239</v>
      </c>
      <c r="J62" s="98" t="s">
        <v>177</v>
      </c>
      <c r="K62" s="98" t="s">
        <v>176</v>
      </c>
      <c r="L62" s="98" t="s">
        <v>160</v>
      </c>
      <c r="M62" s="98" t="s">
        <v>160</v>
      </c>
      <c r="N62" s="98" t="s">
        <v>163</v>
      </c>
      <c r="O62" s="98" t="s">
        <v>183</v>
      </c>
      <c r="P62" s="98" t="s">
        <v>188</v>
      </c>
      <c r="Q62" s="98" t="s">
        <v>160</v>
      </c>
      <c r="R62" s="98" t="s">
        <v>172</v>
      </c>
    </row>
    <row r="63" spans="1:18" ht="13.2" x14ac:dyDescent="0.25">
      <c r="A63" s="99">
        <v>44506.520736782404</v>
      </c>
      <c r="B63" s="98" t="s">
        <v>181</v>
      </c>
      <c r="C63" s="98" t="s">
        <v>203</v>
      </c>
      <c r="D63" s="98" t="s">
        <v>186</v>
      </c>
      <c r="E63" s="98" t="s">
        <v>178</v>
      </c>
      <c r="F63" s="98" t="s">
        <v>178</v>
      </c>
      <c r="G63" s="98" t="s">
        <v>178</v>
      </c>
      <c r="H63" s="98" t="s">
        <v>179</v>
      </c>
      <c r="I63" s="98" t="s">
        <v>166</v>
      </c>
      <c r="J63" s="98" t="s">
        <v>165</v>
      </c>
      <c r="K63" s="98" t="s">
        <v>176</v>
      </c>
      <c r="L63" s="98" t="s">
        <v>160</v>
      </c>
      <c r="M63" s="98" t="s">
        <v>160</v>
      </c>
      <c r="N63" s="98" t="s">
        <v>223</v>
      </c>
      <c r="O63" s="98" t="s">
        <v>262</v>
      </c>
      <c r="P63" s="98" t="s">
        <v>250</v>
      </c>
      <c r="Q63" s="98" t="s">
        <v>160</v>
      </c>
      <c r="R63" s="98" t="s">
        <v>172</v>
      </c>
    </row>
    <row r="64" spans="1:18" ht="13.2" x14ac:dyDescent="0.25">
      <c r="A64" s="99">
        <v>44506.521846481482</v>
      </c>
      <c r="B64" s="98" t="s">
        <v>181</v>
      </c>
      <c r="C64" s="98" t="s">
        <v>180</v>
      </c>
      <c r="D64" s="98" t="s">
        <v>212</v>
      </c>
      <c r="E64" s="98" t="s">
        <v>168</v>
      </c>
      <c r="F64" s="98" t="s">
        <v>168</v>
      </c>
      <c r="G64" s="98" t="s">
        <v>201</v>
      </c>
      <c r="H64" s="98" t="s">
        <v>167</v>
      </c>
      <c r="I64" s="98" t="s">
        <v>166</v>
      </c>
      <c r="J64" s="98" t="s">
        <v>165</v>
      </c>
      <c r="K64" s="98" t="s">
        <v>176</v>
      </c>
      <c r="L64" s="98" t="s">
        <v>160</v>
      </c>
      <c r="M64" s="98" t="s">
        <v>184</v>
      </c>
      <c r="N64" s="98" t="s">
        <v>163</v>
      </c>
      <c r="O64" s="98" t="s">
        <v>202</v>
      </c>
      <c r="P64" s="98" t="s">
        <v>182</v>
      </c>
      <c r="Q64" s="98" t="s">
        <v>184</v>
      </c>
      <c r="R64" s="98" t="s">
        <v>172</v>
      </c>
    </row>
    <row r="65" spans="1:18" ht="13.2" hidden="1" x14ac:dyDescent="0.25">
      <c r="A65" s="99">
        <v>44506.522943321761</v>
      </c>
      <c r="B65" s="98" t="s">
        <v>181</v>
      </c>
      <c r="C65" s="98" t="s">
        <v>170</v>
      </c>
      <c r="D65" s="98" t="s">
        <v>186</v>
      </c>
      <c r="E65" s="98" t="s">
        <v>168</v>
      </c>
      <c r="F65" s="98" t="s">
        <v>168</v>
      </c>
      <c r="G65" s="98" t="s">
        <v>168</v>
      </c>
      <c r="H65" s="98" t="s">
        <v>168</v>
      </c>
      <c r="I65" s="98" t="s">
        <v>191</v>
      </c>
      <c r="J65" s="98" t="s">
        <v>177</v>
      </c>
      <c r="K65" s="98" t="s">
        <v>164</v>
      </c>
      <c r="L65" s="98" t="s">
        <v>160</v>
      </c>
      <c r="M65" s="98" t="s">
        <v>160</v>
      </c>
      <c r="N65" s="98" t="s">
        <v>163</v>
      </c>
      <c r="O65" s="98" t="s">
        <v>174</v>
      </c>
      <c r="P65" s="98" t="s">
        <v>173</v>
      </c>
      <c r="Q65" s="98" t="s">
        <v>160</v>
      </c>
      <c r="R65" s="98" t="s">
        <v>216</v>
      </c>
    </row>
    <row r="66" spans="1:18" ht="13.2" x14ac:dyDescent="0.25">
      <c r="A66" s="99">
        <v>44506.52314636574</v>
      </c>
      <c r="B66" s="98" t="s">
        <v>181</v>
      </c>
      <c r="C66" s="98" t="s">
        <v>203</v>
      </c>
      <c r="D66" s="98" t="s">
        <v>186</v>
      </c>
      <c r="E66" s="98" t="s">
        <v>168</v>
      </c>
      <c r="F66" s="98" t="s">
        <v>168</v>
      </c>
      <c r="G66" s="98" t="s">
        <v>168</v>
      </c>
      <c r="H66" s="98" t="s">
        <v>167</v>
      </c>
      <c r="I66" s="98" t="s">
        <v>166</v>
      </c>
      <c r="J66" s="98" t="s">
        <v>177</v>
      </c>
      <c r="K66" s="98" t="s">
        <v>164</v>
      </c>
      <c r="L66" s="98" t="s">
        <v>160</v>
      </c>
      <c r="M66" s="98" t="s">
        <v>160</v>
      </c>
      <c r="N66" s="98" t="s">
        <v>163</v>
      </c>
      <c r="O66" s="98" t="s">
        <v>217</v>
      </c>
      <c r="P66" s="98" t="s">
        <v>182</v>
      </c>
      <c r="Q66" s="98" t="s">
        <v>160</v>
      </c>
      <c r="R66" s="98" t="s">
        <v>172</v>
      </c>
    </row>
    <row r="67" spans="1:18" ht="13.2" x14ac:dyDescent="0.25">
      <c r="A67" s="99">
        <v>44506.524673333333</v>
      </c>
      <c r="B67" s="98" t="s">
        <v>181</v>
      </c>
      <c r="C67" s="98" t="s">
        <v>203</v>
      </c>
      <c r="D67" s="98" t="s">
        <v>186</v>
      </c>
      <c r="E67" s="98" t="s">
        <v>178</v>
      </c>
      <c r="F67" s="98" t="s">
        <v>178</v>
      </c>
      <c r="G67" s="98" t="s">
        <v>179</v>
      </c>
      <c r="H67" s="98" t="s">
        <v>168</v>
      </c>
      <c r="I67" s="98" t="s">
        <v>166</v>
      </c>
      <c r="J67" s="98" t="s">
        <v>165</v>
      </c>
      <c r="K67" s="98" t="s">
        <v>176</v>
      </c>
      <c r="L67" s="98" t="s">
        <v>160</v>
      </c>
      <c r="M67" s="98" t="s">
        <v>160</v>
      </c>
      <c r="N67" s="98" t="s">
        <v>175</v>
      </c>
      <c r="O67" s="98" t="s">
        <v>210</v>
      </c>
      <c r="P67" s="98" t="s">
        <v>250</v>
      </c>
      <c r="Q67" s="98" t="s">
        <v>160</v>
      </c>
      <c r="R67" s="98" t="s">
        <v>193</v>
      </c>
    </row>
    <row r="68" spans="1:18" ht="13.2" hidden="1" x14ac:dyDescent="0.25">
      <c r="A68" s="99">
        <v>44506.529241886572</v>
      </c>
      <c r="B68" s="98" t="s">
        <v>181</v>
      </c>
      <c r="C68" s="98" t="s">
        <v>199</v>
      </c>
      <c r="D68" s="98" t="s">
        <v>186</v>
      </c>
      <c r="E68" s="98" t="s">
        <v>178</v>
      </c>
      <c r="F68" s="98" t="s">
        <v>168</v>
      </c>
      <c r="G68" s="98" t="s">
        <v>167</v>
      </c>
      <c r="H68" s="98" t="s">
        <v>167</v>
      </c>
      <c r="I68" s="98" t="s">
        <v>206</v>
      </c>
      <c r="J68" s="98" t="s">
        <v>267</v>
      </c>
      <c r="K68" s="98" t="s">
        <v>176</v>
      </c>
      <c r="L68" s="98" t="s">
        <v>160</v>
      </c>
      <c r="M68" s="98" t="s">
        <v>160</v>
      </c>
      <c r="N68" s="98" t="s">
        <v>175</v>
      </c>
      <c r="O68" s="98" t="s">
        <v>262</v>
      </c>
      <c r="P68" s="98" t="s">
        <v>219</v>
      </c>
      <c r="Q68" s="98" t="s">
        <v>160</v>
      </c>
      <c r="R68" s="98" t="s">
        <v>237</v>
      </c>
    </row>
    <row r="69" spans="1:18" ht="13.2" x14ac:dyDescent="0.25">
      <c r="A69" s="99">
        <v>44506.530712835651</v>
      </c>
      <c r="B69" s="98" t="s">
        <v>181</v>
      </c>
      <c r="C69" s="98" t="s">
        <v>170</v>
      </c>
      <c r="D69" s="98" t="s">
        <v>186</v>
      </c>
      <c r="E69" s="98" t="s">
        <v>179</v>
      </c>
      <c r="F69" s="98" t="s">
        <v>179</v>
      </c>
      <c r="G69" s="98" t="s">
        <v>168</v>
      </c>
      <c r="H69" s="98" t="s">
        <v>167</v>
      </c>
      <c r="I69" s="98" t="s">
        <v>166</v>
      </c>
      <c r="J69" s="98" t="s">
        <v>177</v>
      </c>
      <c r="K69" s="98" t="s">
        <v>176</v>
      </c>
      <c r="L69" s="98" t="s">
        <v>160</v>
      </c>
      <c r="M69" s="98" t="s">
        <v>160</v>
      </c>
      <c r="N69" s="98" t="s">
        <v>163</v>
      </c>
      <c r="O69" s="98" t="s">
        <v>174</v>
      </c>
      <c r="P69" s="98" t="s">
        <v>182</v>
      </c>
      <c r="Q69" s="98" t="s">
        <v>160</v>
      </c>
      <c r="R69" s="98" t="s">
        <v>172</v>
      </c>
    </row>
    <row r="70" spans="1:18" ht="13.2" hidden="1" x14ac:dyDescent="0.25">
      <c r="A70" s="99">
        <v>44506.530967673607</v>
      </c>
      <c r="B70" s="98" t="s">
        <v>181</v>
      </c>
      <c r="C70" s="98" t="s">
        <v>199</v>
      </c>
      <c r="D70" s="98" t="s">
        <v>212</v>
      </c>
      <c r="E70" s="98" t="s">
        <v>178</v>
      </c>
      <c r="F70" s="98" t="s">
        <v>179</v>
      </c>
      <c r="G70" s="98" t="s">
        <v>178</v>
      </c>
      <c r="H70" s="98" t="s">
        <v>179</v>
      </c>
      <c r="I70" s="98" t="s">
        <v>206</v>
      </c>
      <c r="J70" s="98" t="s">
        <v>177</v>
      </c>
      <c r="K70" s="98" t="s">
        <v>176</v>
      </c>
      <c r="L70" s="98" t="s">
        <v>160</v>
      </c>
      <c r="M70" s="98" t="s">
        <v>160</v>
      </c>
      <c r="N70" s="98" t="s">
        <v>163</v>
      </c>
      <c r="O70" s="98" t="s">
        <v>226</v>
      </c>
      <c r="P70" s="98" t="s">
        <v>188</v>
      </c>
      <c r="Q70" s="98" t="s">
        <v>160</v>
      </c>
      <c r="R70" s="98" t="s">
        <v>172</v>
      </c>
    </row>
    <row r="71" spans="1:18" ht="13.2" hidden="1" x14ac:dyDescent="0.25">
      <c r="A71" s="99">
        <v>44506.533856064816</v>
      </c>
      <c r="B71" s="98" t="s">
        <v>181</v>
      </c>
      <c r="C71" s="98" t="s">
        <v>180</v>
      </c>
      <c r="D71" s="98" t="s">
        <v>186</v>
      </c>
      <c r="E71" s="98" t="s">
        <v>178</v>
      </c>
      <c r="F71" s="98" t="s">
        <v>201</v>
      </c>
      <c r="G71" s="98" t="s">
        <v>168</v>
      </c>
      <c r="H71" s="98" t="s">
        <v>167</v>
      </c>
      <c r="I71" s="98" t="s">
        <v>239</v>
      </c>
      <c r="J71" s="98" t="s">
        <v>246</v>
      </c>
      <c r="K71" s="98" t="s">
        <v>176</v>
      </c>
      <c r="L71" s="98" t="s">
        <v>160</v>
      </c>
      <c r="M71" s="98" t="s">
        <v>160</v>
      </c>
      <c r="N71" s="98" t="s">
        <v>194</v>
      </c>
      <c r="O71" s="98" t="s">
        <v>189</v>
      </c>
      <c r="P71" s="98" t="s">
        <v>188</v>
      </c>
      <c r="Q71" s="98" t="s">
        <v>160</v>
      </c>
      <c r="R71" s="98" t="s">
        <v>172</v>
      </c>
    </row>
    <row r="72" spans="1:18" ht="13.2" hidden="1" x14ac:dyDescent="0.25">
      <c r="A72" s="99">
        <v>44506.534813333332</v>
      </c>
      <c r="B72" s="98" t="s">
        <v>181</v>
      </c>
      <c r="C72" s="98" t="s">
        <v>170</v>
      </c>
      <c r="D72" s="98" t="s">
        <v>186</v>
      </c>
      <c r="E72" s="98" t="s">
        <v>168</v>
      </c>
      <c r="F72" s="98" t="s">
        <v>168</v>
      </c>
      <c r="G72" s="98" t="s">
        <v>167</v>
      </c>
      <c r="H72" s="98" t="s">
        <v>201</v>
      </c>
      <c r="I72" s="98" t="s">
        <v>196</v>
      </c>
      <c r="J72" s="98" t="s">
        <v>218</v>
      </c>
      <c r="K72" s="98" t="s">
        <v>176</v>
      </c>
      <c r="L72" s="98" t="s">
        <v>160</v>
      </c>
      <c r="M72" s="98" t="s">
        <v>160</v>
      </c>
      <c r="N72" s="98" t="s">
        <v>175</v>
      </c>
      <c r="O72" s="98" t="s">
        <v>266</v>
      </c>
      <c r="P72" s="98" t="s">
        <v>188</v>
      </c>
      <c r="Q72" s="98" t="s">
        <v>160</v>
      </c>
      <c r="R72" s="98" t="s">
        <v>172</v>
      </c>
    </row>
    <row r="73" spans="1:18" ht="13.2" hidden="1" x14ac:dyDescent="0.25">
      <c r="A73" s="99">
        <v>44506.537053506945</v>
      </c>
      <c r="B73" s="98" t="s">
        <v>181</v>
      </c>
      <c r="C73" s="98" t="s">
        <v>180</v>
      </c>
      <c r="D73" s="98" t="s">
        <v>207</v>
      </c>
      <c r="E73" s="98" t="s">
        <v>201</v>
      </c>
      <c r="F73" s="98" t="s">
        <v>201</v>
      </c>
      <c r="G73" s="98" t="s">
        <v>201</v>
      </c>
      <c r="H73" s="98" t="s">
        <v>201</v>
      </c>
      <c r="I73" s="98" t="s">
        <v>206</v>
      </c>
      <c r="J73" s="98" t="s">
        <v>218</v>
      </c>
      <c r="K73" s="98" t="s">
        <v>164</v>
      </c>
      <c r="L73" s="98" t="s">
        <v>160</v>
      </c>
      <c r="M73" s="98" t="s">
        <v>160</v>
      </c>
      <c r="N73" s="98" t="s">
        <v>163</v>
      </c>
      <c r="O73" s="98" t="s">
        <v>162</v>
      </c>
      <c r="P73" s="98" t="s">
        <v>219</v>
      </c>
      <c r="Q73" s="98" t="s">
        <v>160</v>
      </c>
      <c r="R73" s="98" t="s">
        <v>193</v>
      </c>
    </row>
    <row r="74" spans="1:18" ht="13.2" x14ac:dyDescent="0.25">
      <c r="A74" s="99">
        <v>44506.541441921298</v>
      </c>
      <c r="B74" s="98" t="s">
        <v>181</v>
      </c>
      <c r="C74" s="98" t="s">
        <v>180</v>
      </c>
      <c r="D74" s="98" t="s">
        <v>169</v>
      </c>
      <c r="E74" s="98" t="s">
        <v>168</v>
      </c>
      <c r="F74" s="98" t="s">
        <v>168</v>
      </c>
      <c r="G74" s="98" t="s">
        <v>168</v>
      </c>
      <c r="H74" s="98" t="s">
        <v>178</v>
      </c>
      <c r="I74" s="98" t="s">
        <v>166</v>
      </c>
      <c r="J74" s="98" t="s">
        <v>165</v>
      </c>
      <c r="K74" s="98" t="s">
        <v>176</v>
      </c>
      <c r="L74" s="98" t="s">
        <v>160</v>
      </c>
      <c r="M74" s="98" t="s">
        <v>160</v>
      </c>
      <c r="N74" s="98" t="s">
        <v>175</v>
      </c>
      <c r="O74" s="98" t="s">
        <v>174</v>
      </c>
      <c r="P74" s="98" t="s">
        <v>188</v>
      </c>
      <c r="Q74" s="98" t="s">
        <v>160</v>
      </c>
      <c r="R74" s="98" t="s">
        <v>187</v>
      </c>
    </row>
    <row r="75" spans="1:18" ht="13.2" x14ac:dyDescent="0.25">
      <c r="A75" s="99">
        <v>44506.543029108798</v>
      </c>
      <c r="B75" s="98" t="s">
        <v>181</v>
      </c>
      <c r="C75" s="98" t="s">
        <v>199</v>
      </c>
      <c r="D75" s="98" t="s">
        <v>212</v>
      </c>
      <c r="E75" s="98" t="s">
        <v>178</v>
      </c>
      <c r="F75" s="98" t="s">
        <v>167</v>
      </c>
      <c r="G75" s="98" t="s">
        <v>167</v>
      </c>
      <c r="H75" s="98" t="s">
        <v>167</v>
      </c>
      <c r="I75" s="98" t="s">
        <v>166</v>
      </c>
      <c r="J75" s="98" t="s">
        <v>204</v>
      </c>
      <c r="K75" s="98" t="s">
        <v>164</v>
      </c>
      <c r="L75" s="98" t="s">
        <v>160</v>
      </c>
      <c r="M75" s="98" t="s">
        <v>160</v>
      </c>
      <c r="N75" s="98" t="s">
        <v>175</v>
      </c>
      <c r="O75" s="98" t="s">
        <v>205</v>
      </c>
      <c r="P75" s="98" t="s">
        <v>173</v>
      </c>
      <c r="Q75" s="98" t="s">
        <v>160</v>
      </c>
      <c r="R75" s="98" t="s">
        <v>187</v>
      </c>
    </row>
    <row r="76" spans="1:18" ht="13.2" hidden="1" x14ac:dyDescent="0.25">
      <c r="A76" s="99">
        <v>44506.554757847218</v>
      </c>
      <c r="B76" s="98" t="s">
        <v>171</v>
      </c>
      <c r="C76" s="98" t="s">
        <v>180</v>
      </c>
      <c r="D76" s="98" t="s">
        <v>212</v>
      </c>
      <c r="E76" s="98" t="s">
        <v>168</v>
      </c>
      <c r="F76" s="98" t="s">
        <v>168</v>
      </c>
      <c r="G76" s="98" t="s">
        <v>178</v>
      </c>
      <c r="H76" s="98" t="s">
        <v>178</v>
      </c>
      <c r="I76" s="98" t="s">
        <v>206</v>
      </c>
      <c r="J76" s="98" t="s">
        <v>177</v>
      </c>
      <c r="K76" s="98" t="s">
        <v>164</v>
      </c>
      <c r="L76" s="98" t="s">
        <v>160</v>
      </c>
      <c r="M76" s="98" t="s">
        <v>160</v>
      </c>
      <c r="N76" s="98" t="s">
        <v>223</v>
      </c>
      <c r="O76" s="98" t="s">
        <v>189</v>
      </c>
      <c r="P76" s="98" t="s">
        <v>188</v>
      </c>
      <c r="Q76" s="98" t="s">
        <v>160</v>
      </c>
      <c r="R76" s="98" t="s">
        <v>193</v>
      </c>
    </row>
    <row r="77" spans="1:18" ht="13.2" x14ac:dyDescent="0.25">
      <c r="A77" s="99">
        <v>44506.556099374997</v>
      </c>
      <c r="B77" s="98" t="s">
        <v>181</v>
      </c>
      <c r="C77" s="98" t="s">
        <v>170</v>
      </c>
      <c r="D77" s="98" t="s">
        <v>186</v>
      </c>
      <c r="E77" s="98" t="s">
        <v>178</v>
      </c>
      <c r="F77" s="98" t="s">
        <v>201</v>
      </c>
      <c r="G77" s="98" t="s">
        <v>201</v>
      </c>
      <c r="H77" s="98" t="s">
        <v>167</v>
      </c>
      <c r="I77" s="98" t="s">
        <v>166</v>
      </c>
      <c r="J77" s="98" t="s">
        <v>177</v>
      </c>
      <c r="K77" s="98" t="s">
        <v>164</v>
      </c>
      <c r="L77" s="98" t="s">
        <v>160</v>
      </c>
      <c r="M77" s="98" t="s">
        <v>160</v>
      </c>
      <c r="N77" s="98" t="s">
        <v>163</v>
      </c>
      <c r="O77" s="98" t="s">
        <v>233</v>
      </c>
      <c r="P77" s="98" t="s">
        <v>188</v>
      </c>
      <c r="Q77" s="98" t="s">
        <v>160</v>
      </c>
      <c r="R77" s="98" t="s">
        <v>172</v>
      </c>
    </row>
    <row r="78" spans="1:18" ht="13.2" hidden="1" x14ac:dyDescent="0.25">
      <c r="A78" s="99">
        <v>44506.559736122683</v>
      </c>
      <c r="B78" s="98" t="s">
        <v>181</v>
      </c>
      <c r="C78" s="98" t="s">
        <v>170</v>
      </c>
      <c r="D78" s="98" t="s">
        <v>207</v>
      </c>
      <c r="E78" s="98" t="s">
        <v>179</v>
      </c>
      <c r="F78" s="98" t="s">
        <v>167</v>
      </c>
      <c r="G78" s="98" t="s">
        <v>167</v>
      </c>
      <c r="H78" s="98" t="s">
        <v>167</v>
      </c>
      <c r="I78" s="98" t="s">
        <v>239</v>
      </c>
      <c r="J78" s="98" t="s">
        <v>265</v>
      </c>
      <c r="K78" s="98" t="s">
        <v>176</v>
      </c>
      <c r="L78" s="98" t="s">
        <v>160</v>
      </c>
      <c r="M78" s="98" t="s">
        <v>160</v>
      </c>
      <c r="N78" s="98" t="s">
        <v>163</v>
      </c>
      <c r="O78" s="98" t="s">
        <v>183</v>
      </c>
      <c r="P78" s="98" t="s">
        <v>188</v>
      </c>
      <c r="Q78" s="98" t="s">
        <v>160</v>
      </c>
      <c r="R78" s="98" t="s">
        <v>187</v>
      </c>
    </row>
    <row r="79" spans="1:18" ht="13.2" hidden="1" x14ac:dyDescent="0.25">
      <c r="A79" s="99">
        <v>44506.566878622689</v>
      </c>
      <c r="B79" s="98" t="s">
        <v>181</v>
      </c>
      <c r="C79" s="98" t="s">
        <v>199</v>
      </c>
      <c r="D79" s="98" t="s">
        <v>207</v>
      </c>
      <c r="E79" s="98" t="s">
        <v>178</v>
      </c>
      <c r="F79" s="98" t="s">
        <v>178</v>
      </c>
      <c r="G79" s="98" t="s">
        <v>178</v>
      </c>
      <c r="H79" s="98" t="s">
        <v>178</v>
      </c>
      <c r="I79" s="98" t="s">
        <v>206</v>
      </c>
      <c r="J79" s="98" t="s">
        <v>177</v>
      </c>
      <c r="K79" s="98" t="s">
        <v>176</v>
      </c>
      <c r="L79" s="98" t="s">
        <v>160</v>
      </c>
      <c r="M79" s="98" t="s">
        <v>160</v>
      </c>
      <c r="N79" s="98" t="s">
        <v>175</v>
      </c>
      <c r="O79" s="98" t="s">
        <v>183</v>
      </c>
      <c r="P79" s="98" t="s">
        <v>188</v>
      </c>
      <c r="Q79" s="98" t="s">
        <v>160</v>
      </c>
      <c r="R79" s="98" t="s">
        <v>193</v>
      </c>
    </row>
    <row r="80" spans="1:18" ht="13.2" x14ac:dyDescent="0.25">
      <c r="A80" s="99">
        <v>44506.573755659723</v>
      </c>
      <c r="B80" s="98" t="s">
        <v>181</v>
      </c>
      <c r="C80" s="98" t="s">
        <v>214</v>
      </c>
      <c r="D80" s="98" t="s">
        <v>212</v>
      </c>
      <c r="E80" s="98" t="s">
        <v>178</v>
      </c>
      <c r="F80" s="98" t="s">
        <v>167</v>
      </c>
      <c r="G80" s="98" t="s">
        <v>167</v>
      </c>
      <c r="H80" s="98" t="s">
        <v>167</v>
      </c>
      <c r="I80" s="98" t="s">
        <v>166</v>
      </c>
      <c r="J80" s="98" t="s">
        <v>238</v>
      </c>
      <c r="K80" s="98" t="s">
        <v>176</v>
      </c>
      <c r="L80" s="98" t="s">
        <v>160</v>
      </c>
      <c r="M80" s="98" t="s">
        <v>160</v>
      </c>
      <c r="N80" s="98" t="s">
        <v>194</v>
      </c>
      <c r="O80" s="98" t="s">
        <v>174</v>
      </c>
      <c r="P80" s="98" t="s">
        <v>182</v>
      </c>
      <c r="Q80" s="98" t="s">
        <v>160</v>
      </c>
      <c r="R80" s="98" t="s">
        <v>172</v>
      </c>
    </row>
    <row r="81" spans="1:18" ht="13.2" hidden="1" x14ac:dyDescent="0.25">
      <c r="A81" s="99">
        <v>44506.574042210646</v>
      </c>
      <c r="B81" s="98" t="s">
        <v>181</v>
      </c>
      <c r="C81" s="98" t="s">
        <v>170</v>
      </c>
      <c r="D81" s="98" t="s">
        <v>186</v>
      </c>
      <c r="E81" s="98" t="s">
        <v>167</v>
      </c>
      <c r="F81" s="98" t="s">
        <v>167</v>
      </c>
      <c r="G81" s="98" t="s">
        <v>167</v>
      </c>
      <c r="H81" s="98" t="s">
        <v>167</v>
      </c>
      <c r="I81" s="98" t="s">
        <v>211</v>
      </c>
      <c r="J81" s="98" t="s">
        <v>224</v>
      </c>
      <c r="K81" s="98" t="s">
        <v>176</v>
      </c>
      <c r="L81" s="98" t="s">
        <v>160</v>
      </c>
      <c r="M81" s="98" t="s">
        <v>160</v>
      </c>
      <c r="N81" s="98" t="s">
        <v>175</v>
      </c>
      <c r="O81" s="98" t="s">
        <v>232</v>
      </c>
      <c r="P81" s="98" t="s">
        <v>173</v>
      </c>
      <c r="Q81" s="98" t="s">
        <v>160</v>
      </c>
      <c r="R81" s="98" t="s">
        <v>172</v>
      </c>
    </row>
    <row r="82" spans="1:18" ht="13.2" hidden="1" x14ac:dyDescent="0.25">
      <c r="A82" s="99">
        <v>44506.580293958337</v>
      </c>
      <c r="B82" s="98" t="s">
        <v>181</v>
      </c>
      <c r="C82" s="98" t="s">
        <v>180</v>
      </c>
      <c r="D82" s="98" t="s">
        <v>186</v>
      </c>
      <c r="E82" s="98" t="s">
        <v>201</v>
      </c>
      <c r="F82" s="98" t="s">
        <v>168</v>
      </c>
      <c r="G82" s="98" t="s">
        <v>201</v>
      </c>
      <c r="H82" s="98" t="s">
        <v>167</v>
      </c>
      <c r="I82" s="98" t="s">
        <v>191</v>
      </c>
      <c r="J82" s="98" t="s">
        <v>200</v>
      </c>
      <c r="K82" s="98" t="s">
        <v>164</v>
      </c>
      <c r="L82" s="98" t="s">
        <v>160</v>
      </c>
      <c r="M82" s="98" t="s">
        <v>160</v>
      </c>
      <c r="N82" s="98" t="s">
        <v>208</v>
      </c>
      <c r="O82" s="98" t="s">
        <v>174</v>
      </c>
      <c r="P82" s="98" t="s">
        <v>182</v>
      </c>
      <c r="Q82" s="98" t="s">
        <v>160</v>
      </c>
      <c r="R82" s="98" t="s">
        <v>172</v>
      </c>
    </row>
    <row r="83" spans="1:18" ht="13.2" x14ac:dyDescent="0.25">
      <c r="A83" s="99">
        <v>44506.582199247685</v>
      </c>
      <c r="B83" s="98" t="s">
        <v>181</v>
      </c>
      <c r="C83" s="98" t="s">
        <v>199</v>
      </c>
      <c r="D83" s="98" t="s">
        <v>207</v>
      </c>
      <c r="E83" s="98" t="s">
        <v>179</v>
      </c>
      <c r="F83" s="98" t="s">
        <v>201</v>
      </c>
      <c r="G83" s="98" t="s">
        <v>167</v>
      </c>
      <c r="H83" s="98" t="s">
        <v>167</v>
      </c>
      <c r="I83" s="98" t="s">
        <v>166</v>
      </c>
      <c r="J83" s="98" t="s">
        <v>200</v>
      </c>
      <c r="K83" s="98" t="s">
        <v>176</v>
      </c>
      <c r="L83" s="98" t="s">
        <v>160</v>
      </c>
      <c r="M83" s="98" t="s">
        <v>160</v>
      </c>
      <c r="N83" s="98" t="s">
        <v>163</v>
      </c>
      <c r="O83" s="98" t="s">
        <v>174</v>
      </c>
      <c r="P83" s="98" t="s">
        <v>188</v>
      </c>
      <c r="Q83" s="98" t="s">
        <v>160</v>
      </c>
      <c r="R83" s="98" t="s">
        <v>187</v>
      </c>
    </row>
    <row r="84" spans="1:18" ht="13.2" x14ac:dyDescent="0.25">
      <c r="A84" s="99">
        <v>44506.594893321759</v>
      </c>
      <c r="B84" s="98" t="s">
        <v>171</v>
      </c>
      <c r="C84" s="98" t="s">
        <v>203</v>
      </c>
      <c r="D84" s="98" t="s">
        <v>169</v>
      </c>
      <c r="E84" s="98" t="s">
        <v>178</v>
      </c>
      <c r="F84" s="98" t="s">
        <v>201</v>
      </c>
      <c r="G84" s="98" t="s">
        <v>167</v>
      </c>
      <c r="H84" s="98" t="s">
        <v>167</v>
      </c>
      <c r="I84" s="98" t="s">
        <v>166</v>
      </c>
      <c r="J84" s="98" t="s">
        <v>218</v>
      </c>
      <c r="K84" s="98" t="s">
        <v>176</v>
      </c>
      <c r="L84" s="98" t="s">
        <v>160</v>
      </c>
      <c r="M84" s="98" t="s">
        <v>160</v>
      </c>
      <c r="N84" s="98" t="s">
        <v>175</v>
      </c>
      <c r="O84" s="98" t="s">
        <v>222</v>
      </c>
      <c r="P84" s="98" t="s">
        <v>231</v>
      </c>
      <c r="Q84" s="98" t="s">
        <v>160</v>
      </c>
      <c r="R84" s="98" t="s">
        <v>240</v>
      </c>
    </row>
    <row r="85" spans="1:18" ht="13.2" x14ac:dyDescent="0.25">
      <c r="A85" s="99">
        <v>44506.599179791665</v>
      </c>
      <c r="B85" s="98" t="s">
        <v>181</v>
      </c>
      <c r="C85" s="98" t="s">
        <v>199</v>
      </c>
      <c r="D85" s="98" t="s">
        <v>212</v>
      </c>
      <c r="E85" s="98" t="s">
        <v>168</v>
      </c>
      <c r="F85" s="98" t="s">
        <v>201</v>
      </c>
      <c r="G85" s="98" t="s">
        <v>201</v>
      </c>
      <c r="H85" s="98" t="s">
        <v>201</v>
      </c>
      <c r="I85" s="98" t="s">
        <v>166</v>
      </c>
      <c r="J85" s="98" t="s">
        <v>236</v>
      </c>
      <c r="K85" s="98" t="s">
        <v>176</v>
      </c>
      <c r="L85" s="98" t="s">
        <v>160</v>
      </c>
      <c r="M85" s="98" t="s">
        <v>160</v>
      </c>
      <c r="N85" s="98" t="s">
        <v>163</v>
      </c>
      <c r="O85" s="98" t="s">
        <v>174</v>
      </c>
      <c r="P85" s="98" t="s">
        <v>182</v>
      </c>
      <c r="Q85" s="98" t="s">
        <v>160</v>
      </c>
      <c r="R85" s="98" t="s">
        <v>193</v>
      </c>
    </row>
    <row r="86" spans="1:18" ht="13.2" hidden="1" x14ac:dyDescent="0.25">
      <c r="A86" s="99">
        <v>44506.599617962958</v>
      </c>
      <c r="B86" s="98" t="s">
        <v>181</v>
      </c>
      <c r="C86" s="98" t="s">
        <v>170</v>
      </c>
      <c r="D86" s="98" t="s">
        <v>261</v>
      </c>
      <c r="E86" s="98" t="s">
        <v>178</v>
      </c>
      <c r="F86" s="98" t="s">
        <v>167</v>
      </c>
      <c r="G86" s="98" t="s">
        <v>167</v>
      </c>
      <c r="H86" s="98" t="s">
        <v>167</v>
      </c>
      <c r="I86" s="98" t="s">
        <v>191</v>
      </c>
      <c r="J86" s="98" t="s">
        <v>177</v>
      </c>
      <c r="K86" s="98" t="s">
        <v>164</v>
      </c>
      <c r="L86" s="98" t="s">
        <v>160</v>
      </c>
      <c r="M86" s="98" t="s">
        <v>160</v>
      </c>
      <c r="N86" s="98" t="s">
        <v>194</v>
      </c>
      <c r="O86" s="98" t="s">
        <v>183</v>
      </c>
      <c r="P86" s="98" t="s">
        <v>188</v>
      </c>
      <c r="Q86" s="98" t="s">
        <v>160</v>
      </c>
      <c r="R86" s="98" t="s">
        <v>172</v>
      </c>
    </row>
    <row r="87" spans="1:18" ht="13.2" hidden="1" x14ac:dyDescent="0.25">
      <c r="A87" s="99">
        <v>44506.619282534724</v>
      </c>
      <c r="B87" s="98" t="s">
        <v>181</v>
      </c>
      <c r="C87" s="98" t="s">
        <v>199</v>
      </c>
      <c r="D87" s="98" t="s">
        <v>198</v>
      </c>
      <c r="E87" s="98" t="s">
        <v>168</v>
      </c>
      <c r="F87" s="98" t="s">
        <v>168</v>
      </c>
      <c r="G87" s="98" t="s">
        <v>179</v>
      </c>
      <c r="H87" s="98" t="s">
        <v>201</v>
      </c>
      <c r="I87" s="98" t="s">
        <v>211</v>
      </c>
      <c r="J87" s="98" t="s">
        <v>264</v>
      </c>
      <c r="K87" s="98" t="s">
        <v>176</v>
      </c>
      <c r="L87" s="98" t="s">
        <v>160</v>
      </c>
      <c r="M87" s="98" t="s">
        <v>160</v>
      </c>
      <c r="N87" s="98" t="s">
        <v>263</v>
      </c>
      <c r="O87" s="98" t="s">
        <v>189</v>
      </c>
      <c r="P87" s="98" t="s">
        <v>188</v>
      </c>
      <c r="Q87" s="98" t="s">
        <v>160</v>
      </c>
      <c r="R87" s="98" t="s">
        <v>187</v>
      </c>
    </row>
    <row r="88" spans="1:18" ht="13.2" x14ac:dyDescent="0.25">
      <c r="A88" s="99">
        <v>44506.625934270836</v>
      </c>
      <c r="B88" s="98" t="s">
        <v>181</v>
      </c>
      <c r="C88" s="98" t="s">
        <v>180</v>
      </c>
      <c r="D88" s="98" t="s">
        <v>169</v>
      </c>
      <c r="E88" s="98" t="s">
        <v>178</v>
      </c>
      <c r="F88" s="98" t="s">
        <v>178</v>
      </c>
      <c r="G88" s="98" t="s">
        <v>178</v>
      </c>
      <c r="H88" s="98" t="s">
        <v>178</v>
      </c>
      <c r="I88" s="98" t="s">
        <v>166</v>
      </c>
      <c r="J88" s="98" t="s">
        <v>177</v>
      </c>
      <c r="K88" s="98" t="s">
        <v>176</v>
      </c>
      <c r="L88" s="98" t="s">
        <v>160</v>
      </c>
      <c r="M88" s="98" t="s">
        <v>160</v>
      </c>
      <c r="N88" s="98" t="s">
        <v>163</v>
      </c>
      <c r="O88" s="98" t="s">
        <v>174</v>
      </c>
      <c r="P88" s="98" t="s">
        <v>188</v>
      </c>
      <c r="Q88" s="98" t="s">
        <v>160</v>
      </c>
      <c r="R88" s="98" t="s">
        <v>193</v>
      </c>
    </row>
    <row r="89" spans="1:18" ht="13.2" hidden="1" x14ac:dyDescent="0.25">
      <c r="A89" s="99">
        <v>44506.645602719909</v>
      </c>
      <c r="B89" s="98" t="s">
        <v>181</v>
      </c>
      <c r="C89" s="98" t="s">
        <v>180</v>
      </c>
      <c r="D89" s="98" t="s">
        <v>186</v>
      </c>
      <c r="E89" s="98" t="s">
        <v>178</v>
      </c>
      <c r="F89" s="98" t="s">
        <v>179</v>
      </c>
      <c r="G89" s="98" t="s">
        <v>179</v>
      </c>
      <c r="H89" s="98" t="s">
        <v>167</v>
      </c>
      <c r="I89" s="98" t="s">
        <v>196</v>
      </c>
      <c r="J89" s="98" t="s">
        <v>236</v>
      </c>
      <c r="K89" s="98" t="s">
        <v>176</v>
      </c>
      <c r="L89" s="98" t="s">
        <v>160</v>
      </c>
      <c r="M89" s="98" t="s">
        <v>184</v>
      </c>
      <c r="N89" s="98" t="s">
        <v>163</v>
      </c>
      <c r="O89" s="98" t="s">
        <v>202</v>
      </c>
      <c r="P89" s="98" t="s">
        <v>182</v>
      </c>
      <c r="Q89" s="98" t="s">
        <v>160</v>
      </c>
      <c r="R89" s="98" t="s">
        <v>216</v>
      </c>
    </row>
    <row r="90" spans="1:18" ht="13.2" x14ac:dyDescent="0.25">
      <c r="A90" s="99">
        <v>44506.649342349541</v>
      </c>
      <c r="B90" s="98" t="s">
        <v>171</v>
      </c>
      <c r="C90" s="98" t="s">
        <v>180</v>
      </c>
      <c r="D90" s="98" t="s">
        <v>186</v>
      </c>
      <c r="E90" s="98" t="s">
        <v>201</v>
      </c>
      <c r="F90" s="98" t="s">
        <v>179</v>
      </c>
      <c r="G90" s="98" t="s">
        <v>178</v>
      </c>
      <c r="H90" s="98" t="s">
        <v>167</v>
      </c>
      <c r="I90" s="98" t="s">
        <v>166</v>
      </c>
      <c r="J90" s="98" t="s">
        <v>177</v>
      </c>
      <c r="K90" s="98" t="s">
        <v>176</v>
      </c>
      <c r="L90" s="98" t="s">
        <v>160</v>
      </c>
      <c r="M90" s="98" t="s">
        <v>160</v>
      </c>
      <c r="N90" s="98" t="s">
        <v>163</v>
      </c>
      <c r="O90" s="98" t="s">
        <v>189</v>
      </c>
      <c r="P90" s="98" t="s">
        <v>219</v>
      </c>
      <c r="Q90" s="98" t="s">
        <v>160</v>
      </c>
      <c r="R90" s="98" t="s">
        <v>172</v>
      </c>
    </row>
    <row r="91" spans="1:18" ht="13.2" x14ac:dyDescent="0.25">
      <c r="A91" s="99">
        <v>44506.656048680554</v>
      </c>
      <c r="B91" s="98" t="s">
        <v>181</v>
      </c>
      <c r="C91" s="98" t="s">
        <v>257</v>
      </c>
      <c r="D91" s="98" t="s">
        <v>212</v>
      </c>
      <c r="E91" s="98" t="s">
        <v>178</v>
      </c>
      <c r="F91" s="98" t="s">
        <v>167</v>
      </c>
      <c r="G91" s="98" t="s">
        <v>167</v>
      </c>
      <c r="H91" s="98" t="s">
        <v>167</v>
      </c>
      <c r="I91" s="98" t="s">
        <v>166</v>
      </c>
      <c r="J91" s="98" t="s">
        <v>177</v>
      </c>
      <c r="K91" s="98" t="s">
        <v>176</v>
      </c>
      <c r="L91" s="98" t="s">
        <v>160</v>
      </c>
      <c r="M91" s="98" t="s">
        <v>160</v>
      </c>
      <c r="N91" s="98" t="s">
        <v>194</v>
      </c>
      <c r="O91" s="98" t="s">
        <v>174</v>
      </c>
      <c r="P91" s="98" t="s">
        <v>173</v>
      </c>
      <c r="Q91" s="98" t="s">
        <v>184</v>
      </c>
      <c r="R91" s="98" t="s">
        <v>187</v>
      </c>
    </row>
    <row r="92" spans="1:18" ht="13.2" hidden="1" x14ac:dyDescent="0.25">
      <c r="A92" s="99">
        <v>44506.671055682869</v>
      </c>
      <c r="B92" s="98" t="s">
        <v>181</v>
      </c>
      <c r="C92" s="98" t="s">
        <v>257</v>
      </c>
      <c r="D92" s="98" t="s">
        <v>186</v>
      </c>
      <c r="E92" s="98" t="s">
        <v>178</v>
      </c>
      <c r="F92" s="98" t="s">
        <v>178</v>
      </c>
      <c r="G92" s="98" t="s">
        <v>167</v>
      </c>
      <c r="H92" s="98" t="s">
        <v>167</v>
      </c>
      <c r="I92" s="98" t="s">
        <v>196</v>
      </c>
      <c r="J92" s="98" t="s">
        <v>200</v>
      </c>
      <c r="K92" s="98" t="s">
        <v>164</v>
      </c>
      <c r="L92" s="98" t="s">
        <v>160</v>
      </c>
      <c r="M92" s="98" t="s">
        <v>160</v>
      </c>
      <c r="N92" s="98" t="s">
        <v>163</v>
      </c>
      <c r="O92" s="98" t="s">
        <v>202</v>
      </c>
      <c r="P92" s="98" t="s">
        <v>173</v>
      </c>
      <c r="Q92" s="98" t="s">
        <v>160</v>
      </c>
      <c r="R92" s="98" t="s">
        <v>193</v>
      </c>
    </row>
    <row r="93" spans="1:18" ht="13.2" hidden="1" x14ac:dyDescent="0.25">
      <c r="A93" s="99">
        <v>44506.671829293977</v>
      </c>
      <c r="B93" s="98" t="s">
        <v>181</v>
      </c>
      <c r="C93" s="98" t="s">
        <v>203</v>
      </c>
      <c r="D93" s="98" t="s">
        <v>186</v>
      </c>
      <c r="E93" s="98" t="s">
        <v>168</v>
      </c>
      <c r="F93" s="98" t="s">
        <v>178</v>
      </c>
      <c r="G93" s="98" t="s">
        <v>201</v>
      </c>
      <c r="H93" s="98" t="s">
        <v>167</v>
      </c>
      <c r="I93" s="98" t="s">
        <v>196</v>
      </c>
      <c r="J93" s="98" t="s">
        <v>224</v>
      </c>
      <c r="K93" s="98" t="s">
        <v>164</v>
      </c>
      <c r="L93" s="98" t="s">
        <v>184</v>
      </c>
      <c r="M93" s="98" t="s">
        <v>184</v>
      </c>
      <c r="N93" s="98" t="s">
        <v>163</v>
      </c>
      <c r="O93" s="98" t="s">
        <v>262</v>
      </c>
      <c r="P93" s="98" t="s">
        <v>231</v>
      </c>
      <c r="Q93" s="98" t="s">
        <v>160</v>
      </c>
      <c r="R93" s="98" t="s">
        <v>187</v>
      </c>
    </row>
    <row r="94" spans="1:18" ht="13.2" x14ac:dyDescent="0.25">
      <c r="A94" s="99">
        <v>44506.677737384263</v>
      </c>
      <c r="B94" s="98" t="s">
        <v>181</v>
      </c>
      <c r="C94" s="98" t="s">
        <v>214</v>
      </c>
      <c r="D94" s="98" t="s">
        <v>169</v>
      </c>
      <c r="E94" s="98" t="s">
        <v>168</v>
      </c>
      <c r="F94" s="98" t="s">
        <v>178</v>
      </c>
      <c r="G94" s="98" t="s">
        <v>201</v>
      </c>
      <c r="H94" s="98" t="s">
        <v>167</v>
      </c>
      <c r="I94" s="98" t="s">
        <v>166</v>
      </c>
      <c r="J94" s="98" t="s">
        <v>190</v>
      </c>
      <c r="K94" s="98" t="s">
        <v>164</v>
      </c>
      <c r="L94" s="98" t="s">
        <v>184</v>
      </c>
      <c r="M94" s="98" t="s">
        <v>160</v>
      </c>
      <c r="N94" s="98" t="s">
        <v>163</v>
      </c>
      <c r="O94" s="98" t="s">
        <v>174</v>
      </c>
      <c r="P94" s="98" t="s">
        <v>173</v>
      </c>
      <c r="Q94" s="98" t="s">
        <v>160</v>
      </c>
      <c r="R94" s="98" t="s">
        <v>216</v>
      </c>
    </row>
    <row r="95" spans="1:18" ht="13.2" x14ac:dyDescent="0.25">
      <c r="A95" s="99">
        <v>44506.681876516202</v>
      </c>
      <c r="B95" s="98" t="s">
        <v>171</v>
      </c>
      <c r="C95" s="98" t="s">
        <v>170</v>
      </c>
      <c r="D95" s="98" t="s">
        <v>169</v>
      </c>
      <c r="E95" s="98" t="s">
        <v>201</v>
      </c>
      <c r="F95" s="98" t="s">
        <v>201</v>
      </c>
      <c r="G95" s="98" t="s">
        <v>179</v>
      </c>
      <c r="H95" s="98" t="s">
        <v>179</v>
      </c>
      <c r="I95" s="98" t="s">
        <v>166</v>
      </c>
      <c r="J95" s="98" t="s">
        <v>165</v>
      </c>
      <c r="K95" s="98" t="s">
        <v>176</v>
      </c>
      <c r="L95" s="98" t="s">
        <v>160</v>
      </c>
      <c r="M95" s="98" t="s">
        <v>160</v>
      </c>
      <c r="N95" s="98" t="s">
        <v>175</v>
      </c>
      <c r="O95" s="98" t="s">
        <v>183</v>
      </c>
      <c r="P95" s="98" t="s">
        <v>188</v>
      </c>
      <c r="Q95" s="98" t="s">
        <v>160</v>
      </c>
      <c r="R95" s="98" t="s">
        <v>172</v>
      </c>
    </row>
    <row r="96" spans="1:18" ht="13.2" hidden="1" x14ac:dyDescent="0.25">
      <c r="A96" s="99">
        <v>44506.711843854166</v>
      </c>
      <c r="B96" s="98" t="s">
        <v>181</v>
      </c>
      <c r="C96" s="98" t="s">
        <v>199</v>
      </c>
      <c r="D96" s="98" t="s">
        <v>169</v>
      </c>
      <c r="E96" s="98" t="s">
        <v>201</v>
      </c>
      <c r="F96" s="98" t="s">
        <v>167</v>
      </c>
      <c r="G96" s="98" t="s">
        <v>178</v>
      </c>
      <c r="H96" s="98" t="s">
        <v>167</v>
      </c>
      <c r="I96" s="98" t="s">
        <v>211</v>
      </c>
      <c r="J96" s="98" t="s">
        <v>165</v>
      </c>
      <c r="K96" s="98" t="s">
        <v>164</v>
      </c>
      <c r="L96" s="98" t="s">
        <v>160</v>
      </c>
      <c r="M96" s="98" t="s">
        <v>160</v>
      </c>
      <c r="N96" s="98" t="s">
        <v>163</v>
      </c>
      <c r="O96" s="98" t="s">
        <v>202</v>
      </c>
      <c r="P96" s="98" t="s">
        <v>173</v>
      </c>
      <c r="Q96" s="98" t="s">
        <v>160</v>
      </c>
      <c r="R96" s="98" t="s">
        <v>216</v>
      </c>
    </row>
    <row r="97" spans="1:18" ht="13.2" x14ac:dyDescent="0.25">
      <c r="A97" s="99">
        <v>44506.763411030093</v>
      </c>
      <c r="B97" s="98" t="s">
        <v>181</v>
      </c>
      <c r="C97" s="98" t="s">
        <v>214</v>
      </c>
      <c r="D97" s="98" t="s">
        <v>261</v>
      </c>
      <c r="E97" s="98" t="s">
        <v>168</v>
      </c>
      <c r="F97" s="98" t="s">
        <v>178</v>
      </c>
      <c r="G97" s="98" t="s">
        <v>167</v>
      </c>
      <c r="H97" s="98" t="s">
        <v>167</v>
      </c>
      <c r="I97" s="98" t="s">
        <v>166</v>
      </c>
      <c r="J97" s="98" t="s">
        <v>177</v>
      </c>
      <c r="K97" s="98" t="s">
        <v>176</v>
      </c>
      <c r="L97" s="98" t="s">
        <v>160</v>
      </c>
      <c r="M97" s="98" t="s">
        <v>160</v>
      </c>
      <c r="N97" s="98" t="s">
        <v>194</v>
      </c>
      <c r="O97" s="98" t="s">
        <v>202</v>
      </c>
      <c r="P97" s="98" t="s">
        <v>188</v>
      </c>
      <c r="Q97" s="98" t="s">
        <v>160</v>
      </c>
      <c r="R97" s="98" t="s">
        <v>193</v>
      </c>
    </row>
    <row r="98" spans="1:18" ht="13.2" x14ac:dyDescent="0.25">
      <c r="A98" s="99">
        <v>44506.778202615737</v>
      </c>
      <c r="B98" s="98" t="s">
        <v>181</v>
      </c>
      <c r="C98" s="98" t="s">
        <v>170</v>
      </c>
      <c r="D98" s="98" t="s">
        <v>169</v>
      </c>
      <c r="E98" s="98" t="s">
        <v>178</v>
      </c>
      <c r="F98" s="98" t="s">
        <v>201</v>
      </c>
      <c r="G98" s="98" t="s">
        <v>167</v>
      </c>
      <c r="H98" s="98" t="s">
        <v>201</v>
      </c>
      <c r="I98" s="98" t="s">
        <v>166</v>
      </c>
      <c r="J98" s="98" t="s">
        <v>218</v>
      </c>
      <c r="K98" s="98" t="s">
        <v>176</v>
      </c>
      <c r="L98" s="98" t="s">
        <v>160</v>
      </c>
      <c r="M98" s="98" t="s">
        <v>160</v>
      </c>
      <c r="N98" s="98" t="s">
        <v>208</v>
      </c>
      <c r="O98" s="98" t="s">
        <v>260</v>
      </c>
      <c r="P98" s="98" t="s">
        <v>188</v>
      </c>
      <c r="Q98" s="98" t="s">
        <v>160</v>
      </c>
      <c r="R98" s="98" t="s">
        <v>187</v>
      </c>
    </row>
    <row r="99" spans="1:18" ht="13.2" hidden="1" x14ac:dyDescent="0.25">
      <c r="A99" s="99">
        <v>44506.791012523143</v>
      </c>
      <c r="B99" s="98" t="s">
        <v>171</v>
      </c>
      <c r="C99" s="98" t="s">
        <v>170</v>
      </c>
      <c r="D99" s="98" t="s">
        <v>212</v>
      </c>
      <c r="E99" s="98" t="s">
        <v>167</v>
      </c>
      <c r="F99" s="98" t="s">
        <v>178</v>
      </c>
      <c r="G99" s="98" t="s">
        <v>178</v>
      </c>
      <c r="H99" s="98" t="s">
        <v>167</v>
      </c>
      <c r="I99" s="98" t="s">
        <v>206</v>
      </c>
      <c r="J99" s="98" t="s">
        <v>236</v>
      </c>
      <c r="K99" s="98" t="s">
        <v>164</v>
      </c>
      <c r="L99" s="98" t="s">
        <v>160</v>
      </c>
      <c r="M99" s="98" t="s">
        <v>160</v>
      </c>
      <c r="N99" s="98" t="s">
        <v>175</v>
      </c>
      <c r="O99" s="98" t="s">
        <v>233</v>
      </c>
      <c r="P99" s="98" t="s">
        <v>188</v>
      </c>
      <c r="Q99" s="98" t="s">
        <v>160</v>
      </c>
      <c r="R99" s="98" t="s">
        <v>172</v>
      </c>
    </row>
    <row r="100" spans="1:18" ht="13.2" hidden="1" x14ac:dyDescent="0.25">
      <c r="A100" s="99">
        <v>44506.794665034722</v>
      </c>
      <c r="B100" s="98" t="s">
        <v>181</v>
      </c>
      <c r="C100" s="98" t="s">
        <v>170</v>
      </c>
      <c r="D100" s="98" t="s">
        <v>198</v>
      </c>
      <c r="E100" s="98" t="s">
        <v>168</v>
      </c>
      <c r="F100" s="98" t="s">
        <v>178</v>
      </c>
      <c r="G100" s="98" t="s">
        <v>167</v>
      </c>
      <c r="H100" s="98" t="s">
        <v>201</v>
      </c>
      <c r="I100" s="98" t="s">
        <v>259</v>
      </c>
      <c r="J100" s="98" t="s">
        <v>221</v>
      </c>
      <c r="K100" s="98" t="s">
        <v>176</v>
      </c>
      <c r="L100" s="98" t="s">
        <v>160</v>
      </c>
      <c r="M100" s="98" t="s">
        <v>160</v>
      </c>
      <c r="N100" s="98" t="s">
        <v>163</v>
      </c>
      <c r="O100" s="98" t="s">
        <v>258</v>
      </c>
      <c r="P100" s="98" t="s">
        <v>250</v>
      </c>
      <c r="Q100" s="98" t="s">
        <v>160</v>
      </c>
      <c r="R100" s="98" t="s">
        <v>172</v>
      </c>
    </row>
    <row r="101" spans="1:18" ht="13.2" x14ac:dyDescent="0.25">
      <c r="A101" s="99">
        <v>44506.795571099537</v>
      </c>
      <c r="B101" s="98" t="s">
        <v>181</v>
      </c>
      <c r="C101" s="98" t="s">
        <v>199</v>
      </c>
      <c r="D101" s="98" t="s">
        <v>207</v>
      </c>
      <c r="E101" s="98" t="s">
        <v>178</v>
      </c>
      <c r="F101" s="98" t="s">
        <v>167</v>
      </c>
      <c r="G101" s="98" t="s">
        <v>167</v>
      </c>
      <c r="H101" s="98" t="s">
        <v>167</v>
      </c>
      <c r="I101" s="98" t="s">
        <v>166</v>
      </c>
      <c r="J101" s="98" t="s">
        <v>236</v>
      </c>
      <c r="K101" s="98" t="s">
        <v>176</v>
      </c>
      <c r="L101" s="98" t="s">
        <v>160</v>
      </c>
      <c r="M101" s="98" t="s">
        <v>160</v>
      </c>
      <c r="N101" s="98" t="s">
        <v>163</v>
      </c>
      <c r="O101" s="98" t="s">
        <v>189</v>
      </c>
      <c r="P101" s="98" t="s">
        <v>173</v>
      </c>
      <c r="Q101" s="98" t="s">
        <v>160</v>
      </c>
      <c r="R101" s="98" t="s">
        <v>187</v>
      </c>
    </row>
    <row r="102" spans="1:18" ht="13.2" hidden="1" x14ac:dyDescent="0.25">
      <c r="A102" s="99">
        <v>44506.803681585647</v>
      </c>
      <c r="B102" s="98" t="s">
        <v>181</v>
      </c>
      <c r="C102" s="98" t="s">
        <v>170</v>
      </c>
      <c r="D102" s="98" t="s">
        <v>207</v>
      </c>
      <c r="E102" s="98" t="s">
        <v>179</v>
      </c>
      <c r="F102" s="98" t="s">
        <v>179</v>
      </c>
      <c r="G102" s="98" t="s">
        <v>167</v>
      </c>
      <c r="H102" s="98" t="s">
        <v>167</v>
      </c>
      <c r="I102" s="98" t="s">
        <v>206</v>
      </c>
      <c r="J102" s="98" t="s">
        <v>215</v>
      </c>
      <c r="K102" s="98" t="s">
        <v>176</v>
      </c>
      <c r="L102" s="98" t="s">
        <v>160</v>
      </c>
      <c r="M102" s="98" t="s">
        <v>160</v>
      </c>
      <c r="N102" s="98" t="s">
        <v>175</v>
      </c>
      <c r="O102" s="98" t="s">
        <v>202</v>
      </c>
      <c r="P102" s="98" t="s">
        <v>188</v>
      </c>
      <c r="Q102" s="98" t="s">
        <v>160</v>
      </c>
      <c r="R102" s="98" t="s">
        <v>187</v>
      </c>
    </row>
    <row r="103" spans="1:18" ht="13.2" x14ac:dyDescent="0.25">
      <c r="A103" s="99">
        <v>44506.855626365737</v>
      </c>
      <c r="B103" s="98" t="s">
        <v>181</v>
      </c>
      <c r="C103" s="98" t="s">
        <v>257</v>
      </c>
      <c r="D103" s="98" t="s">
        <v>207</v>
      </c>
      <c r="E103" s="98" t="s">
        <v>178</v>
      </c>
      <c r="F103" s="98" t="s">
        <v>167</v>
      </c>
      <c r="G103" s="98" t="s">
        <v>167</v>
      </c>
      <c r="H103" s="98" t="s">
        <v>167</v>
      </c>
      <c r="I103" s="98" t="s">
        <v>166</v>
      </c>
      <c r="J103" s="98" t="s">
        <v>200</v>
      </c>
      <c r="K103" s="98" t="s">
        <v>164</v>
      </c>
      <c r="L103" s="98" t="s">
        <v>160</v>
      </c>
      <c r="M103" s="98" t="s">
        <v>160</v>
      </c>
      <c r="N103" s="98" t="s">
        <v>163</v>
      </c>
      <c r="O103" s="98" t="s">
        <v>174</v>
      </c>
      <c r="P103" s="98" t="s">
        <v>188</v>
      </c>
      <c r="Q103" s="98" t="s">
        <v>160</v>
      </c>
      <c r="R103" s="98" t="s">
        <v>172</v>
      </c>
    </row>
    <row r="104" spans="1:18" ht="13.2" x14ac:dyDescent="0.25">
      <c r="A104" s="99">
        <v>44506.8907181713</v>
      </c>
      <c r="B104" s="98" t="s">
        <v>181</v>
      </c>
      <c r="C104" s="98" t="s">
        <v>170</v>
      </c>
      <c r="D104" s="98" t="s">
        <v>186</v>
      </c>
      <c r="E104" s="98" t="s">
        <v>168</v>
      </c>
      <c r="F104" s="98" t="s">
        <v>178</v>
      </c>
      <c r="G104" s="98" t="s">
        <v>178</v>
      </c>
      <c r="H104" s="98" t="s">
        <v>167</v>
      </c>
      <c r="I104" s="98" t="s">
        <v>166</v>
      </c>
      <c r="J104" s="98" t="s">
        <v>177</v>
      </c>
      <c r="K104" s="98" t="s">
        <v>164</v>
      </c>
      <c r="L104" s="98" t="s">
        <v>160</v>
      </c>
      <c r="M104" s="98" t="s">
        <v>160</v>
      </c>
      <c r="N104" s="98" t="s">
        <v>163</v>
      </c>
      <c r="O104" s="98" t="s">
        <v>202</v>
      </c>
      <c r="P104" s="98" t="s">
        <v>188</v>
      </c>
      <c r="Q104" s="98" t="s">
        <v>160</v>
      </c>
      <c r="R104" s="98" t="s">
        <v>172</v>
      </c>
    </row>
    <row r="105" spans="1:18" ht="13.2" hidden="1" x14ac:dyDescent="0.25">
      <c r="A105" s="99">
        <v>44506.895005081024</v>
      </c>
      <c r="B105" s="98" t="s">
        <v>181</v>
      </c>
      <c r="C105" s="98" t="s">
        <v>180</v>
      </c>
      <c r="D105" s="98" t="s">
        <v>186</v>
      </c>
      <c r="E105" s="98" t="s">
        <v>168</v>
      </c>
      <c r="F105" s="98" t="s">
        <v>168</v>
      </c>
      <c r="G105" s="98" t="s">
        <v>178</v>
      </c>
      <c r="H105" s="98" t="s">
        <v>167</v>
      </c>
      <c r="I105" s="98" t="s">
        <v>206</v>
      </c>
      <c r="J105" s="98" t="s">
        <v>218</v>
      </c>
      <c r="K105" s="98" t="s">
        <v>164</v>
      </c>
      <c r="L105" s="98" t="s">
        <v>184</v>
      </c>
      <c r="M105" s="98" t="s">
        <v>160</v>
      </c>
      <c r="N105" s="98" t="s">
        <v>163</v>
      </c>
      <c r="O105" s="98" t="s">
        <v>183</v>
      </c>
      <c r="P105" s="98" t="s">
        <v>188</v>
      </c>
      <c r="Q105" s="98" t="s">
        <v>160</v>
      </c>
      <c r="R105" s="98" t="s">
        <v>187</v>
      </c>
    </row>
    <row r="106" spans="1:18" ht="13.2" hidden="1" x14ac:dyDescent="0.25">
      <c r="A106" s="99">
        <v>44506.897128738427</v>
      </c>
      <c r="B106" s="98" t="s">
        <v>181</v>
      </c>
      <c r="C106" s="98" t="s">
        <v>180</v>
      </c>
      <c r="D106" s="98" t="s">
        <v>186</v>
      </c>
      <c r="E106" s="98" t="s">
        <v>178</v>
      </c>
      <c r="F106" s="98" t="s">
        <v>178</v>
      </c>
      <c r="G106" s="98" t="s">
        <v>201</v>
      </c>
      <c r="H106" s="98" t="s">
        <v>167</v>
      </c>
      <c r="I106" s="98" t="s">
        <v>206</v>
      </c>
      <c r="J106" s="98" t="s">
        <v>218</v>
      </c>
      <c r="K106" s="98" t="s">
        <v>164</v>
      </c>
      <c r="L106" s="98" t="s">
        <v>160</v>
      </c>
      <c r="M106" s="98" t="s">
        <v>160</v>
      </c>
      <c r="N106" s="98" t="s">
        <v>163</v>
      </c>
      <c r="O106" s="98" t="s">
        <v>183</v>
      </c>
      <c r="P106" s="98" t="s">
        <v>188</v>
      </c>
      <c r="Q106" s="98" t="s">
        <v>160</v>
      </c>
      <c r="R106" s="98" t="s">
        <v>187</v>
      </c>
    </row>
    <row r="107" spans="1:18" ht="13.2" hidden="1" x14ac:dyDescent="0.25">
      <c r="A107" s="99">
        <v>44506.902281423609</v>
      </c>
      <c r="B107" s="98" t="s">
        <v>181</v>
      </c>
      <c r="C107" s="98" t="s">
        <v>203</v>
      </c>
      <c r="D107" s="98" t="s">
        <v>186</v>
      </c>
      <c r="E107" s="98" t="s">
        <v>179</v>
      </c>
      <c r="F107" s="98" t="s">
        <v>178</v>
      </c>
      <c r="G107" s="98" t="s">
        <v>179</v>
      </c>
      <c r="H107" s="98" t="s">
        <v>167</v>
      </c>
      <c r="I107" s="98" t="s">
        <v>211</v>
      </c>
      <c r="J107" s="98" t="s">
        <v>200</v>
      </c>
      <c r="K107" s="98" t="s">
        <v>164</v>
      </c>
      <c r="L107" s="98" t="s">
        <v>160</v>
      </c>
      <c r="M107" s="98" t="s">
        <v>160</v>
      </c>
      <c r="N107" s="98" t="s">
        <v>163</v>
      </c>
      <c r="O107" s="98" t="s">
        <v>217</v>
      </c>
      <c r="P107" s="98" t="s">
        <v>188</v>
      </c>
      <c r="Q107" s="98" t="s">
        <v>160</v>
      </c>
      <c r="R107" s="98" t="s">
        <v>172</v>
      </c>
    </row>
    <row r="108" spans="1:18" ht="13.2" hidden="1" x14ac:dyDescent="0.25">
      <c r="A108" s="99">
        <v>44506.908017060181</v>
      </c>
      <c r="B108" s="98" t="s">
        <v>181</v>
      </c>
      <c r="C108" s="98" t="s">
        <v>170</v>
      </c>
      <c r="D108" s="98" t="s">
        <v>169</v>
      </c>
      <c r="E108" s="98" t="s">
        <v>178</v>
      </c>
      <c r="F108" s="98" t="s">
        <v>178</v>
      </c>
      <c r="G108" s="98" t="s">
        <v>201</v>
      </c>
      <c r="H108" s="98" t="s">
        <v>167</v>
      </c>
      <c r="I108" s="98" t="s">
        <v>211</v>
      </c>
      <c r="J108" s="98" t="s">
        <v>204</v>
      </c>
      <c r="K108" s="98" t="s">
        <v>176</v>
      </c>
      <c r="L108" s="98" t="s">
        <v>160</v>
      </c>
      <c r="M108" s="98" t="s">
        <v>160</v>
      </c>
      <c r="N108" s="98" t="s">
        <v>163</v>
      </c>
      <c r="O108" s="98" t="s">
        <v>174</v>
      </c>
      <c r="P108" s="98" t="s">
        <v>188</v>
      </c>
      <c r="Q108" s="98" t="s">
        <v>160</v>
      </c>
      <c r="R108" s="98" t="s">
        <v>193</v>
      </c>
    </row>
    <row r="109" spans="1:18" ht="13.2" hidden="1" x14ac:dyDescent="0.25">
      <c r="A109" s="99">
        <v>44506.934764513891</v>
      </c>
      <c r="B109" s="98" t="s">
        <v>181</v>
      </c>
      <c r="C109" s="98" t="s">
        <v>170</v>
      </c>
      <c r="D109" s="98" t="s">
        <v>212</v>
      </c>
      <c r="E109" s="98" t="s">
        <v>178</v>
      </c>
      <c r="F109" s="98" t="s">
        <v>167</v>
      </c>
      <c r="G109" s="98" t="s">
        <v>167</v>
      </c>
      <c r="H109" s="98" t="s">
        <v>167</v>
      </c>
      <c r="I109" s="98" t="s">
        <v>196</v>
      </c>
      <c r="J109" s="98" t="s">
        <v>256</v>
      </c>
      <c r="K109" s="98" t="s">
        <v>176</v>
      </c>
      <c r="L109" s="98" t="s">
        <v>160</v>
      </c>
      <c r="M109" s="98" t="s">
        <v>160</v>
      </c>
      <c r="N109" s="98" t="s">
        <v>163</v>
      </c>
      <c r="O109" s="98" t="s">
        <v>255</v>
      </c>
      <c r="P109" s="98" t="s">
        <v>182</v>
      </c>
      <c r="Q109" s="98" t="s">
        <v>160</v>
      </c>
      <c r="R109" s="98" t="s">
        <v>159</v>
      </c>
    </row>
    <row r="110" spans="1:18" ht="13.2" x14ac:dyDescent="0.25">
      <c r="A110" s="99">
        <v>44507.45879016204</v>
      </c>
      <c r="B110" s="98" t="s">
        <v>181</v>
      </c>
      <c r="C110" s="98" t="s">
        <v>199</v>
      </c>
      <c r="D110" s="98" t="s">
        <v>207</v>
      </c>
      <c r="E110" s="98" t="s">
        <v>168</v>
      </c>
      <c r="F110" s="98" t="s">
        <v>167</v>
      </c>
      <c r="G110" s="98" t="s">
        <v>167</v>
      </c>
      <c r="H110" s="98" t="s">
        <v>167</v>
      </c>
      <c r="I110" s="98" t="s">
        <v>166</v>
      </c>
      <c r="J110" s="98" t="s">
        <v>236</v>
      </c>
      <c r="K110" s="98" t="s">
        <v>176</v>
      </c>
      <c r="L110" s="98" t="s">
        <v>160</v>
      </c>
      <c r="M110" s="98" t="s">
        <v>160</v>
      </c>
      <c r="N110" s="98" t="s">
        <v>163</v>
      </c>
      <c r="O110" s="98" t="s">
        <v>189</v>
      </c>
      <c r="P110" s="98" t="s">
        <v>161</v>
      </c>
      <c r="Q110" s="98" t="s">
        <v>160</v>
      </c>
      <c r="R110" s="98" t="s">
        <v>193</v>
      </c>
    </row>
    <row r="111" spans="1:18" ht="13.2" x14ac:dyDescent="0.25">
      <c r="A111" s="99">
        <v>44507.542997974539</v>
      </c>
      <c r="B111" s="98" t="s">
        <v>181</v>
      </c>
      <c r="C111" s="98" t="s">
        <v>199</v>
      </c>
      <c r="D111" s="98" t="s">
        <v>186</v>
      </c>
      <c r="E111" s="98" t="s">
        <v>178</v>
      </c>
      <c r="F111" s="98" t="s">
        <v>167</v>
      </c>
      <c r="G111" s="98" t="s">
        <v>167</v>
      </c>
      <c r="H111" s="98" t="s">
        <v>167</v>
      </c>
      <c r="I111" s="98" t="s">
        <v>166</v>
      </c>
      <c r="J111" s="98" t="s">
        <v>177</v>
      </c>
      <c r="K111" s="98" t="s">
        <v>176</v>
      </c>
      <c r="L111" s="98" t="s">
        <v>160</v>
      </c>
      <c r="M111" s="98" t="s">
        <v>160</v>
      </c>
      <c r="N111" s="98" t="s">
        <v>163</v>
      </c>
      <c r="O111" s="98" t="s">
        <v>202</v>
      </c>
      <c r="P111" s="98" t="s">
        <v>188</v>
      </c>
      <c r="Q111" s="98" t="s">
        <v>160</v>
      </c>
      <c r="R111" s="98" t="s">
        <v>216</v>
      </c>
    </row>
    <row r="112" spans="1:18" ht="13.2" x14ac:dyDescent="0.25">
      <c r="A112" s="99">
        <v>44507.802492916671</v>
      </c>
      <c r="B112" s="98" t="s">
        <v>181</v>
      </c>
      <c r="C112" s="98" t="s">
        <v>203</v>
      </c>
      <c r="D112" s="98" t="s">
        <v>186</v>
      </c>
      <c r="E112" s="98" t="s">
        <v>168</v>
      </c>
      <c r="F112" s="98" t="s">
        <v>168</v>
      </c>
      <c r="G112" s="98" t="s">
        <v>168</v>
      </c>
      <c r="H112" s="98" t="s">
        <v>168</v>
      </c>
      <c r="I112" s="98" t="s">
        <v>166</v>
      </c>
      <c r="J112" s="98" t="s">
        <v>165</v>
      </c>
      <c r="K112" s="98" t="s">
        <v>176</v>
      </c>
      <c r="L112" s="98" t="s">
        <v>160</v>
      </c>
      <c r="M112" s="98" t="s">
        <v>160</v>
      </c>
      <c r="N112" s="98" t="s">
        <v>175</v>
      </c>
      <c r="O112" s="98" t="s">
        <v>205</v>
      </c>
      <c r="P112" s="98" t="s">
        <v>161</v>
      </c>
      <c r="Q112" s="98" t="s">
        <v>160</v>
      </c>
      <c r="R112" s="98" t="s">
        <v>247</v>
      </c>
    </row>
    <row r="113" spans="1:18" ht="13.2" x14ac:dyDescent="0.25">
      <c r="A113" s="99">
        <v>44507.849770312503</v>
      </c>
      <c r="B113" s="98" t="s">
        <v>171</v>
      </c>
      <c r="C113" s="98" t="s">
        <v>203</v>
      </c>
      <c r="D113" s="98" t="s">
        <v>186</v>
      </c>
      <c r="E113" s="98" t="s">
        <v>168</v>
      </c>
      <c r="F113" s="98" t="s">
        <v>168</v>
      </c>
      <c r="G113" s="98" t="s">
        <v>168</v>
      </c>
      <c r="H113" s="98" t="s">
        <v>168</v>
      </c>
      <c r="I113" s="98" t="s">
        <v>166</v>
      </c>
      <c r="J113" s="98" t="s">
        <v>218</v>
      </c>
      <c r="K113" s="98" t="s">
        <v>164</v>
      </c>
      <c r="L113" s="98" t="s">
        <v>184</v>
      </c>
      <c r="M113" s="98" t="s">
        <v>184</v>
      </c>
      <c r="N113" s="98" t="s">
        <v>194</v>
      </c>
      <c r="O113" s="98" t="s">
        <v>183</v>
      </c>
      <c r="P113" s="98" t="s">
        <v>188</v>
      </c>
      <c r="Q113" s="98" t="s">
        <v>160</v>
      </c>
      <c r="R113" s="98" t="s">
        <v>240</v>
      </c>
    </row>
    <row r="114" spans="1:18" ht="13.2" hidden="1" x14ac:dyDescent="0.25">
      <c r="A114" s="99">
        <v>44507.853199409721</v>
      </c>
      <c r="B114" s="98" t="s">
        <v>171</v>
      </c>
      <c r="C114" s="98" t="s">
        <v>203</v>
      </c>
      <c r="D114" s="98" t="s">
        <v>197</v>
      </c>
      <c r="E114" s="98" t="s">
        <v>178</v>
      </c>
      <c r="F114" s="98" t="s">
        <v>168</v>
      </c>
      <c r="G114" s="98" t="s">
        <v>168</v>
      </c>
      <c r="H114" s="98" t="s">
        <v>168</v>
      </c>
      <c r="I114" s="98" t="s">
        <v>191</v>
      </c>
      <c r="J114" s="98" t="s">
        <v>254</v>
      </c>
      <c r="K114" s="98" t="s">
        <v>164</v>
      </c>
      <c r="L114" s="98" t="s">
        <v>160</v>
      </c>
      <c r="M114" s="98" t="s">
        <v>160</v>
      </c>
      <c r="N114" s="98" t="s">
        <v>208</v>
      </c>
      <c r="O114" s="98" t="s">
        <v>183</v>
      </c>
      <c r="P114" s="98" t="s">
        <v>173</v>
      </c>
      <c r="Q114" s="98" t="s">
        <v>160</v>
      </c>
      <c r="R114" s="98" t="s">
        <v>172</v>
      </c>
    </row>
    <row r="115" spans="1:18" ht="13.2" hidden="1" x14ac:dyDescent="0.25">
      <c r="A115" s="99">
        <v>44507.856481724535</v>
      </c>
      <c r="B115" s="98" t="s">
        <v>181</v>
      </c>
      <c r="C115" s="98" t="s">
        <v>203</v>
      </c>
      <c r="D115" s="98" t="s">
        <v>186</v>
      </c>
      <c r="E115" s="98" t="s">
        <v>178</v>
      </c>
      <c r="F115" s="98" t="s">
        <v>168</v>
      </c>
      <c r="G115" s="98" t="s">
        <v>168</v>
      </c>
      <c r="H115" s="98" t="s">
        <v>179</v>
      </c>
      <c r="I115" s="98" t="s">
        <v>206</v>
      </c>
      <c r="J115" s="98" t="s">
        <v>246</v>
      </c>
      <c r="K115" s="98" t="s">
        <v>164</v>
      </c>
      <c r="L115" s="98" t="s">
        <v>160</v>
      </c>
      <c r="M115" s="98" t="s">
        <v>160</v>
      </c>
      <c r="N115" s="98" t="s">
        <v>175</v>
      </c>
      <c r="O115" s="98" t="s">
        <v>233</v>
      </c>
      <c r="P115" s="98" t="s">
        <v>188</v>
      </c>
      <c r="Q115" s="98" t="s">
        <v>160</v>
      </c>
      <c r="R115" s="98" t="s">
        <v>193</v>
      </c>
    </row>
    <row r="116" spans="1:18" ht="13.2" hidden="1" x14ac:dyDescent="0.25">
      <c r="A116" s="99">
        <v>44507.85823993056</v>
      </c>
      <c r="B116" s="98" t="s">
        <v>181</v>
      </c>
      <c r="C116" s="98" t="s">
        <v>180</v>
      </c>
      <c r="D116" s="98" t="s">
        <v>186</v>
      </c>
      <c r="E116" s="98" t="s">
        <v>168</v>
      </c>
      <c r="F116" s="98" t="s">
        <v>179</v>
      </c>
      <c r="G116" s="98" t="s">
        <v>167</v>
      </c>
      <c r="H116" s="98" t="s">
        <v>167</v>
      </c>
      <c r="I116" s="98" t="s">
        <v>253</v>
      </c>
      <c r="J116" s="98" t="s">
        <v>252</v>
      </c>
      <c r="K116" s="98" t="s">
        <v>176</v>
      </c>
      <c r="L116" s="98" t="s">
        <v>160</v>
      </c>
      <c r="M116" s="98" t="s">
        <v>184</v>
      </c>
      <c r="N116" s="98" t="s">
        <v>251</v>
      </c>
      <c r="O116" s="98" t="s">
        <v>229</v>
      </c>
      <c r="P116" s="98" t="s">
        <v>250</v>
      </c>
      <c r="Q116" s="98" t="s">
        <v>160</v>
      </c>
      <c r="R116" s="98" t="s">
        <v>159</v>
      </c>
    </row>
    <row r="117" spans="1:18" ht="13.2" hidden="1" x14ac:dyDescent="0.25">
      <c r="A117" s="99">
        <v>44507.86759228009</v>
      </c>
      <c r="B117" s="98" t="s">
        <v>249</v>
      </c>
      <c r="C117" s="98" t="s">
        <v>203</v>
      </c>
      <c r="D117" s="98" t="s">
        <v>197</v>
      </c>
      <c r="E117" s="98" t="s">
        <v>168</v>
      </c>
      <c r="F117" s="98" t="s">
        <v>168</v>
      </c>
      <c r="G117" s="98" t="s">
        <v>168</v>
      </c>
      <c r="H117" s="98" t="s">
        <v>168</v>
      </c>
      <c r="I117" s="98" t="s">
        <v>239</v>
      </c>
      <c r="J117" s="98" t="s">
        <v>218</v>
      </c>
      <c r="K117" s="98" t="s">
        <v>164</v>
      </c>
      <c r="L117" s="98" t="s">
        <v>160</v>
      </c>
      <c r="M117" s="98" t="s">
        <v>160</v>
      </c>
      <c r="N117" s="98" t="s">
        <v>194</v>
      </c>
      <c r="O117" s="98" t="s">
        <v>202</v>
      </c>
      <c r="P117" s="98" t="s">
        <v>161</v>
      </c>
      <c r="Q117" s="98" t="s">
        <v>160</v>
      </c>
      <c r="R117" s="98" t="s">
        <v>240</v>
      </c>
    </row>
    <row r="118" spans="1:18" ht="13.2" hidden="1" x14ac:dyDescent="0.25">
      <c r="A118" s="99">
        <v>44507.880329201391</v>
      </c>
      <c r="B118" s="98" t="s">
        <v>181</v>
      </c>
      <c r="C118" s="98" t="s">
        <v>203</v>
      </c>
      <c r="D118" s="98" t="s">
        <v>169</v>
      </c>
      <c r="E118" s="98" t="s">
        <v>168</v>
      </c>
      <c r="F118" s="98" t="s">
        <v>168</v>
      </c>
      <c r="G118" s="98" t="s">
        <v>168</v>
      </c>
      <c r="H118" s="98" t="s">
        <v>167</v>
      </c>
      <c r="I118" s="98" t="s">
        <v>239</v>
      </c>
      <c r="J118" s="98" t="s">
        <v>177</v>
      </c>
      <c r="K118" s="98" t="s">
        <v>164</v>
      </c>
      <c r="L118" s="98" t="s">
        <v>160</v>
      </c>
      <c r="M118" s="98" t="s">
        <v>160</v>
      </c>
      <c r="N118" s="98" t="s">
        <v>163</v>
      </c>
      <c r="O118" s="98" t="s">
        <v>183</v>
      </c>
      <c r="P118" s="98" t="s">
        <v>188</v>
      </c>
      <c r="Q118" s="98" t="s">
        <v>160</v>
      </c>
      <c r="R118" s="98" t="s">
        <v>172</v>
      </c>
    </row>
    <row r="119" spans="1:18" ht="13.2" x14ac:dyDescent="0.25">
      <c r="A119" s="99">
        <v>44508.412923784723</v>
      </c>
      <c r="B119" s="98" t="s">
        <v>171</v>
      </c>
      <c r="C119" s="98" t="s">
        <v>180</v>
      </c>
      <c r="D119" s="98" t="s">
        <v>186</v>
      </c>
      <c r="E119" s="98" t="s">
        <v>179</v>
      </c>
      <c r="F119" s="98" t="s">
        <v>179</v>
      </c>
      <c r="G119" s="98" t="s">
        <v>179</v>
      </c>
      <c r="H119" s="98" t="s">
        <v>168</v>
      </c>
      <c r="I119" s="98" t="s">
        <v>166</v>
      </c>
      <c r="J119" s="98" t="s">
        <v>248</v>
      </c>
      <c r="K119" s="98" t="s">
        <v>164</v>
      </c>
      <c r="L119" s="98" t="s">
        <v>160</v>
      </c>
      <c r="M119" s="98" t="s">
        <v>160</v>
      </c>
      <c r="N119" s="98" t="s">
        <v>175</v>
      </c>
      <c r="O119" s="98" t="s">
        <v>222</v>
      </c>
      <c r="P119" s="98" t="s">
        <v>161</v>
      </c>
      <c r="Q119" s="98" t="s">
        <v>160</v>
      </c>
      <c r="R119" s="98" t="s">
        <v>247</v>
      </c>
    </row>
    <row r="120" spans="1:18" ht="13.2" hidden="1" x14ac:dyDescent="0.25">
      <c r="A120" s="99">
        <v>44508.654299652779</v>
      </c>
      <c r="B120" s="98" t="s">
        <v>181</v>
      </c>
      <c r="C120" s="98" t="s">
        <v>180</v>
      </c>
      <c r="D120" s="98" t="s">
        <v>212</v>
      </c>
      <c r="E120" s="98" t="s">
        <v>179</v>
      </c>
      <c r="F120" s="98" t="s">
        <v>168</v>
      </c>
      <c r="G120" s="98" t="s">
        <v>167</v>
      </c>
      <c r="H120" s="98" t="s">
        <v>201</v>
      </c>
      <c r="I120" s="98" t="s">
        <v>196</v>
      </c>
      <c r="J120" s="98" t="s">
        <v>246</v>
      </c>
      <c r="K120" s="98" t="s">
        <v>176</v>
      </c>
      <c r="L120" s="98" t="s">
        <v>160</v>
      </c>
      <c r="M120" s="98" t="s">
        <v>160</v>
      </c>
      <c r="N120" s="98" t="s">
        <v>245</v>
      </c>
      <c r="O120" s="98" t="s">
        <v>244</v>
      </c>
      <c r="P120" s="98" t="s">
        <v>161</v>
      </c>
      <c r="Q120" s="98" t="s">
        <v>160</v>
      </c>
      <c r="R120" s="98" t="s">
        <v>240</v>
      </c>
    </row>
    <row r="121" spans="1:18" ht="13.2" hidden="1" x14ac:dyDescent="0.25">
      <c r="A121" s="99">
        <v>44508.6553728125</v>
      </c>
      <c r="B121" s="98" t="s">
        <v>181</v>
      </c>
      <c r="C121" s="98" t="s">
        <v>199</v>
      </c>
      <c r="D121" s="98" t="s">
        <v>207</v>
      </c>
      <c r="E121" s="98" t="s">
        <v>179</v>
      </c>
      <c r="F121" s="98" t="s">
        <v>179</v>
      </c>
      <c r="G121" s="98" t="s">
        <v>167</v>
      </c>
      <c r="H121" s="98" t="s">
        <v>201</v>
      </c>
      <c r="I121" s="98" t="s">
        <v>243</v>
      </c>
      <c r="J121" s="98" t="s">
        <v>234</v>
      </c>
      <c r="K121" s="98" t="s">
        <v>176</v>
      </c>
      <c r="L121" s="98" t="s">
        <v>160</v>
      </c>
      <c r="M121" s="98" t="s">
        <v>160</v>
      </c>
      <c r="N121" s="98" t="s">
        <v>242</v>
      </c>
      <c r="O121" s="98" t="s">
        <v>241</v>
      </c>
      <c r="P121" s="98" t="s">
        <v>161</v>
      </c>
      <c r="Q121" s="98" t="s">
        <v>160</v>
      </c>
      <c r="R121" s="98" t="s">
        <v>240</v>
      </c>
    </row>
    <row r="122" spans="1:18" ht="13.2" x14ac:dyDescent="0.25">
      <c r="A122" s="99">
        <v>44508.656322847222</v>
      </c>
      <c r="B122" s="98" t="s">
        <v>171</v>
      </c>
      <c r="C122" s="98" t="s">
        <v>180</v>
      </c>
      <c r="D122" s="98" t="s">
        <v>169</v>
      </c>
      <c r="E122" s="98" t="s">
        <v>168</v>
      </c>
      <c r="F122" s="98" t="s">
        <v>168</v>
      </c>
      <c r="G122" s="98" t="s">
        <v>168</v>
      </c>
      <c r="H122" s="98" t="s">
        <v>201</v>
      </c>
      <c r="I122" s="98" t="s">
        <v>166</v>
      </c>
      <c r="J122" s="98" t="s">
        <v>218</v>
      </c>
      <c r="K122" s="98" t="s">
        <v>164</v>
      </c>
      <c r="L122" s="98" t="s">
        <v>184</v>
      </c>
      <c r="M122" s="98" t="s">
        <v>184</v>
      </c>
      <c r="N122" s="98" t="s">
        <v>163</v>
      </c>
      <c r="O122" s="98" t="s">
        <v>217</v>
      </c>
      <c r="P122" s="98" t="s">
        <v>182</v>
      </c>
      <c r="Q122" s="98" t="s">
        <v>160</v>
      </c>
      <c r="R122" s="98" t="s">
        <v>230</v>
      </c>
    </row>
    <row r="123" spans="1:18" ht="13.2" x14ac:dyDescent="0.25">
      <c r="A123" s="99">
        <v>44508.666884814811</v>
      </c>
      <c r="B123" s="98" t="s">
        <v>181</v>
      </c>
      <c r="C123" s="98" t="s">
        <v>180</v>
      </c>
      <c r="D123" s="98" t="s">
        <v>186</v>
      </c>
      <c r="E123" s="98" t="s">
        <v>168</v>
      </c>
      <c r="F123" s="98" t="s">
        <v>168</v>
      </c>
      <c r="G123" s="98" t="s">
        <v>168</v>
      </c>
      <c r="H123" s="98" t="s">
        <v>167</v>
      </c>
      <c r="I123" s="98" t="s">
        <v>166</v>
      </c>
      <c r="J123" s="98" t="s">
        <v>177</v>
      </c>
      <c r="K123" s="98" t="s">
        <v>176</v>
      </c>
      <c r="L123" s="98" t="s">
        <v>160</v>
      </c>
      <c r="M123" s="98" t="s">
        <v>160</v>
      </c>
      <c r="N123" s="98" t="s">
        <v>163</v>
      </c>
      <c r="O123" s="98" t="s">
        <v>189</v>
      </c>
      <c r="P123" s="98" t="s">
        <v>173</v>
      </c>
      <c r="Q123" s="98" t="s">
        <v>160</v>
      </c>
      <c r="R123" s="98" t="s">
        <v>193</v>
      </c>
    </row>
    <row r="124" spans="1:18" ht="13.2" hidden="1" x14ac:dyDescent="0.25">
      <c r="A124" s="99">
        <v>44508.672365729166</v>
      </c>
      <c r="B124" s="98" t="s">
        <v>181</v>
      </c>
      <c r="C124" s="98" t="s">
        <v>170</v>
      </c>
      <c r="D124" s="98" t="s">
        <v>186</v>
      </c>
      <c r="E124" s="98" t="s">
        <v>167</v>
      </c>
      <c r="F124" s="98" t="s">
        <v>167</v>
      </c>
      <c r="G124" s="98" t="s">
        <v>179</v>
      </c>
      <c r="H124" s="98" t="s">
        <v>179</v>
      </c>
      <c r="I124" s="98" t="s">
        <v>239</v>
      </c>
      <c r="J124" s="98" t="s">
        <v>238</v>
      </c>
      <c r="K124" s="98" t="s">
        <v>176</v>
      </c>
      <c r="L124" s="98" t="s">
        <v>160</v>
      </c>
      <c r="M124" s="98" t="s">
        <v>160</v>
      </c>
      <c r="N124" s="98" t="s">
        <v>194</v>
      </c>
      <c r="O124" s="98" t="s">
        <v>205</v>
      </c>
      <c r="P124" s="98" t="s">
        <v>173</v>
      </c>
      <c r="Q124" s="98" t="s">
        <v>184</v>
      </c>
      <c r="R124" s="98" t="s">
        <v>172</v>
      </c>
    </row>
    <row r="125" spans="1:18" ht="13.2" x14ac:dyDescent="0.25">
      <c r="A125" s="99">
        <v>44508.677660868052</v>
      </c>
      <c r="B125" s="98" t="s">
        <v>171</v>
      </c>
      <c r="C125" s="98" t="s">
        <v>203</v>
      </c>
      <c r="D125" s="98" t="s">
        <v>186</v>
      </c>
      <c r="E125" s="98" t="s">
        <v>179</v>
      </c>
      <c r="F125" s="98" t="s">
        <v>179</v>
      </c>
      <c r="G125" s="98" t="s">
        <v>179</v>
      </c>
      <c r="H125" s="98" t="s">
        <v>179</v>
      </c>
      <c r="I125" s="98" t="s">
        <v>166</v>
      </c>
      <c r="J125" s="98" t="s">
        <v>165</v>
      </c>
      <c r="K125" s="98" t="s">
        <v>164</v>
      </c>
      <c r="L125" s="98" t="s">
        <v>160</v>
      </c>
      <c r="M125" s="98" t="s">
        <v>160</v>
      </c>
      <c r="N125" s="98" t="s">
        <v>175</v>
      </c>
      <c r="O125" s="98" t="s">
        <v>183</v>
      </c>
      <c r="P125" s="98" t="s">
        <v>161</v>
      </c>
      <c r="Q125" s="98" t="s">
        <v>160</v>
      </c>
      <c r="R125" s="98" t="s">
        <v>237</v>
      </c>
    </row>
    <row r="126" spans="1:18" ht="13.2" x14ac:dyDescent="0.25">
      <c r="A126" s="99">
        <v>44508.914737303239</v>
      </c>
      <c r="B126" s="98" t="s">
        <v>171</v>
      </c>
      <c r="C126" s="98" t="s">
        <v>199</v>
      </c>
      <c r="D126" s="98" t="s">
        <v>198</v>
      </c>
      <c r="E126" s="98" t="s">
        <v>201</v>
      </c>
      <c r="F126" s="98" t="s">
        <v>168</v>
      </c>
      <c r="G126" s="98" t="s">
        <v>167</v>
      </c>
      <c r="H126" s="98" t="s">
        <v>167</v>
      </c>
      <c r="I126" s="98" t="s">
        <v>166</v>
      </c>
      <c r="J126" s="98" t="s">
        <v>236</v>
      </c>
      <c r="K126" s="98" t="s">
        <v>164</v>
      </c>
      <c r="L126" s="98" t="s">
        <v>184</v>
      </c>
      <c r="M126" s="98" t="s">
        <v>184</v>
      </c>
      <c r="N126" s="98" t="s">
        <v>163</v>
      </c>
      <c r="O126" s="98" t="s">
        <v>183</v>
      </c>
      <c r="P126" s="98" t="s">
        <v>173</v>
      </c>
      <c r="Q126" s="98" t="s">
        <v>160</v>
      </c>
      <c r="R126" s="98" t="s">
        <v>193</v>
      </c>
    </row>
    <row r="127" spans="1:18" ht="13.2" x14ac:dyDescent="0.25">
      <c r="A127" s="99">
        <v>44509.403071840279</v>
      </c>
      <c r="B127" s="98" t="s">
        <v>181</v>
      </c>
      <c r="C127" s="98" t="s">
        <v>199</v>
      </c>
      <c r="D127" s="98" t="s">
        <v>169</v>
      </c>
      <c r="E127" s="98" t="s">
        <v>167</v>
      </c>
      <c r="F127" s="98" t="s">
        <v>179</v>
      </c>
      <c r="G127" s="98" t="s">
        <v>179</v>
      </c>
      <c r="H127" s="98" t="s">
        <v>179</v>
      </c>
      <c r="I127" s="98" t="s">
        <v>166</v>
      </c>
      <c r="J127" s="98" t="s">
        <v>235</v>
      </c>
      <c r="K127" s="98" t="s">
        <v>164</v>
      </c>
      <c r="L127" s="98" t="s">
        <v>160</v>
      </c>
      <c r="M127" s="98" t="s">
        <v>160</v>
      </c>
      <c r="N127" s="98" t="s">
        <v>163</v>
      </c>
      <c r="O127" s="98" t="s">
        <v>183</v>
      </c>
      <c r="P127" s="98" t="s">
        <v>188</v>
      </c>
      <c r="Q127" s="98" t="s">
        <v>160</v>
      </c>
      <c r="R127" s="98" t="s">
        <v>172</v>
      </c>
    </row>
    <row r="128" spans="1:18" ht="13.2" x14ac:dyDescent="0.25">
      <c r="A128" s="99">
        <v>44509.593882280096</v>
      </c>
      <c r="B128" s="98" t="s">
        <v>181</v>
      </c>
      <c r="C128" s="98" t="s">
        <v>214</v>
      </c>
      <c r="D128" s="98" t="s">
        <v>207</v>
      </c>
      <c r="E128" s="98" t="s">
        <v>178</v>
      </c>
      <c r="F128" s="98" t="s">
        <v>178</v>
      </c>
      <c r="G128" s="98" t="s">
        <v>167</v>
      </c>
      <c r="H128" s="98" t="s">
        <v>167</v>
      </c>
      <c r="I128" s="98" t="s">
        <v>166</v>
      </c>
      <c r="J128" s="98" t="s">
        <v>234</v>
      </c>
      <c r="K128" s="98" t="s">
        <v>176</v>
      </c>
      <c r="L128" s="98" t="s">
        <v>160</v>
      </c>
      <c r="M128" s="98" t="s">
        <v>160</v>
      </c>
      <c r="N128" s="98" t="s">
        <v>163</v>
      </c>
      <c r="O128" s="98" t="s">
        <v>205</v>
      </c>
      <c r="P128" s="98" t="s">
        <v>188</v>
      </c>
      <c r="Q128" s="98" t="s">
        <v>160</v>
      </c>
      <c r="R128" s="98" t="s">
        <v>172</v>
      </c>
    </row>
    <row r="129" spans="1:18" ht="13.2" x14ac:dyDescent="0.25">
      <c r="A129" s="99">
        <v>44509.596923437501</v>
      </c>
      <c r="B129" s="98" t="s">
        <v>181</v>
      </c>
      <c r="C129" s="98" t="s">
        <v>199</v>
      </c>
      <c r="D129" s="98" t="s">
        <v>212</v>
      </c>
      <c r="E129" s="98" t="s">
        <v>168</v>
      </c>
      <c r="F129" s="98" t="s">
        <v>168</v>
      </c>
      <c r="G129" s="98" t="s">
        <v>167</v>
      </c>
      <c r="H129" s="98" t="s">
        <v>167</v>
      </c>
      <c r="I129" s="98" t="s">
        <v>166</v>
      </c>
      <c r="J129" s="98" t="s">
        <v>165</v>
      </c>
      <c r="K129" s="98" t="s">
        <v>176</v>
      </c>
      <c r="L129" s="98" t="s">
        <v>160</v>
      </c>
      <c r="M129" s="98" t="s">
        <v>160</v>
      </c>
      <c r="N129" s="98" t="s">
        <v>163</v>
      </c>
      <c r="O129" s="98" t="s">
        <v>202</v>
      </c>
      <c r="P129" s="98" t="s">
        <v>188</v>
      </c>
      <c r="Q129" s="98" t="s">
        <v>160</v>
      </c>
      <c r="R129" s="98" t="s">
        <v>193</v>
      </c>
    </row>
    <row r="130" spans="1:18" ht="13.2" x14ac:dyDescent="0.25">
      <c r="A130" s="99">
        <v>44509.598684583332</v>
      </c>
      <c r="B130" s="98" t="s">
        <v>181</v>
      </c>
      <c r="C130" s="98" t="s">
        <v>180</v>
      </c>
      <c r="D130" s="98" t="s">
        <v>186</v>
      </c>
      <c r="E130" s="98" t="s">
        <v>179</v>
      </c>
      <c r="F130" s="98" t="s">
        <v>179</v>
      </c>
      <c r="G130" s="98" t="s">
        <v>179</v>
      </c>
      <c r="H130" s="98" t="s">
        <v>179</v>
      </c>
      <c r="I130" s="98" t="s">
        <v>166</v>
      </c>
      <c r="J130" s="98" t="s">
        <v>177</v>
      </c>
      <c r="K130" s="98" t="s">
        <v>176</v>
      </c>
      <c r="L130" s="98" t="s">
        <v>160</v>
      </c>
      <c r="M130" s="98" t="s">
        <v>160</v>
      </c>
      <c r="N130" s="98" t="s">
        <v>223</v>
      </c>
      <c r="O130" s="98" t="s">
        <v>233</v>
      </c>
      <c r="P130" s="98" t="s">
        <v>188</v>
      </c>
      <c r="Q130" s="98" t="s">
        <v>160</v>
      </c>
      <c r="R130" s="98" t="s">
        <v>193</v>
      </c>
    </row>
    <row r="131" spans="1:18" ht="13.2" hidden="1" x14ac:dyDescent="0.25">
      <c r="A131" s="99">
        <v>44509.638677407405</v>
      </c>
      <c r="B131" s="98" t="s">
        <v>181</v>
      </c>
      <c r="C131" s="98" t="s">
        <v>180</v>
      </c>
      <c r="D131" s="98" t="s">
        <v>169</v>
      </c>
      <c r="E131" s="98" t="s">
        <v>179</v>
      </c>
      <c r="F131" s="98" t="s">
        <v>201</v>
      </c>
      <c r="G131" s="98" t="s">
        <v>201</v>
      </c>
      <c r="H131" s="98" t="s">
        <v>167</v>
      </c>
      <c r="I131" s="98" t="s">
        <v>206</v>
      </c>
      <c r="J131" s="98" t="s">
        <v>227</v>
      </c>
      <c r="K131" s="98" t="s">
        <v>164</v>
      </c>
      <c r="L131" s="98" t="s">
        <v>160</v>
      </c>
      <c r="M131" s="98" t="s">
        <v>160</v>
      </c>
      <c r="N131" s="98" t="s">
        <v>163</v>
      </c>
      <c r="O131" s="98" t="s">
        <v>232</v>
      </c>
      <c r="P131" s="98" t="s">
        <v>231</v>
      </c>
      <c r="Q131" s="98" t="s">
        <v>160</v>
      </c>
      <c r="R131" s="98" t="s">
        <v>230</v>
      </c>
    </row>
    <row r="132" spans="1:18" ht="13.2" hidden="1" x14ac:dyDescent="0.25">
      <c r="A132" s="99">
        <v>44509.652729629626</v>
      </c>
      <c r="B132" s="98" t="s">
        <v>181</v>
      </c>
      <c r="C132" s="98" t="s">
        <v>180</v>
      </c>
      <c r="D132" s="98" t="s">
        <v>169</v>
      </c>
      <c r="E132" s="98" t="s">
        <v>168</v>
      </c>
      <c r="F132" s="98" t="s">
        <v>168</v>
      </c>
      <c r="G132" s="98" t="s">
        <v>167</v>
      </c>
      <c r="H132" s="98" t="s">
        <v>167</v>
      </c>
      <c r="I132" s="98" t="s">
        <v>211</v>
      </c>
      <c r="J132" s="98" t="s">
        <v>221</v>
      </c>
      <c r="K132" s="98" t="s">
        <v>164</v>
      </c>
      <c r="L132" s="98" t="s">
        <v>160</v>
      </c>
      <c r="M132" s="98" t="s">
        <v>160</v>
      </c>
      <c r="N132" s="98" t="s">
        <v>208</v>
      </c>
      <c r="O132" s="98" t="s">
        <v>229</v>
      </c>
      <c r="P132" s="98" t="s">
        <v>161</v>
      </c>
      <c r="Q132" s="98" t="s">
        <v>160</v>
      </c>
      <c r="R132" s="98" t="s">
        <v>228</v>
      </c>
    </row>
    <row r="133" spans="1:18" ht="13.2" x14ac:dyDescent="0.25">
      <c r="A133" s="99">
        <v>44509.671492974536</v>
      </c>
      <c r="B133" s="98" t="s">
        <v>181</v>
      </c>
      <c r="C133" s="98" t="s">
        <v>180</v>
      </c>
      <c r="D133" s="98" t="s">
        <v>186</v>
      </c>
      <c r="E133" s="98" t="s">
        <v>179</v>
      </c>
      <c r="F133" s="98" t="s">
        <v>179</v>
      </c>
      <c r="G133" s="98" t="s">
        <v>179</v>
      </c>
      <c r="H133" s="98" t="s">
        <v>179</v>
      </c>
      <c r="I133" s="98" t="s">
        <v>166</v>
      </c>
      <c r="J133" s="98" t="s">
        <v>227</v>
      </c>
      <c r="K133" s="98" t="s">
        <v>176</v>
      </c>
      <c r="L133" s="98" t="s">
        <v>160</v>
      </c>
      <c r="M133" s="98" t="s">
        <v>160</v>
      </c>
      <c r="N133" s="98" t="s">
        <v>163</v>
      </c>
      <c r="O133" s="98" t="s">
        <v>226</v>
      </c>
      <c r="P133" s="98" t="s">
        <v>182</v>
      </c>
      <c r="Q133" s="98" t="s">
        <v>160</v>
      </c>
      <c r="R133" s="98" t="s">
        <v>172</v>
      </c>
    </row>
    <row r="134" spans="1:18" ht="13.2" hidden="1" x14ac:dyDescent="0.25">
      <c r="A134" s="99">
        <v>44516.897846168984</v>
      </c>
      <c r="B134" s="98" t="s">
        <v>181</v>
      </c>
      <c r="C134" s="98" t="s">
        <v>199</v>
      </c>
      <c r="D134" s="98" t="s">
        <v>186</v>
      </c>
      <c r="E134" s="98" t="s">
        <v>178</v>
      </c>
      <c r="F134" s="98" t="s">
        <v>179</v>
      </c>
      <c r="G134" s="98" t="s">
        <v>178</v>
      </c>
      <c r="H134" s="98" t="s">
        <v>178</v>
      </c>
      <c r="I134" s="98" t="s">
        <v>225</v>
      </c>
      <c r="J134" s="98" t="s">
        <v>224</v>
      </c>
      <c r="K134" s="98" t="s">
        <v>164</v>
      </c>
      <c r="L134" s="98" t="s">
        <v>184</v>
      </c>
      <c r="M134" s="98" t="s">
        <v>160</v>
      </c>
      <c r="N134" s="98" t="s">
        <v>223</v>
      </c>
      <c r="O134" s="98" t="s">
        <v>222</v>
      </c>
      <c r="P134" s="98" t="s">
        <v>161</v>
      </c>
      <c r="Q134" s="98" t="s">
        <v>160</v>
      </c>
      <c r="R134" s="98" t="s">
        <v>172</v>
      </c>
    </row>
    <row r="135" spans="1:18" ht="13.2" hidden="1" x14ac:dyDescent="0.25">
      <c r="A135" s="99">
        <v>44517.62934053241</v>
      </c>
      <c r="B135" s="98" t="s">
        <v>181</v>
      </c>
      <c r="C135" s="98" t="s">
        <v>170</v>
      </c>
      <c r="D135" s="98" t="s">
        <v>207</v>
      </c>
      <c r="E135" s="98" t="s">
        <v>168</v>
      </c>
      <c r="F135" s="98" t="s">
        <v>178</v>
      </c>
      <c r="G135" s="98" t="s">
        <v>167</v>
      </c>
      <c r="H135" s="98" t="s">
        <v>201</v>
      </c>
      <c r="I135" s="98" t="s">
        <v>206</v>
      </c>
      <c r="J135" s="98" t="s">
        <v>221</v>
      </c>
      <c r="K135" s="98" t="s">
        <v>176</v>
      </c>
      <c r="L135" s="98" t="s">
        <v>160</v>
      </c>
      <c r="M135" s="98" t="s">
        <v>160</v>
      </c>
      <c r="N135" s="98" t="s">
        <v>163</v>
      </c>
      <c r="O135" s="98" t="s">
        <v>220</v>
      </c>
      <c r="P135" s="98" t="s">
        <v>219</v>
      </c>
      <c r="Q135" s="98" t="s">
        <v>160</v>
      </c>
      <c r="R135" s="98" t="s">
        <v>187</v>
      </c>
    </row>
    <row r="136" spans="1:18" ht="13.2" x14ac:dyDescent="0.25">
      <c r="A136" s="99">
        <v>44517.686683518521</v>
      </c>
      <c r="B136" s="98" t="s">
        <v>181</v>
      </c>
      <c r="C136" s="98" t="s">
        <v>170</v>
      </c>
      <c r="D136" s="98" t="s">
        <v>212</v>
      </c>
      <c r="E136" s="98" t="s">
        <v>178</v>
      </c>
      <c r="F136" s="98" t="s">
        <v>179</v>
      </c>
      <c r="G136" s="98" t="s">
        <v>167</v>
      </c>
      <c r="H136" s="98" t="s">
        <v>201</v>
      </c>
      <c r="I136" s="98" t="s">
        <v>166</v>
      </c>
      <c r="J136" s="98" t="s">
        <v>185</v>
      </c>
      <c r="K136" s="98" t="s">
        <v>176</v>
      </c>
      <c r="L136" s="98" t="s">
        <v>184</v>
      </c>
      <c r="M136" s="98" t="s">
        <v>184</v>
      </c>
      <c r="N136" s="98" t="s">
        <v>194</v>
      </c>
      <c r="O136" s="98" t="s">
        <v>202</v>
      </c>
      <c r="P136" s="98" t="s">
        <v>173</v>
      </c>
      <c r="Q136" s="98" t="s">
        <v>160</v>
      </c>
      <c r="R136" s="98" t="s">
        <v>187</v>
      </c>
    </row>
    <row r="137" spans="1:18" ht="13.2" x14ac:dyDescent="0.25">
      <c r="A137" s="99">
        <v>44517.690204212966</v>
      </c>
      <c r="B137" s="98" t="s">
        <v>181</v>
      </c>
      <c r="C137" s="98" t="s">
        <v>170</v>
      </c>
      <c r="D137" s="98" t="s">
        <v>207</v>
      </c>
      <c r="E137" s="98" t="s">
        <v>167</v>
      </c>
      <c r="F137" s="98" t="s">
        <v>167</v>
      </c>
      <c r="G137" s="98" t="s">
        <v>167</v>
      </c>
      <c r="H137" s="98" t="s">
        <v>167</v>
      </c>
      <c r="I137" s="98" t="s">
        <v>166</v>
      </c>
      <c r="J137" s="98" t="s">
        <v>218</v>
      </c>
      <c r="K137" s="98" t="s">
        <v>176</v>
      </c>
      <c r="L137" s="98" t="s">
        <v>160</v>
      </c>
      <c r="M137" s="98" t="s">
        <v>160</v>
      </c>
      <c r="N137" s="98" t="s">
        <v>163</v>
      </c>
      <c r="O137" s="98" t="s">
        <v>217</v>
      </c>
      <c r="P137" s="98" t="s">
        <v>173</v>
      </c>
      <c r="Q137" s="98" t="s">
        <v>160</v>
      </c>
      <c r="R137" s="98" t="s">
        <v>216</v>
      </c>
    </row>
    <row r="138" spans="1:18" ht="13.2" x14ac:dyDescent="0.25">
      <c r="A138" s="99">
        <v>44517.704066620368</v>
      </c>
      <c r="B138" s="98" t="s">
        <v>181</v>
      </c>
      <c r="C138" s="98" t="s">
        <v>199</v>
      </c>
      <c r="D138" s="98" t="s">
        <v>207</v>
      </c>
      <c r="E138" s="98" t="s">
        <v>179</v>
      </c>
      <c r="F138" s="98" t="s">
        <v>201</v>
      </c>
      <c r="G138" s="98" t="s">
        <v>179</v>
      </c>
      <c r="H138" s="98" t="s">
        <v>167</v>
      </c>
      <c r="I138" s="98" t="s">
        <v>166</v>
      </c>
      <c r="J138" s="98" t="s">
        <v>215</v>
      </c>
      <c r="K138" s="98" t="s">
        <v>176</v>
      </c>
      <c r="L138" s="98" t="s">
        <v>160</v>
      </c>
      <c r="M138" s="98" t="s">
        <v>160</v>
      </c>
      <c r="N138" s="98" t="s">
        <v>163</v>
      </c>
      <c r="O138" s="98" t="s">
        <v>174</v>
      </c>
      <c r="P138" s="98" t="s">
        <v>182</v>
      </c>
      <c r="Q138" s="98" t="s">
        <v>160</v>
      </c>
      <c r="R138" s="98" t="s">
        <v>172</v>
      </c>
    </row>
    <row r="139" spans="1:18" ht="13.2" x14ac:dyDescent="0.25">
      <c r="A139" s="99">
        <v>44517.735538773151</v>
      </c>
      <c r="B139" s="98" t="s">
        <v>181</v>
      </c>
      <c r="C139" s="98" t="s">
        <v>214</v>
      </c>
      <c r="D139" s="98" t="s">
        <v>207</v>
      </c>
      <c r="E139" s="98" t="s">
        <v>178</v>
      </c>
      <c r="F139" s="98" t="s">
        <v>178</v>
      </c>
      <c r="G139" s="98" t="s">
        <v>178</v>
      </c>
      <c r="H139" s="98" t="s">
        <v>178</v>
      </c>
      <c r="I139" s="98" t="s">
        <v>166</v>
      </c>
      <c r="J139" s="98" t="s">
        <v>213</v>
      </c>
      <c r="K139" s="98" t="s">
        <v>176</v>
      </c>
      <c r="L139" s="98" t="s">
        <v>160</v>
      </c>
      <c r="M139" s="98" t="s">
        <v>160</v>
      </c>
      <c r="N139" s="98" t="s">
        <v>163</v>
      </c>
      <c r="O139" s="98" t="s">
        <v>210</v>
      </c>
      <c r="P139" s="98" t="s">
        <v>188</v>
      </c>
      <c r="Q139" s="98" t="s">
        <v>160</v>
      </c>
      <c r="R139" s="98" t="s">
        <v>172</v>
      </c>
    </row>
    <row r="140" spans="1:18" ht="13.2" hidden="1" x14ac:dyDescent="0.25">
      <c r="A140" s="99">
        <v>44517.741108796297</v>
      </c>
      <c r="B140" s="98" t="s">
        <v>181</v>
      </c>
      <c r="C140" s="98" t="s">
        <v>180</v>
      </c>
      <c r="D140" s="98" t="s">
        <v>212</v>
      </c>
      <c r="E140" s="98" t="s">
        <v>178</v>
      </c>
      <c r="F140" s="98" t="s">
        <v>179</v>
      </c>
      <c r="G140" s="98" t="s">
        <v>167</v>
      </c>
      <c r="H140" s="98" t="s">
        <v>167</v>
      </c>
      <c r="I140" s="98" t="s">
        <v>211</v>
      </c>
      <c r="J140" s="98" t="s">
        <v>177</v>
      </c>
      <c r="K140" s="98" t="s">
        <v>164</v>
      </c>
      <c r="L140" s="98" t="s">
        <v>160</v>
      </c>
      <c r="M140" s="98" t="s">
        <v>160</v>
      </c>
      <c r="N140" s="98" t="s">
        <v>163</v>
      </c>
      <c r="O140" s="98" t="s">
        <v>210</v>
      </c>
      <c r="P140" s="98" t="s">
        <v>173</v>
      </c>
      <c r="Q140" s="98" t="s">
        <v>160</v>
      </c>
      <c r="R140" s="98" t="s">
        <v>209</v>
      </c>
    </row>
    <row r="141" spans="1:18" ht="13.2" hidden="1" x14ac:dyDescent="0.25">
      <c r="A141" s="99">
        <v>44517.752450960645</v>
      </c>
      <c r="B141" s="98" t="s">
        <v>181</v>
      </c>
      <c r="C141" s="98" t="s">
        <v>199</v>
      </c>
      <c r="D141" s="98" t="s">
        <v>169</v>
      </c>
      <c r="E141" s="98" t="s">
        <v>179</v>
      </c>
      <c r="F141" s="98" t="s">
        <v>167</v>
      </c>
      <c r="G141" s="98" t="s">
        <v>167</v>
      </c>
      <c r="H141" s="98" t="s">
        <v>201</v>
      </c>
      <c r="I141" s="98" t="s">
        <v>191</v>
      </c>
      <c r="J141" s="98" t="s">
        <v>177</v>
      </c>
      <c r="K141" s="98" t="s">
        <v>176</v>
      </c>
      <c r="L141" s="98" t="s">
        <v>160</v>
      </c>
      <c r="M141" s="98" t="s">
        <v>160</v>
      </c>
      <c r="N141" s="98" t="s">
        <v>175</v>
      </c>
      <c r="O141" s="98" t="s">
        <v>174</v>
      </c>
      <c r="P141" s="98" t="s">
        <v>173</v>
      </c>
      <c r="Q141" s="98" t="s">
        <v>160</v>
      </c>
      <c r="R141" s="98" t="s">
        <v>187</v>
      </c>
    </row>
    <row r="142" spans="1:18" ht="13.2" x14ac:dyDescent="0.25">
      <c r="A142" s="99">
        <v>44517.819681550929</v>
      </c>
      <c r="B142" s="98" t="s">
        <v>181</v>
      </c>
      <c r="C142" s="98" t="s">
        <v>199</v>
      </c>
      <c r="D142" s="98" t="s">
        <v>198</v>
      </c>
      <c r="E142" s="98" t="s">
        <v>178</v>
      </c>
      <c r="F142" s="98" t="s">
        <v>178</v>
      </c>
      <c r="G142" s="98" t="s">
        <v>201</v>
      </c>
      <c r="H142" s="98" t="s">
        <v>167</v>
      </c>
      <c r="I142" s="98" t="s">
        <v>166</v>
      </c>
      <c r="J142" s="98" t="s">
        <v>177</v>
      </c>
      <c r="K142" s="98" t="s">
        <v>164</v>
      </c>
      <c r="L142" s="98" t="s">
        <v>160</v>
      </c>
      <c r="M142" s="98" t="s">
        <v>160</v>
      </c>
      <c r="N142" s="98" t="s">
        <v>208</v>
      </c>
      <c r="O142" s="98" t="s">
        <v>202</v>
      </c>
      <c r="P142" s="98" t="s">
        <v>188</v>
      </c>
      <c r="Q142" s="98" t="s">
        <v>160</v>
      </c>
      <c r="R142" s="98" t="s">
        <v>187</v>
      </c>
    </row>
    <row r="143" spans="1:18" ht="13.2" hidden="1" x14ac:dyDescent="0.25">
      <c r="A143" s="99">
        <v>44530.810263831023</v>
      </c>
      <c r="B143" s="98" t="s">
        <v>171</v>
      </c>
      <c r="C143" s="98" t="s">
        <v>199</v>
      </c>
      <c r="D143" s="98" t="s">
        <v>207</v>
      </c>
      <c r="E143" s="98" t="s">
        <v>178</v>
      </c>
      <c r="F143" s="98" t="s">
        <v>178</v>
      </c>
      <c r="G143" s="98" t="s">
        <v>178</v>
      </c>
      <c r="H143" s="98" t="s">
        <v>201</v>
      </c>
      <c r="I143" s="98" t="s">
        <v>206</v>
      </c>
      <c r="J143" s="98" t="s">
        <v>177</v>
      </c>
      <c r="K143" s="98" t="s">
        <v>164</v>
      </c>
      <c r="L143" s="98" t="s">
        <v>160</v>
      </c>
      <c r="M143" s="98" t="s">
        <v>160</v>
      </c>
      <c r="N143" s="98" t="s">
        <v>163</v>
      </c>
      <c r="O143" s="98" t="s">
        <v>189</v>
      </c>
      <c r="P143" s="98" t="s">
        <v>188</v>
      </c>
      <c r="Q143" s="98" t="s">
        <v>160</v>
      </c>
      <c r="R143" s="98" t="s">
        <v>172</v>
      </c>
    </row>
    <row r="144" spans="1:18" ht="13.2" hidden="1" x14ac:dyDescent="0.25">
      <c r="A144" s="99">
        <v>44530.822056597222</v>
      </c>
      <c r="B144" s="98" t="s">
        <v>181</v>
      </c>
      <c r="C144" s="98" t="s">
        <v>170</v>
      </c>
      <c r="D144" s="98" t="s">
        <v>186</v>
      </c>
      <c r="E144" s="98" t="s">
        <v>179</v>
      </c>
      <c r="F144" s="98" t="s">
        <v>201</v>
      </c>
      <c r="G144" s="98" t="s">
        <v>179</v>
      </c>
      <c r="H144" s="98" t="s">
        <v>167</v>
      </c>
      <c r="I144" s="98" t="s">
        <v>206</v>
      </c>
      <c r="J144" s="98" t="s">
        <v>190</v>
      </c>
      <c r="K144" s="98" t="s">
        <v>176</v>
      </c>
      <c r="L144" s="98" t="s">
        <v>160</v>
      </c>
      <c r="M144" s="98" t="s">
        <v>160</v>
      </c>
      <c r="N144" s="98" t="s">
        <v>175</v>
      </c>
      <c r="O144" s="98" t="s">
        <v>205</v>
      </c>
      <c r="P144" s="98" t="s">
        <v>188</v>
      </c>
      <c r="Q144" s="98" t="s">
        <v>160</v>
      </c>
      <c r="R144" s="98" t="s">
        <v>172</v>
      </c>
    </row>
    <row r="145" spans="1:18" ht="13.2" hidden="1" x14ac:dyDescent="0.25">
      <c r="A145" s="99">
        <v>44531.416160266206</v>
      </c>
      <c r="B145" s="98" t="s">
        <v>181</v>
      </c>
      <c r="C145" s="98" t="s">
        <v>180</v>
      </c>
      <c r="D145" s="98" t="s">
        <v>169</v>
      </c>
      <c r="E145" s="98" t="s">
        <v>179</v>
      </c>
      <c r="F145" s="98" t="s">
        <v>168</v>
      </c>
      <c r="G145" s="98" t="s">
        <v>179</v>
      </c>
      <c r="H145" s="98" t="s">
        <v>201</v>
      </c>
      <c r="I145" s="98" t="s">
        <v>196</v>
      </c>
      <c r="J145" s="98" t="s">
        <v>204</v>
      </c>
      <c r="K145" s="98" t="s">
        <v>176</v>
      </c>
      <c r="L145" s="98" t="s">
        <v>160</v>
      </c>
      <c r="M145" s="98" t="s">
        <v>160</v>
      </c>
      <c r="N145" s="98" t="s">
        <v>163</v>
      </c>
      <c r="O145" s="98" t="s">
        <v>183</v>
      </c>
      <c r="P145" s="98" t="s">
        <v>188</v>
      </c>
      <c r="Q145" s="98" t="s">
        <v>160</v>
      </c>
      <c r="R145" s="98" t="s">
        <v>172</v>
      </c>
    </row>
    <row r="146" spans="1:18" ht="13.2" x14ac:dyDescent="0.25">
      <c r="A146" s="99">
        <v>44531.417322384259</v>
      </c>
      <c r="B146" s="98" t="s">
        <v>181</v>
      </c>
      <c r="C146" s="98" t="s">
        <v>203</v>
      </c>
      <c r="D146" s="98" t="s">
        <v>186</v>
      </c>
      <c r="E146" s="98" t="s">
        <v>168</v>
      </c>
      <c r="F146" s="98" t="s">
        <v>168</v>
      </c>
      <c r="G146" s="98" t="s">
        <v>167</v>
      </c>
      <c r="H146" s="98" t="s">
        <v>167</v>
      </c>
      <c r="I146" s="98" t="s">
        <v>166</v>
      </c>
      <c r="J146" s="98" t="s">
        <v>185</v>
      </c>
      <c r="K146" s="98" t="s">
        <v>176</v>
      </c>
      <c r="L146" s="98" t="s">
        <v>160</v>
      </c>
      <c r="M146" s="98" t="s">
        <v>160</v>
      </c>
      <c r="N146" s="98" t="s">
        <v>163</v>
      </c>
      <c r="O146" s="98" t="s">
        <v>202</v>
      </c>
      <c r="P146" s="98" t="s">
        <v>173</v>
      </c>
      <c r="Q146" s="98" t="s">
        <v>160</v>
      </c>
      <c r="R146" s="98" t="s">
        <v>172</v>
      </c>
    </row>
    <row r="147" spans="1:18" ht="13.2" hidden="1" x14ac:dyDescent="0.25">
      <c r="A147" s="99">
        <v>44531.419928055555</v>
      </c>
      <c r="B147" s="98" t="s">
        <v>181</v>
      </c>
      <c r="C147" s="98" t="s">
        <v>180</v>
      </c>
      <c r="D147" s="98" t="s">
        <v>186</v>
      </c>
      <c r="E147" s="98" t="s">
        <v>168</v>
      </c>
      <c r="F147" s="98" t="s">
        <v>168</v>
      </c>
      <c r="G147" s="98" t="s">
        <v>168</v>
      </c>
      <c r="H147" s="98" t="s">
        <v>201</v>
      </c>
      <c r="I147" s="98" t="s">
        <v>191</v>
      </c>
      <c r="J147" s="98" t="s">
        <v>200</v>
      </c>
      <c r="K147" s="98" t="s">
        <v>164</v>
      </c>
      <c r="L147" s="98" t="s">
        <v>160</v>
      </c>
      <c r="M147" s="98" t="s">
        <v>160</v>
      </c>
      <c r="N147" s="98" t="s">
        <v>163</v>
      </c>
      <c r="O147" s="98" t="s">
        <v>189</v>
      </c>
      <c r="P147" s="98" t="s">
        <v>182</v>
      </c>
      <c r="Q147" s="98" t="s">
        <v>160</v>
      </c>
      <c r="R147" s="98" t="s">
        <v>172</v>
      </c>
    </row>
    <row r="148" spans="1:18" ht="13.2" x14ac:dyDescent="0.25">
      <c r="A148" s="99">
        <v>44531.420474814819</v>
      </c>
      <c r="B148" s="98" t="s">
        <v>181</v>
      </c>
      <c r="C148" s="98" t="s">
        <v>199</v>
      </c>
      <c r="D148" s="98" t="s">
        <v>198</v>
      </c>
      <c r="E148" s="98" t="s">
        <v>167</v>
      </c>
      <c r="F148" s="98" t="s">
        <v>167</v>
      </c>
      <c r="G148" s="98" t="s">
        <v>167</v>
      </c>
      <c r="H148" s="98" t="s">
        <v>167</v>
      </c>
      <c r="I148" s="98" t="s">
        <v>166</v>
      </c>
      <c r="J148" s="98" t="s">
        <v>185</v>
      </c>
      <c r="K148" s="98" t="s">
        <v>176</v>
      </c>
      <c r="L148" s="98" t="s">
        <v>160</v>
      </c>
      <c r="M148" s="98" t="s">
        <v>184</v>
      </c>
      <c r="N148" s="98" t="s">
        <v>163</v>
      </c>
      <c r="O148" s="98" t="s">
        <v>183</v>
      </c>
      <c r="P148" s="98" t="s">
        <v>188</v>
      </c>
      <c r="Q148" s="98" t="s">
        <v>160</v>
      </c>
      <c r="R148" s="98" t="s">
        <v>187</v>
      </c>
    </row>
    <row r="149" spans="1:18" ht="13.2" hidden="1" x14ac:dyDescent="0.25">
      <c r="A149" s="99">
        <v>44531.421427604168</v>
      </c>
      <c r="B149" s="98" t="s">
        <v>181</v>
      </c>
      <c r="C149" s="98" t="s">
        <v>180</v>
      </c>
      <c r="D149" s="98" t="s">
        <v>197</v>
      </c>
      <c r="E149" s="98" t="s">
        <v>178</v>
      </c>
      <c r="F149" s="98" t="s">
        <v>178</v>
      </c>
      <c r="G149" s="98" t="s">
        <v>178</v>
      </c>
      <c r="H149" s="98" t="s">
        <v>178</v>
      </c>
      <c r="I149" s="98" t="s">
        <v>196</v>
      </c>
      <c r="J149" s="98" t="s">
        <v>195</v>
      </c>
      <c r="K149" s="98" t="s">
        <v>176</v>
      </c>
      <c r="L149" s="98" t="s">
        <v>160</v>
      </c>
      <c r="M149" s="98" t="s">
        <v>160</v>
      </c>
      <c r="N149" s="98" t="s">
        <v>194</v>
      </c>
      <c r="O149" s="98" t="s">
        <v>189</v>
      </c>
      <c r="P149" s="98" t="s">
        <v>188</v>
      </c>
      <c r="Q149" s="98" t="s">
        <v>160</v>
      </c>
      <c r="R149" s="98" t="s">
        <v>193</v>
      </c>
    </row>
    <row r="150" spans="1:18" ht="13.2" x14ac:dyDescent="0.25">
      <c r="A150" s="99">
        <v>44531.421568344907</v>
      </c>
      <c r="B150" s="98" t="s">
        <v>181</v>
      </c>
      <c r="C150" s="98" t="s">
        <v>180</v>
      </c>
      <c r="D150" s="98" t="s">
        <v>169</v>
      </c>
      <c r="E150" s="98" t="s">
        <v>168</v>
      </c>
      <c r="F150" s="98" t="s">
        <v>179</v>
      </c>
      <c r="G150" s="98" t="s">
        <v>179</v>
      </c>
      <c r="H150" s="98" t="s">
        <v>179</v>
      </c>
      <c r="I150" s="98" t="s">
        <v>166</v>
      </c>
      <c r="J150" s="98" t="s">
        <v>165</v>
      </c>
      <c r="K150" s="98" t="s">
        <v>164</v>
      </c>
      <c r="L150" s="98" t="s">
        <v>160</v>
      </c>
      <c r="M150" s="98" t="s">
        <v>160</v>
      </c>
      <c r="N150" s="98" t="s">
        <v>163</v>
      </c>
      <c r="O150" s="98" t="s">
        <v>192</v>
      </c>
      <c r="P150" s="98" t="s">
        <v>188</v>
      </c>
      <c r="Q150" s="98" t="s">
        <v>160</v>
      </c>
      <c r="R150" s="98" t="s">
        <v>187</v>
      </c>
    </row>
    <row r="151" spans="1:18" ht="13.2" hidden="1" x14ac:dyDescent="0.25">
      <c r="A151" s="99">
        <v>44531.422066527783</v>
      </c>
      <c r="B151" s="98" t="s">
        <v>171</v>
      </c>
      <c r="C151" s="98" t="s">
        <v>180</v>
      </c>
      <c r="D151" s="98" t="s">
        <v>169</v>
      </c>
      <c r="E151" s="98" t="s">
        <v>178</v>
      </c>
      <c r="F151" s="98" t="s">
        <v>178</v>
      </c>
      <c r="G151" s="98" t="s">
        <v>178</v>
      </c>
      <c r="H151" s="98" t="s">
        <v>179</v>
      </c>
      <c r="I151" s="98" t="s">
        <v>191</v>
      </c>
      <c r="J151" s="98" t="s">
        <v>190</v>
      </c>
      <c r="K151" s="98" t="s">
        <v>164</v>
      </c>
      <c r="L151" s="98" t="s">
        <v>160</v>
      </c>
      <c r="M151" s="98" t="s">
        <v>160</v>
      </c>
      <c r="N151" s="98" t="s">
        <v>163</v>
      </c>
      <c r="O151" s="98" t="s">
        <v>189</v>
      </c>
      <c r="P151" s="98" t="s">
        <v>188</v>
      </c>
      <c r="Q151" s="98" t="s">
        <v>160</v>
      </c>
      <c r="R151" s="98" t="s">
        <v>187</v>
      </c>
    </row>
    <row r="152" spans="1:18" ht="13.2" x14ac:dyDescent="0.25">
      <c r="A152" s="99">
        <v>44531.422205162038</v>
      </c>
      <c r="B152" s="98" t="s">
        <v>171</v>
      </c>
      <c r="C152" s="98" t="s">
        <v>180</v>
      </c>
      <c r="D152" s="98" t="s">
        <v>186</v>
      </c>
      <c r="E152" s="98" t="s">
        <v>167</v>
      </c>
      <c r="F152" s="98" t="s">
        <v>167</v>
      </c>
      <c r="G152" s="98" t="s">
        <v>167</v>
      </c>
      <c r="H152" s="98" t="s">
        <v>167</v>
      </c>
      <c r="I152" s="98" t="s">
        <v>166</v>
      </c>
      <c r="J152" s="98" t="s">
        <v>185</v>
      </c>
      <c r="K152" s="98" t="s">
        <v>176</v>
      </c>
      <c r="L152" s="98" t="s">
        <v>160</v>
      </c>
      <c r="M152" s="98" t="s">
        <v>184</v>
      </c>
      <c r="N152" s="98" t="s">
        <v>163</v>
      </c>
      <c r="O152" s="98" t="s">
        <v>183</v>
      </c>
      <c r="P152" s="98" t="s">
        <v>182</v>
      </c>
      <c r="Q152" s="98" t="s">
        <v>160</v>
      </c>
      <c r="R152" s="98" t="s">
        <v>172</v>
      </c>
    </row>
    <row r="153" spans="1:18" ht="13.2" x14ac:dyDescent="0.25">
      <c r="A153" s="99">
        <v>44531.425705682872</v>
      </c>
      <c r="B153" s="98" t="s">
        <v>181</v>
      </c>
      <c r="C153" s="98" t="s">
        <v>180</v>
      </c>
      <c r="D153" s="98" t="s">
        <v>169</v>
      </c>
      <c r="E153" s="98" t="s">
        <v>179</v>
      </c>
      <c r="F153" s="98" t="s">
        <v>179</v>
      </c>
      <c r="G153" s="98" t="s">
        <v>178</v>
      </c>
      <c r="H153" s="98" t="s">
        <v>167</v>
      </c>
      <c r="I153" s="98" t="s">
        <v>166</v>
      </c>
      <c r="J153" s="98" t="s">
        <v>177</v>
      </c>
      <c r="K153" s="98" t="s">
        <v>176</v>
      </c>
      <c r="L153" s="98" t="s">
        <v>160</v>
      </c>
      <c r="M153" s="98" t="s">
        <v>160</v>
      </c>
      <c r="N153" s="98" t="s">
        <v>175</v>
      </c>
      <c r="O153" s="98" t="s">
        <v>174</v>
      </c>
      <c r="P153" s="98" t="s">
        <v>173</v>
      </c>
      <c r="Q153" s="98" t="s">
        <v>160</v>
      </c>
      <c r="R153" s="98" t="s">
        <v>172</v>
      </c>
    </row>
    <row r="154" spans="1:18" ht="13.2" x14ac:dyDescent="0.25">
      <c r="A154" s="99">
        <v>44531.4298408912</v>
      </c>
      <c r="B154" s="98" t="s">
        <v>171</v>
      </c>
      <c r="C154" s="98" t="s">
        <v>170</v>
      </c>
      <c r="D154" s="98" t="s">
        <v>169</v>
      </c>
      <c r="E154" s="98" t="s">
        <v>168</v>
      </c>
      <c r="F154" s="98" t="s">
        <v>167</v>
      </c>
      <c r="G154" s="98" t="s">
        <v>167</v>
      </c>
      <c r="H154" s="98" t="s">
        <v>167</v>
      </c>
      <c r="I154" s="98" t="s">
        <v>166</v>
      </c>
      <c r="J154" s="98" t="s">
        <v>165</v>
      </c>
      <c r="K154" s="98" t="s">
        <v>164</v>
      </c>
      <c r="L154" s="98" t="s">
        <v>160</v>
      </c>
      <c r="M154" s="98" t="s">
        <v>160</v>
      </c>
      <c r="N154" s="98" t="s">
        <v>163</v>
      </c>
      <c r="O154" s="98" t="s">
        <v>162</v>
      </c>
      <c r="P154" s="98" t="s">
        <v>161</v>
      </c>
      <c r="Q154" s="98" t="s">
        <v>160</v>
      </c>
      <c r="R154" s="98" t="s">
        <v>159</v>
      </c>
    </row>
  </sheetData>
  <autoFilter ref="A1:R154" xr:uid="{89197DA7-A8AD-47E2-BD19-E1FC2F6CF7BD}">
    <filterColumn colId="8">
      <filters>
        <filter val="En ocasiones"/>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D2B21-1C8B-4B69-9CA5-6C4A577CA931}">
  <dimension ref="A1:K16"/>
  <sheetViews>
    <sheetView showGridLines="0" zoomScale="95" workbookViewId="0">
      <selection activeCell="J15" sqref="J15"/>
    </sheetView>
  </sheetViews>
  <sheetFormatPr baseColWidth="10" defaultRowHeight="14.4" x14ac:dyDescent="0.3"/>
  <cols>
    <col min="1" max="1" width="17.109375" style="82" bestFit="1" customWidth="1"/>
    <col min="2" max="2" width="30.6640625" style="82" bestFit="1" customWidth="1"/>
    <col min="3" max="3" width="11.6640625" style="131" bestFit="1" customWidth="1"/>
    <col min="4" max="4" width="13.33203125" style="82" bestFit="1" customWidth="1"/>
    <col min="5" max="5" width="22.44140625" style="82" bestFit="1" customWidth="1"/>
    <col min="8" max="8" width="30.109375" bestFit="1" customWidth="1"/>
    <col min="10" max="10" width="12.6640625" bestFit="1" customWidth="1"/>
    <col min="11" max="11" width="23.33203125" bestFit="1" customWidth="1"/>
  </cols>
  <sheetData>
    <row r="1" spans="1:11" x14ac:dyDescent="0.3">
      <c r="A1" s="313" t="s">
        <v>400</v>
      </c>
      <c r="B1" s="313"/>
      <c r="C1" s="313"/>
      <c r="D1" s="313"/>
      <c r="E1" s="313"/>
      <c r="G1" s="313" t="s">
        <v>533</v>
      </c>
      <c r="H1" s="313"/>
      <c r="I1" s="313"/>
      <c r="J1" s="313"/>
      <c r="K1" s="313"/>
    </row>
    <row r="2" spans="1:11" x14ac:dyDescent="0.3">
      <c r="A2" s="2" t="s">
        <v>376</v>
      </c>
      <c r="B2" s="2" t="s">
        <v>379</v>
      </c>
      <c r="C2" s="128" t="s">
        <v>377</v>
      </c>
      <c r="D2" s="2" t="s">
        <v>378</v>
      </c>
      <c r="E2" s="2" t="s">
        <v>380</v>
      </c>
      <c r="G2" s="2" t="s">
        <v>376</v>
      </c>
      <c r="H2" s="2" t="s">
        <v>379</v>
      </c>
      <c r="I2" s="128" t="s">
        <v>377</v>
      </c>
      <c r="J2" s="2" t="s">
        <v>378</v>
      </c>
      <c r="K2" s="2" t="s">
        <v>380</v>
      </c>
    </row>
    <row r="3" spans="1:11" x14ac:dyDescent="0.3">
      <c r="A3" s="85" t="s">
        <v>381</v>
      </c>
      <c r="B3" s="138">
        <v>44205</v>
      </c>
      <c r="C3" s="48">
        <v>47</v>
      </c>
      <c r="D3" s="101">
        <f>284.99*24.5</f>
        <v>6982.2550000000001</v>
      </c>
      <c r="E3" s="139">
        <v>36923</v>
      </c>
      <c r="G3" s="85" t="s">
        <v>381</v>
      </c>
      <c r="H3" s="138">
        <v>44225</v>
      </c>
      <c r="I3" s="48">
        <v>16</v>
      </c>
      <c r="J3" s="101">
        <v>1587.5987987211024</v>
      </c>
      <c r="K3" s="139">
        <v>36923</v>
      </c>
    </row>
    <row r="4" spans="1:11" x14ac:dyDescent="0.3">
      <c r="A4" s="85" t="s">
        <v>382</v>
      </c>
      <c r="B4" s="138">
        <v>44206</v>
      </c>
      <c r="C4" s="48">
        <v>10</v>
      </c>
      <c r="D4" s="101">
        <f>85.99*24.5</f>
        <v>2106.7549999999997</v>
      </c>
      <c r="E4" s="139">
        <v>42036</v>
      </c>
      <c r="G4" s="85" t="s">
        <v>382</v>
      </c>
      <c r="H4" s="138">
        <v>44228</v>
      </c>
      <c r="I4" s="48">
        <v>500</v>
      </c>
      <c r="J4" s="101">
        <v>660</v>
      </c>
      <c r="K4" s="139">
        <v>42036</v>
      </c>
    </row>
    <row r="5" spans="1:11" x14ac:dyDescent="0.3">
      <c r="A5" s="85" t="s">
        <v>384</v>
      </c>
      <c r="B5" s="138">
        <v>44213</v>
      </c>
      <c r="C5" s="48">
        <v>42</v>
      </c>
      <c r="D5" s="101">
        <f>415.33*24.5</f>
        <v>10175.584999999999</v>
      </c>
      <c r="E5" s="139">
        <v>46784</v>
      </c>
      <c r="G5" s="85" t="s">
        <v>384</v>
      </c>
      <c r="H5" s="138">
        <v>44214</v>
      </c>
      <c r="I5" s="48">
        <v>1</v>
      </c>
      <c r="J5" s="101">
        <v>1115</v>
      </c>
      <c r="K5" s="139">
        <v>46784</v>
      </c>
    </row>
    <row r="6" spans="1:11" x14ac:dyDescent="0.3">
      <c r="A6" s="85" t="s">
        <v>383</v>
      </c>
      <c r="B6" s="138">
        <v>44272</v>
      </c>
      <c r="C6" s="48">
        <v>50</v>
      </c>
      <c r="D6" s="101">
        <f>451.25*24.5</f>
        <v>11055.625</v>
      </c>
      <c r="E6" s="139">
        <v>37012</v>
      </c>
      <c r="G6" s="313" t="s">
        <v>393</v>
      </c>
      <c r="H6" s="313"/>
      <c r="I6" s="128">
        <f>SUM(I3:I5)</f>
        <v>517</v>
      </c>
      <c r="J6" s="127">
        <f>SUM(J3:J5)</f>
        <v>3362.5987987211024</v>
      </c>
      <c r="K6" s="128"/>
    </row>
    <row r="7" spans="1:11" s="107" customFormat="1" x14ac:dyDescent="0.3">
      <c r="A7" s="313" t="s">
        <v>393</v>
      </c>
      <c r="B7" s="313"/>
      <c r="C7" s="128">
        <f>SUM(C3:C6)</f>
        <v>149</v>
      </c>
      <c r="D7" s="127">
        <f>SUM(D3:D6)</f>
        <v>30320.22</v>
      </c>
      <c r="E7" s="128"/>
      <c r="G7" s="85" t="s">
        <v>385</v>
      </c>
      <c r="H7" s="138">
        <v>44284</v>
      </c>
      <c r="I7" s="48">
        <v>16</v>
      </c>
      <c r="J7" s="101">
        <v>1587.5987987211024</v>
      </c>
      <c r="K7" s="139">
        <v>36923</v>
      </c>
    </row>
    <row r="8" spans="1:11" x14ac:dyDescent="0.3">
      <c r="A8" s="85" t="s">
        <v>385</v>
      </c>
      <c r="B8" s="138">
        <v>44317</v>
      </c>
      <c r="C8" s="48">
        <v>80</v>
      </c>
      <c r="D8" s="101">
        <v>16000</v>
      </c>
      <c r="E8" s="140">
        <v>44348</v>
      </c>
      <c r="G8" s="85" t="s">
        <v>386</v>
      </c>
      <c r="H8" s="138">
        <v>44317</v>
      </c>
      <c r="I8" s="48">
        <v>500</v>
      </c>
      <c r="J8" s="101">
        <v>660</v>
      </c>
      <c r="K8" s="139">
        <v>42036</v>
      </c>
    </row>
    <row r="9" spans="1:11" x14ac:dyDescent="0.3">
      <c r="A9" s="85" t="s">
        <v>386</v>
      </c>
      <c r="B9" s="138">
        <v>44378</v>
      </c>
      <c r="C9" s="48">
        <v>80</v>
      </c>
      <c r="D9" s="101">
        <v>16000</v>
      </c>
      <c r="E9" s="140">
        <v>44409</v>
      </c>
      <c r="G9" s="85" t="s">
        <v>387</v>
      </c>
      <c r="H9" s="138">
        <v>44315</v>
      </c>
      <c r="I9" s="48">
        <v>16</v>
      </c>
      <c r="J9" s="101">
        <v>1587.5987987211024</v>
      </c>
      <c r="K9" s="139">
        <v>36923</v>
      </c>
    </row>
    <row r="10" spans="1:11" x14ac:dyDescent="0.3">
      <c r="A10" s="85" t="s">
        <v>387</v>
      </c>
      <c r="B10" s="138">
        <v>44440</v>
      </c>
      <c r="C10" s="48">
        <v>80</v>
      </c>
      <c r="D10" s="101">
        <v>16000</v>
      </c>
      <c r="E10" s="140">
        <v>44470</v>
      </c>
      <c r="G10" s="85" t="s">
        <v>388</v>
      </c>
      <c r="H10" s="138">
        <v>44470</v>
      </c>
      <c r="I10" s="48">
        <v>500</v>
      </c>
      <c r="J10" s="101">
        <v>660</v>
      </c>
      <c r="K10" s="139">
        <v>42036</v>
      </c>
    </row>
    <row r="11" spans="1:11" x14ac:dyDescent="0.3">
      <c r="A11" s="85" t="s">
        <v>388</v>
      </c>
      <c r="B11" s="138">
        <v>44501</v>
      </c>
      <c r="C11" s="48">
        <v>80</v>
      </c>
      <c r="D11" s="101">
        <v>16000</v>
      </c>
      <c r="E11" s="140">
        <v>44531</v>
      </c>
      <c r="G11" s="85" t="s">
        <v>389</v>
      </c>
      <c r="H11" s="138">
        <v>44376</v>
      </c>
      <c r="I11" s="48">
        <v>16</v>
      </c>
      <c r="J11" s="101">
        <v>1587.5987987211024</v>
      </c>
      <c r="K11" s="139">
        <v>36923</v>
      </c>
    </row>
    <row r="12" spans="1:11" x14ac:dyDescent="0.3">
      <c r="A12" s="85" t="s">
        <v>389</v>
      </c>
      <c r="B12" s="138">
        <v>44505</v>
      </c>
      <c r="C12" s="48">
        <v>80</v>
      </c>
      <c r="D12" s="101">
        <v>16000</v>
      </c>
      <c r="E12" s="140">
        <v>44535</v>
      </c>
      <c r="G12" s="85" t="s">
        <v>390</v>
      </c>
      <c r="H12" s="138">
        <v>44437</v>
      </c>
      <c r="I12" s="48">
        <v>16</v>
      </c>
      <c r="J12" s="101">
        <v>1587.5987987211024</v>
      </c>
      <c r="K12" s="139">
        <v>36923</v>
      </c>
    </row>
    <row r="13" spans="1:11" x14ac:dyDescent="0.3">
      <c r="A13" s="85" t="s">
        <v>390</v>
      </c>
      <c r="B13" s="138">
        <v>44545</v>
      </c>
      <c r="C13" s="48">
        <v>80</v>
      </c>
      <c r="D13" s="101">
        <v>16000</v>
      </c>
      <c r="E13" s="140">
        <v>44197</v>
      </c>
      <c r="G13" s="85" t="s">
        <v>391</v>
      </c>
      <c r="H13" s="138">
        <v>44498</v>
      </c>
      <c r="I13" s="48">
        <v>16</v>
      </c>
      <c r="J13" s="101">
        <v>1587.5987987211024</v>
      </c>
      <c r="K13" s="139">
        <v>36923</v>
      </c>
    </row>
    <row r="14" spans="1:11" s="107" customFormat="1" x14ac:dyDescent="0.3">
      <c r="A14" s="313" t="s">
        <v>394</v>
      </c>
      <c r="B14" s="313"/>
      <c r="C14" s="128">
        <f>SUM(C8:C13)</f>
        <v>480</v>
      </c>
      <c r="D14" s="127">
        <f>SUM(D8:D13)</f>
        <v>96000</v>
      </c>
      <c r="E14" s="128"/>
      <c r="G14" s="85" t="s">
        <v>392</v>
      </c>
      <c r="H14" s="138">
        <v>44531</v>
      </c>
      <c r="I14" s="48">
        <v>16</v>
      </c>
      <c r="J14" s="101">
        <v>1587.5987987211024</v>
      </c>
      <c r="K14" s="139">
        <v>36923</v>
      </c>
    </row>
    <row r="15" spans="1:11" x14ac:dyDescent="0.3">
      <c r="A15" s="313" t="s">
        <v>395</v>
      </c>
      <c r="B15" s="313"/>
      <c r="C15" s="128">
        <f>C7+C14</f>
        <v>629</v>
      </c>
      <c r="D15" s="127">
        <f>D7+D14</f>
        <v>126320.22</v>
      </c>
      <c r="E15" s="85"/>
      <c r="G15" s="313" t="s">
        <v>394</v>
      </c>
      <c r="H15" s="313"/>
      <c r="I15" s="128">
        <f>SUM(I7:I14)</f>
        <v>1096</v>
      </c>
      <c r="J15" s="127">
        <f>SUM(J7:J14)</f>
        <v>10845.592792326615</v>
      </c>
      <c r="K15" s="128"/>
    </row>
    <row r="16" spans="1:11" x14ac:dyDescent="0.3">
      <c r="G16" s="313" t="s">
        <v>395</v>
      </c>
      <c r="H16" s="313"/>
      <c r="I16" s="128">
        <f>I6+I15</f>
        <v>1613</v>
      </c>
      <c r="J16" s="127">
        <f>J6+J15</f>
        <v>14208.191591047718</v>
      </c>
      <c r="K16" s="85"/>
    </row>
  </sheetData>
  <mergeCells count="8">
    <mergeCell ref="G16:H16"/>
    <mergeCell ref="A1:E1"/>
    <mergeCell ref="A7:B7"/>
    <mergeCell ref="A14:B14"/>
    <mergeCell ref="A15:B15"/>
    <mergeCell ref="G1:K1"/>
    <mergeCell ref="G6:H6"/>
    <mergeCell ref="G15:H15"/>
  </mergeCells>
  <phoneticPr fontId="1" type="noConversion"/>
  <pageMargins left="0.7" right="0.7" top="0.75" bottom="0.75" header="0.3" footer="0.3"/>
  <pageSetup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A4099-3C60-4A48-B4A7-BD27AF85F27B}">
  <dimension ref="A1:H8"/>
  <sheetViews>
    <sheetView showGridLines="0" zoomScale="140" workbookViewId="0">
      <selection activeCell="D5" sqref="D5"/>
    </sheetView>
  </sheetViews>
  <sheetFormatPr baseColWidth="10" defaultRowHeight="14.4" x14ac:dyDescent="0.3"/>
  <cols>
    <col min="1" max="1" width="11.5546875" style="82"/>
    <col min="2" max="2" width="11.6640625" style="73" bestFit="1" customWidth="1"/>
    <col min="3" max="7" width="12" style="75" bestFit="1" customWidth="1"/>
    <col min="8" max="8" width="11.5546875" style="82"/>
  </cols>
  <sheetData>
    <row r="1" spans="1:7" x14ac:dyDescent="0.3">
      <c r="A1" s="298" t="s">
        <v>464</v>
      </c>
      <c r="B1" s="298"/>
      <c r="C1" s="298"/>
      <c r="D1" s="298"/>
      <c r="E1" s="298"/>
      <c r="F1" s="298"/>
      <c r="G1" s="298"/>
    </row>
    <row r="2" spans="1:7" x14ac:dyDescent="0.3">
      <c r="A2" s="314" t="s">
        <v>468</v>
      </c>
      <c r="B2" s="315" t="s">
        <v>345</v>
      </c>
      <c r="C2" s="314" t="s">
        <v>343</v>
      </c>
      <c r="D2" s="314"/>
      <c r="E2" s="314"/>
      <c r="F2" s="314"/>
      <c r="G2" s="314"/>
    </row>
    <row r="3" spans="1:7" x14ac:dyDescent="0.3">
      <c r="A3" s="314"/>
      <c r="B3" s="315"/>
      <c r="C3" s="167" t="s">
        <v>469</v>
      </c>
      <c r="D3" s="167" t="s">
        <v>470</v>
      </c>
      <c r="E3" s="167" t="s">
        <v>471</v>
      </c>
      <c r="F3" s="167" t="s">
        <v>472</v>
      </c>
      <c r="G3" s="167" t="s">
        <v>473</v>
      </c>
    </row>
    <row r="4" spans="1:7" x14ac:dyDescent="0.3">
      <c r="A4" s="90" t="s">
        <v>465</v>
      </c>
      <c r="B4" s="122">
        <v>900</v>
      </c>
      <c r="C4" s="122">
        <f>B4*12+1836</f>
        <v>12636</v>
      </c>
      <c r="D4" s="122">
        <f>C4*4%+C4</f>
        <v>13141.44</v>
      </c>
      <c r="E4" s="122">
        <f>D4*4%+D4</f>
        <v>13667.097600000001</v>
      </c>
      <c r="F4" s="122">
        <f>E4*4%+E4</f>
        <v>14213.781504</v>
      </c>
      <c r="G4" s="122">
        <f>F4*4%+F4</f>
        <v>14782.332764160001</v>
      </c>
    </row>
    <row r="5" spans="1:7" x14ac:dyDescent="0.3">
      <c r="A5" s="90" t="s">
        <v>466</v>
      </c>
      <c r="B5" s="122">
        <v>182</v>
      </c>
      <c r="C5" s="122">
        <f t="shared" ref="C5:C6" si="0">B5*12</f>
        <v>2184</v>
      </c>
      <c r="D5" s="122">
        <f t="shared" ref="D5:G6" si="1">C5*4%+C5</f>
        <v>2271.36</v>
      </c>
      <c r="E5" s="122">
        <f t="shared" si="1"/>
        <v>2362.2144000000003</v>
      </c>
      <c r="F5" s="122">
        <f t="shared" si="1"/>
        <v>2456.7029760000005</v>
      </c>
      <c r="G5" s="122">
        <f t="shared" si="1"/>
        <v>2554.9710950400004</v>
      </c>
    </row>
    <row r="6" spans="1:7" x14ac:dyDescent="0.3">
      <c r="A6" s="90" t="s">
        <v>474</v>
      </c>
      <c r="B6" s="122">
        <v>104</v>
      </c>
      <c r="C6" s="122">
        <f t="shared" si="0"/>
        <v>1248</v>
      </c>
      <c r="D6" s="122">
        <f t="shared" si="1"/>
        <v>1297.92</v>
      </c>
      <c r="E6" s="122">
        <f t="shared" si="1"/>
        <v>1349.8368</v>
      </c>
      <c r="F6" s="122">
        <f t="shared" si="1"/>
        <v>1403.8302720000002</v>
      </c>
      <c r="G6" s="122">
        <f t="shared" si="1"/>
        <v>1459.9834828800001</v>
      </c>
    </row>
    <row r="7" spans="1:7" x14ac:dyDescent="0.3">
      <c r="A7" s="90" t="s">
        <v>467</v>
      </c>
      <c r="B7" s="122">
        <v>650</v>
      </c>
      <c r="C7" s="122">
        <f>B7*12</f>
        <v>7800</v>
      </c>
      <c r="D7" s="122">
        <f t="shared" ref="D7:G7" si="2">C7*4%+C7</f>
        <v>8112</v>
      </c>
      <c r="E7" s="122">
        <f t="shared" si="2"/>
        <v>8436.48</v>
      </c>
      <c r="F7" s="122">
        <f t="shared" si="2"/>
        <v>8773.9391999999989</v>
      </c>
      <c r="G7" s="122">
        <f t="shared" si="2"/>
        <v>9124.8967679999987</v>
      </c>
    </row>
    <row r="8" spans="1:7" x14ac:dyDescent="0.3">
      <c r="A8" s="166" t="s">
        <v>67</v>
      </c>
      <c r="B8" s="130">
        <f t="shared" ref="B8:G8" si="3">SUM(B4:B7)</f>
        <v>1836</v>
      </c>
      <c r="C8" s="130">
        <f>SUM(C4:C7)</f>
        <v>23868</v>
      </c>
      <c r="D8" s="130">
        <f t="shared" si="3"/>
        <v>24822.720000000001</v>
      </c>
      <c r="E8" s="130">
        <f t="shared" si="3"/>
        <v>25815.628800000002</v>
      </c>
      <c r="F8" s="130">
        <f t="shared" si="3"/>
        <v>26848.253951999999</v>
      </c>
      <c r="G8" s="130">
        <f t="shared" si="3"/>
        <v>27922.184110080001</v>
      </c>
    </row>
  </sheetData>
  <mergeCells count="4">
    <mergeCell ref="A2:A3"/>
    <mergeCell ref="B2:B3"/>
    <mergeCell ref="C2:G2"/>
    <mergeCell ref="A1:G1"/>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F5E4A-26DF-4E92-880E-AD5AA85401DF}">
  <dimension ref="A1:E22"/>
  <sheetViews>
    <sheetView showGridLines="0" zoomScale="114" workbookViewId="0">
      <selection activeCell="A18" sqref="A18:B19"/>
    </sheetView>
  </sheetViews>
  <sheetFormatPr baseColWidth="10" defaultRowHeight="14.4" x14ac:dyDescent="0.3"/>
  <cols>
    <col min="1" max="1" width="26.5546875" style="82" bestFit="1" customWidth="1"/>
    <col min="2" max="2" width="20.88671875" style="82" bestFit="1" customWidth="1"/>
    <col min="3" max="3" width="20" style="82" bestFit="1" customWidth="1"/>
    <col min="4" max="4" width="13" bestFit="1" customWidth="1"/>
    <col min="5" max="5" width="12.44140625" bestFit="1" customWidth="1"/>
  </cols>
  <sheetData>
    <row r="1" spans="1:5" x14ac:dyDescent="0.3">
      <c r="A1" s="298" t="s">
        <v>594</v>
      </c>
      <c r="B1" s="298"/>
      <c r="C1" s="298"/>
      <c r="D1" s="298"/>
    </row>
    <row r="2" spans="1:5" x14ac:dyDescent="0.3">
      <c r="A2" s="190" t="s">
        <v>368</v>
      </c>
      <c r="B2" s="191" t="s">
        <v>397</v>
      </c>
      <c r="C2" s="190" t="s">
        <v>398</v>
      </c>
      <c r="D2" s="190" t="s">
        <v>67</v>
      </c>
    </row>
    <row r="3" spans="1:5" x14ac:dyDescent="0.3">
      <c r="A3" s="239" t="s">
        <v>370</v>
      </c>
      <c r="B3" s="240">
        <f>'Licencia y Adecuación'!B7</f>
        <v>10232</v>
      </c>
      <c r="C3" s="240">
        <f>2000*12</f>
        <v>24000</v>
      </c>
      <c r="D3" s="237">
        <f>B3+C3</f>
        <v>34232</v>
      </c>
    </row>
    <row r="4" spans="1:5" x14ac:dyDescent="0.3">
      <c r="A4" s="147" t="s">
        <v>372</v>
      </c>
      <c r="B4" s="142">
        <f>'Licencia y Adecuación'!F7</f>
        <v>25378</v>
      </c>
      <c r="C4" s="142"/>
      <c r="D4" s="101">
        <f t="shared" ref="D4:D13" si="0">B4+C4</f>
        <v>25378</v>
      </c>
    </row>
    <row r="5" spans="1:5" x14ac:dyDescent="0.3">
      <c r="A5" s="235" t="s">
        <v>373</v>
      </c>
      <c r="B5" s="236">
        <v>23000</v>
      </c>
      <c r="C5" s="236">
        <f>B5*11</f>
        <v>253000</v>
      </c>
      <c r="D5" s="237">
        <f t="shared" si="0"/>
        <v>276000</v>
      </c>
    </row>
    <row r="6" spans="1:5" x14ac:dyDescent="0.3">
      <c r="A6" s="235" t="s">
        <v>371</v>
      </c>
      <c r="B6" s="236">
        <f>Mobiliario!H15</f>
        <v>53300</v>
      </c>
      <c r="C6" s="241"/>
      <c r="D6" s="237">
        <f t="shared" si="0"/>
        <v>53300</v>
      </c>
    </row>
    <row r="7" spans="1:5" x14ac:dyDescent="0.3">
      <c r="A7" s="231" t="s">
        <v>374</v>
      </c>
      <c r="B7" s="232">
        <f>'Materia Prima_Inversión Inicial'!D7</f>
        <v>30320.22</v>
      </c>
      <c r="C7" s="233"/>
      <c r="D7" s="234">
        <f t="shared" si="0"/>
        <v>30320.22</v>
      </c>
    </row>
    <row r="8" spans="1:5" x14ac:dyDescent="0.3">
      <c r="A8" s="231" t="s">
        <v>396</v>
      </c>
      <c r="B8" s="233"/>
      <c r="C8" s="232">
        <f>'Materia Prima_Inversión Inicial'!D14</f>
        <v>96000</v>
      </c>
      <c r="D8" s="234">
        <f t="shared" si="0"/>
        <v>96000</v>
      </c>
    </row>
    <row r="9" spans="1:5" x14ac:dyDescent="0.3">
      <c r="A9" s="231" t="s">
        <v>401</v>
      </c>
      <c r="B9" s="232">
        <f>'Materia Prima_Inversión Inicial'!J6</f>
        <v>3362.5987987211024</v>
      </c>
      <c r="C9" s="232"/>
      <c r="D9" s="234">
        <f t="shared" si="0"/>
        <v>3362.5987987211024</v>
      </c>
    </row>
    <row r="10" spans="1:5" x14ac:dyDescent="0.3">
      <c r="A10" s="231" t="s">
        <v>402</v>
      </c>
      <c r="B10" s="232"/>
      <c r="C10" s="232">
        <f>'Materia Prima_Inversión Inicial'!J15</f>
        <v>10845.592792326615</v>
      </c>
      <c r="D10" s="234">
        <f t="shared" si="0"/>
        <v>10845.592792326615</v>
      </c>
    </row>
    <row r="11" spans="1:5" x14ac:dyDescent="0.3">
      <c r="A11" s="235" t="s">
        <v>375</v>
      </c>
      <c r="B11" s="236">
        <f>'Estructura de planilla'!D28</f>
        <v>18250.001759999999</v>
      </c>
      <c r="C11" s="236">
        <f>B11*13</f>
        <v>237250.02288</v>
      </c>
      <c r="D11" s="237">
        <f t="shared" si="0"/>
        <v>255500.02464000002</v>
      </c>
    </row>
    <row r="12" spans="1:5" x14ac:dyDescent="0.3">
      <c r="A12" s="235" t="s">
        <v>528</v>
      </c>
      <c r="B12" s="238">
        <f>'Servicios '!B8</f>
        <v>1836</v>
      </c>
      <c r="C12" s="236">
        <f>'Servicios '!C8</f>
        <v>23868</v>
      </c>
      <c r="D12" s="237">
        <f t="shared" si="0"/>
        <v>25704</v>
      </c>
    </row>
    <row r="13" spans="1:5" x14ac:dyDescent="0.3">
      <c r="A13" s="235" t="s">
        <v>403</v>
      </c>
      <c r="B13" s="236">
        <v>1500</v>
      </c>
      <c r="C13" s="236">
        <f>B13*12</f>
        <v>18000</v>
      </c>
      <c r="D13" s="237">
        <f t="shared" si="0"/>
        <v>19500</v>
      </c>
    </row>
    <row r="14" spans="1:5" x14ac:dyDescent="0.3">
      <c r="A14" s="150" t="s">
        <v>67</v>
      </c>
      <c r="B14" s="149">
        <f>SUM(B3:B13)</f>
        <v>167178.82055872108</v>
      </c>
      <c r="C14" s="149">
        <f>SUM(C3:C13)</f>
        <v>662963.61567232665</v>
      </c>
      <c r="D14" s="100">
        <f t="shared" ref="D14" si="1">SUM(D3:D13)</f>
        <v>830142.43623104761</v>
      </c>
    </row>
    <row r="15" spans="1:5" x14ac:dyDescent="0.3">
      <c r="A15" s="150" t="s">
        <v>399</v>
      </c>
      <c r="B15" s="145">
        <f>B14+C14</f>
        <v>830142.43623104773</v>
      </c>
    </row>
    <row r="16" spans="1:5" x14ac:dyDescent="0.3">
      <c r="E16" s="141"/>
    </row>
    <row r="17" spans="1:3" x14ac:dyDescent="0.3">
      <c r="A17" s="222" t="s">
        <v>97</v>
      </c>
      <c r="B17" s="222" t="s">
        <v>595</v>
      </c>
    </row>
    <row r="18" spans="1:3" x14ac:dyDescent="0.3">
      <c r="A18" s="181" t="s">
        <v>596</v>
      </c>
      <c r="B18" s="223">
        <f>Amortización!D2</f>
        <v>500000</v>
      </c>
    </row>
    <row r="19" spans="1:3" x14ac:dyDescent="0.3">
      <c r="A19" s="181" t="s">
        <v>545</v>
      </c>
      <c r="B19" s="223">
        <v>350000</v>
      </c>
      <c r="C19" s="221"/>
    </row>
    <row r="20" spans="1:3" x14ac:dyDescent="0.3">
      <c r="A20" s="181" t="s">
        <v>597</v>
      </c>
      <c r="B20" s="223">
        <f>SUM(B18:B19)</f>
        <v>850000</v>
      </c>
    </row>
    <row r="21" spans="1:3" x14ac:dyDescent="0.3">
      <c r="A21" s="181" t="s">
        <v>598</v>
      </c>
      <c r="B21" s="223">
        <f>B20-B15</f>
        <v>19857.56376895227</v>
      </c>
    </row>
    <row r="22" spans="1:3" x14ac:dyDescent="0.3">
      <c r="C22" s="104"/>
    </row>
  </sheetData>
  <mergeCells count="1">
    <mergeCell ref="A1:D1"/>
  </mergeCells>
  <pageMargins left="0.7" right="0.7" top="0.75" bottom="0.75" header="0.3" footer="0.3"/>
  <pageSetup orientation="portrait" horizontalDpi="360" verticalDpi="36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3CAE8-9EBB-4400-8171-008BBFD74716}">
  <dimension ref="A1:N51"/>
  <sheetViews>
    <sheetView showGridLines="0" topLeftCell="A6" zoomScale="65" workbookViewId="0">
      <selection activeCell="B18" sqref="B18"/>
    </sheetView>
  </sheetViews>
  <sheetFormatPr baseColWidth="10" defaultRowHeight="14.4" x14ac:dyDescent="0.3"/>
  <cols>
    <col min="1" max="2" width="29.5546875" customWidth="1"/>
    <col min="3" max="3" width="2.44140625" style="104" customWidth="1"/>
    <col min="4" max="5" width="29.5546875" customWidth="1"/>
    <col min="6" max="6" width="2.44140625" customWidth="1"/>
    <col min="7" max="8" width="29.5546875" customWidth="1"/>
    <col min="9" max="9" width="2.44140625" customWidth="1"/>
    <col min="10" max="11" width="29.5546875" customWidth="1"/>
    <col min="12" max="12" width="2.44140625" customWidth="1"/>
    <col min="13" max="14" width="29.5546875" customWidth="1"/>
  </cols>
  <sheetData>
    <row r="1" spans="1:14" x14ac:dyDescent="0.3">
      <c r="A1" s="317" t="s">
        <v>542</v>
      </c>
      <c r="B1" s="318"/>
      <c r="C1" s="224"/>
      <c r="D1" s="317" t="s">
        <v>542</v>
      </c>
      <c r="E1" s="318"/>
      <c r="G1" s="317" t="s">
        <v>542</v>
      </c>
      <c r="H1" s="318"/>
      <c r="J1" s="317" t="s">
        <v>542</v>
      </c>
      <c r="K1" s="318"/>
      <c r="M1" s="317" t="s">
        <v>542</v>
      </c>
      <c r="N1" s="318"/>
    </row>
    <row r="2" spans="1:14" x14ac:dyDescent="0.3">
      <c r="A2" s="317" t="s">
        <v>543</v>
      </c>
      <c r="B2" s="318"/>
      <c r="C2" s="224"/>
      <c r="D2" s="317" t="s">
        <v>543</v>
      </c>
      <c r="E2" s="318"/>
      <c r="G2" s="317" t="s">
        <v>543</v>
      </c>
      <c r="H2" s="318"/>
      <c r="J2" s="317" t="s">
        <v>543</v>
      </c>
      <c r="K2" s="318"/>
      <c r="M2" s="317" t="s">
        <v>543</v>
      </c>
      <c r="N2" s="318"/>
    </row>
    <row r="3" spans="1:14" x14ac:dyDescent="0.3">
      <c r="A3" s="317" t="s">
        <v>544</v>
      </c>
      <c r="B3" s="318"/>
      <c r="C3" s="224"/>
      <c r="D3" s="317" t="s">
        <v>550</v>
      </c>
      <c r="E3" s="318"/>
      <c r="G3" s="317" t="s">
        <v>551</v>
      </c>
      <c r="H3" s="318"/>
      <c r="J3" s="317" t="s">
        <v>552</v>
      </c>
      <c r="K3" s="318"/>
      <c r="M3" s="317" t="s">
        <v>604</v>
      </c>
      <c r="N3" s="318"/>
    </row>
    <row r="4" spans="1:14" x14ac:dyDescent="0.3">
      <c r="A4" s="307" t="s">
        <v>600</v>
      </c>
      <c r="B4" s="316"/>
      <c r="C4" s="224"/>
      <c r="D4" s="307" t="s">
        <v>632</v>
      </c>
      <c r="E4" s="316"/>
      <c r="G4" s="307" t="s">
        <v>601</v>
      </c>
      <c r="H4" s="316"/>
      <c r="J4" s="307" t="s">
        <v>602</v>
      </c>
      <c r="K4" s="316"/>
      <c r="M4" s="307" t="s">
        <v>603</v>
      </c>
      <c r="N4" s="316"/>
    </row>
    <row r="5" spans="1:14" x14ac:dyDescent="0.3">
      <c r="A5" s="246"/>
      <c r="B5" s="247"/>
      <c r="C5" s="224"/>
      <c r="D5" s="246"/>
      <c r="E5" s="247"/>
      <c r="G5" s="246"/>
      <c r="H5" s="247"/>
      <c r="J5" s="246"/>
      <c r="K5" s="247"/>
      <c r="M5" s="246"/>
      <c r="N5" s="247"/>
    </row>
    <row r="6" spans="1:14" x14ac:dyDescent="0.3">
      <c r="A6" s="204" t="s">
        <v>546</v>
      </c>
      <c r="B6" s="143"/>
      <c r="C6" s="224"/>
      <c r="D6" s="204" t="s">
        <v>546</v>
      </c>
      <c r="E6" s="143"/>
      <c r="G6" s="204" t="s">
        <v>546</v>
      </c>
      <c r="H6" s="143"/>
      <c r="J6" s="204" t="s">
        <v>546</v>
      </c>
      <c r="K6" s="143"/>
      <c r="M6" s="204" t="s">
        <v>546</v>
      </c>
      <c r="N6" s="143"/>
    </row>
    <row r="7" spans="1:14" x14ac:dyDescent="0.3">
      <c r="A7" s="244" t="s">
        <v>621</v>
      </c>
      <c r="B7" s="248"/>
      <c r="C7" s="224"/>
      <c r="D7" s="244" t="s">
        <v>621</v>
      </c>
      <c r="E7" s="248"/>
      <c r="G7" s="244" t="s">
        <v>621</v>
      </c>
      <c r="H7" s="248"/>
      <c r="J7" s="244" t="s">
        <v>621</v>
      </c>
      <c r="K7" s="248"/>
      <c r="M7" s="244" t="s">
        <v>621</v>
      </c>
      <c r="N7" s="248"/>
    </row>
    <row r="8" spans="1:14" x14ac:dyDescent="0.3">
      <c r="A8" s="144" t="s">
        <v>620</v>
      </c>
      <c r="B8" s="203">
        <f>Amortización!$D$2+Amortización!$D$3-B13-B9+'Estados de Resultado'!B25</f>
        <v>472114.33206726913</v>
      </c>
      <c r="C8" s="224"/>
      <c r="D8" s="144" t="s">
        <v>620</v>
      </c>
      <c r="E8" s="203">
        <f>'Estados de Resultado'!C6-E13-E9+'Estados de Resultado'!C25</f>
        <v>683139.64792526676</v>
      </c>
      <c r="G8" s="144" t="s">
        <v>620</v>
      </c>
      <c r="H8" s="203">
        <f>'Estados de Resultado'!D6-H13-H9+'Estados de Resultado'!D25</f>
        <v>1370753.8428496262</v>
      </c>
      <c r="J8" s="144" t="s">
        <v>620</v>
      </c>
      <c r="K8" s="203">
        <f>+'Estados de Resultado'!E6-K13-K9+'Estados de Resultado'!E25</f>
        <v>2111298.9576116046</v>
      </c>
      <c r="M8" s="144" t="s">
        <v>620</v>
      </c>
      <c r="N8" s="203">
        <f>'Estados de Resultado'!F6-N13-N9+'Estados de Resultado'!F25</f>
        <v>3109137.7202730207</v>
      </c>
    </row>
    <row r="9" spans="1:14" x14ac:dyDescent="0.3">
      <c r="A9" s="225" t="s">
        <v>619</v>
      </c>
      <c r="B9" s="226">
        <f>'Estados de Resultado'!B11</f>
        <v>154736.62318209541</v>
      </c>
      <c r="C9" s="224"/>
      <c r="D9" s="225" t="s">
        <v>619</v>
      </c>
      <c r="E9" s="226">
        <f>'Estados de Resultado'!C11</f>
        <v>195770.01787581661</v>
      </c>
      <c r="G9" s="225" t="s">
        <v>619</v>
      </c>
      <c r="H9" s="226">
        <f>'Estados de Resultado'!D11</f>
        <v>247742.73227381654</v>
      </c>
      <c r="J9" s="225" t="s">
        <v>619</v>
      </c>
      <c r="K9" s="226">
        <f>'Estados de Resultado'!E11</f>
        <v>313588.27204317239</v>
      </c>
      <c r="M9" s="225" t="s">
        <v>619</v>
      </c>
      <c r="N9" s="226">
        <f>'Estados de Resultado'!F11</f>
        <v>397031.83048750449</v>
      </c>
    </row>
    <row r="10" spans="1:14" x14ac:dyDescent="0.3">
      <c r="A10" s="243" t="s">
        <v>118</v>
      </c>
      <c r="B10" s="245">
        <f>SUM(B8:B9)</f>
        <v>626850.95524936449</v>
      </c>
      <c r="C10" s="224"/>
      <c r="D10" s="243" t="s">
        <v>118</v>
      </c>
      <c r="E10" s="245">
        <f>SUM(E8:E9)</f>
        <v>878909.66580108344</v>
      </c>
      <c r="G10" s="243" t="s">
        <v>118</v>
      </c>
      <c r="H10" s="245">
        <f>SUM(H8:H9)</f>
        <v>1618496.5751234428</v>
      </c>
      <c r="J10" s="243" t="s">
        <v>118</v>
      </c>
      <c r="K10" s="245">
        <f>SUM(K8:K9)</f>
        <v>2424887.2296547769</v>
      </c>
      <c r="M10" s="243" t="s">
        <v>118</v>
      </c>
      <c r="N10" s="245">
        <f>SUM(N8:N9)</f>
        <v>3506169.5507605253</v>
      </c>
    </row>
    <row r="11" spans="1:14" x14ac:dyDescent="0.3">
      <c r="A11" s="244"/>
      <c r="B11" s="143"/>
      <c r="C11" s="224"/>
      <c r="D11" s="244"/>
      <c r="E11" s="143"/>
      <c r="G11" s="244"/>
      <c r="H11" s="143"/>
      <c r="J11" s="244"/>
      <c r="K11" s="143"/>
      <c r="M11" s="244"/>
      <c r="N11" s="143"/>
    </row>
    <row r="12" spans="1:14" x14ac:dyDescent="0.3">
      <c r="A12" s="244" t="s">
        <v>622</v>
      </c>
      <c r="B12" s="143"/>
      <c r="C12" s="224"/>
      <c r="D12" s="244" t="s">
        <v>622</v>
      </c>
      <c r="E12" s="143"/>
      <c r="G12" s="244" t="s">
        <v>622</v>
      </c>
      <c r="H12" s="143"/>
      <c r="J12" s="244" t="s">
        <v>622</v>
      </c>
      <c r="K12" s="143"/>
      <c r="M12" s="244" t="s">
        <v>622</v>
      </c>
      <c r="N12" s="143"/>
    </row>
    <row r="13" spans="1:14" x14ac:dyDescent="0.3">
      <c r="A13" s="225" t="s">
        <v>371</v>
      </c>
      <c r="B13" s="226">
        <f>'Inversión Total'!$D$6</f>
        <v>53300</v>
      </c>
      <c r="C13" s="224"/>
      <c r="D13" s="225" t="s">
        <v>371</v>
      </c>
      <c r="E13" s="226"/>
      <c r="G13" s="225" t="s">
        <v>371</v>
      </c>
      <c r="H13" s="226"/>
      <c r="J13" s="225" t="s">
        <v>371</v>
      </c>
      <c r="K13" s="226"/>
      <c r="M13" s="225" t="s">
        <v>371</v>
      </c>
      <c r="N13" s="226"/>
    </row>
    <row r="14" spans="1:14" x14ac:dyDescent="0.3">
      <c r="A14" s="243" t="s">
        <v>118</v>
      </c>
      <c r="B14" s="245">
        <f>B13</f>
        <v>53300</v>
      </c>
      <c r="C14" s="224"/>
      <c r="D14" s="243" t="s">
        <v>118</v>
      </c>
      <c r="E14" s="245">
        <f>E13</f>
        <v>0</v>
      </c>
      <c r="G14" s="243" t="s">
        <v>118</v>
      </c>
      <c r="H14" s="245">
        <f>H13</f>
        <v>0</v>
      </c>
      <c r="J14" s="243" t="s">
        <v>118</v>
      </c>
      <c r="K14" s="245">
        <f>K13</f>
        <v>0</v>
      </c>
      <c r="M14" s="243" t="s">
        <v>118</v>
      </c>
      <c r="N14" s="245">
        <f>N13</f>
        <v>0</v>
      </c>
    </row>
    <row r="15" spans="1:14" x14ac:dyDescent="0.3">
      <c r="A15" s="204"/>
      <c r="B15" s="143"/>
      <c r="C15" s="224"/>
      <c r="D15" s="204"/>
      <c r="E15" s="143"/>
      <c r="G15" s="204"/>
      <c r="H15" s="143"/>
      <c r="J15" s="204"/>
      <c r="K15" s="143"/>
      <c r="M15" s="204"/>
      <c r="N15" s="143"/>
    </row>
    <row r="16" spans="1:14" ht="15.6" customHeight="1" x14ac:dyDescent="0.3">
      <c r="A16" s="244" t="s">
        <v>625</v>
      </c>
      <c r="B16" s="143"/>
      <c r="C16" s="224"/>
      <c r="D16" s="244" t="s">
        <v>625</v>
      </c>
      <c r="E16" s="143"/>
      <c r="G16" s="244" t="s">
        <v>625</v>
      </c>
      <c r="H16" s="143"/>
      <c r="J16" s="244" t="s">
        <v>625</v>
      </c>
      <c r="K16" s="143"/>
      <c r="M16" s="244" t="s">
        <v>625</v>
      </c>
      <c r="N16" s="143"/>
    </row>
    <row r="17" spans="1:14" x14ac:dyDescent="0.3">
      <c r="A17" s="225" t="s">
        <v>624</v>
      </c>
      <c r="B17" s="226">
        <f>B10+B14</f>
        <v>680150.95524936449</v>
      </c>
      <c r="C17" s="224"/>
      <c r="D17" s="225" t="s">
        <v>624</v>
      </c>
      <c r="E17" s="226">
        <f>E10+E14</f>
        <v>878909.66580108344</v>
      </c>
      <c r="G17" s="225" t="s">
        <v>624</v>
      </c>
      <c r="H17" s="226">
        <f>H10+H14</f>
        <v>1618496.5751234428</v>
      </c>
      <c r="J17" s="225" t="s">
        <v>624</v>
      </c>
      <c r="K17" s="226">
        <f>K10+K14</f>
        <v>2424887.2296547769</v>
      </c>
      <c r="M17" s="225" t="s">
        <v>624</v>
      </c>
      <c r="N17" s="226">
        <f>N10+N14</f>
        <v>3506169.5507605253</v>
      </c>
    </row>
    <row r="18" spans="1:14" s="252" customFormat="1" x14ac:dyDescent="0.3">
      <c r="A18" s="249" t="s">
        <v>626</v>
      </c>
      <c r="B18" s="250">
        <f>B17</f>
        <v>680150.95524936449</v>
      </c>
      <c r="C18" s="251"/>
      <c r="D18" s="249" t="s">
        <v>626</v>
      </c>
      <c r="E18" s="250">
        <f>E17</f>
        <v>878909.66580108344</v>
      </c>
      <c r="G18" s="249" t="s">
        <v>626</v>
      </c>
      <c r="H18" s="250">
        <f>H17</f>
        <v>1618496.5751234428</v>
      </c>
      <c r="J18" s="249" t="s">
        <v>626</v>
      </c>
      <c r="K18" s="250">
        <f>K17</f>
        <v>2424887.2296547769</v>
      </c>
      <c r="M18" s="249" t="s">
        <v>626</v>
      </c>
      <c r="N18" s="250">
        <f>N17</f>
        <v>3506169.5507605253</v>
      </c>
    </row>
    <row r="19" spans="1:14" x14ac:dyDescent="0.3">
      <c r="A19" s="204"/>
      <c r="B19" s="143"/>
      <c r="C19" s="224"/>
      <c r="D19" s="204"/>
      <c r="E19" s="143"/>
      <c r="G19" s="204"/>
      <c r="H19" s="143"/>
      <c r="J19" s="204"/>
      <c r="K19" s="143"/>
      <c r="M19" s="204"/>
      <c r="N19" s="143"/>
    </row>
    <row r="20" spans="1:14" x14ac:dyDescent="0.3">
      <c r="A20" s="204" t="s">
        <v>547</v>
      </c>
      <c r="B20" s="143"/>
      <c r="C20" s="224"/>
      <c r="D20" s="204" t="s">
        <v>547</v>
      </c>
      <c r="E20" s="143"/>
      <c r="G20" s="204" t="s">
        <v>547</v>
      </c>
      <c r="H20" s="143"/>
      <c r="J20" s="204" t="s">
        <v>547</v>
      </c>
      <c r="K20" s="143"/>
      <c r="M20" s="204" t="s">
        <v>547</v>
      </c>
      <c r="N20" s="143"/>
    </row>
    <row r="21" spans="1:14" x14ac:dyDescent="0.3">
      <c r="A21" s="244" t="s">
        <v>629</v>
      </c>
      <c r="B21" s="248"/>
      <c r="C21" s="224"/>
      <c r="D21" s="244" t="s">
        <v>629</v>
      </c>
      <c r="E21" s="248"/>
      <c r="G21" s="244" t="s">
        <v>629</v>
      </c>
      <c r="H21" s="248"/>
      <c r="J21" s="244" t="s">
        <v>629</v>
      </c>
      <c r="K21" s="248"/>
      <c r="M21" s="244" t="s">
        <v>629</v>
      </c>
      <c r="N21" s="248"/>
    </row>
    <row r="22" spans="1:14" x14ac:dyDescent="0.3">
      <c r="A22" s="225" t="s">
        <v>623</v>
      </c>
      <c r="B22" s="226"/>
      <c r="C22" s="224"/>
      <c r="D22" s="225" t="s">
        <v>623</v>
      </c>
      <c r="E22" s="226"/>
      <c r="G22" s="225" t="s">
        <v>623</v>
      </c>
      <c r="H22" s="226"/>
      <c r="J22" s="225" t="s">
        <v>623</v>
      </c>
      <c r="K22" s="226"/>
      <c r="M22" s="225" t="s">
        <v>623</v>
      </c>
      <c r="N22" s="226"/>
    </row>
    <row r="23" spans="1:14" x14ac:dyDescent="0.3">
      <c r="A23" s="243" t="s">
        <v>118</v>
      </c>
      <c r="B23" s="245">
        <f>SUM(B22)</f>
        <v>0</v>
      </c>
      <c r="C23" s="224"/>
      <c r="D23" s="243" t="s">
        <v>118</v>
      </c>
      <c r="E23" s="245">
        <f>SUM(E22)</f>
        <v>0</v>
      </c>
      <c r="G23" s="243" t="s">
        <v>118</v>
      </c>
      <c r="H23" s="245">
        <f>SUM(H22)</f>
        <v>0</v>
      </c>
      <c r="J23" s="243" t="s">
        <v>118</v>
      </c>
      <c r="K23" s="245">
        <f>SUM(K22)</f>
        <v>0</v>
      </c>
      <c r="M23" s="243" t="s">
        <v>118</v>
      </c>
      <c r="N23" s="245">
        <f>SUM(N22)</f>
        <v>0</v>
      </c>
    </row>
    <row r="24" spans="1:14" x14ac:dyDescent="0.3">
      <c r="A24" s="204"/>
      <c r="B24" s="143"/>
      <c r="C24" s="224"/>
      <c r="D24" s="204"/>
      <c r="E24" s="143"/>
      <c r="G24" s="204"/>
      <c r="H24" s="143"/>
      <c r="J24" s="204"/>
      <c r="K24" s="143"/>
      <c r="M24" s="204"/>
      <c r="N24" s="143"/>
    </row>
    <row r="25" spans="1:14" ht="15.6" customHeight="1" x14ac:dyDescent="0.3">
      <c r="A25" s="244" t="s">
        <v>628</v>
      </c>
      <c r="B25" s="143"/>
      <c r="C25" s="224"/>
      <c r="D25" s="244" t="s">
        <v>628</v>
      </c>
      <c r="E25" s="143"/>
      <c r="G25" s="244" t="s">
        <v>628</v>
      </c>
      <c r="H25" s="143"/>
      <c r="J25" s="244" t="s">
        <v>628</v>
      </c>
      <c r="K25" s="143"/>
      <c r="M25" s="244" t="s">
        <v>628</v>
      </c>
      <c r="N25" s="143"/>
    </row>
    <row r="26" spans="1:14" x14ac:dyDescent="0.3">
      <c r="A26" s="225" t="s">
        <v>436</v>
      </c>
      <c r="B26" s="226">
        <f>Amortización!$D$2</f>
        <v>500000</v>
      </c>
      <c r="C26" s="224"/>
      <c r="D26" s="225" t="s">
        <v>436</v>
      </c>
      <c r="E26" s="226"/>
      <c r="G26" s="225" t="s">
        <v>436</v>
      </c>
      <c r="H26" s="226"/>
      <c r="J26" s="225" t="s">
        <v>436</v>
      </c>
      <c r="K26" s="226"/>
      <c r="M26" s="225" t="s">
        <v>436</v>
      </c>
      <c r="N26" s="226"/>
    </row>
    <row r="27" spans="1:14" x14ac:dyDescent="0.3">
      <c r="A27" s="243" t="s">
        <v>118</v>
      </c>
      <c r="B27" s="245">
        <f>SUM(B26)</f>
        <v>500000</v>
      </c>
      <c r="C27" s="224"/>
      <c r="D27" s="243" t="s">
        <v>118</v>
      </c>
      <c r="E27" s="245">
        <f>SUM(E26)</f>
        <v>0</v>
      </c>
      <c r="G27" s="243" t="s">
        <v>118</v>
      </c>
      <c r="H27" s="245">
        <f>SUM(H26)</f>
        <v>0</v>
      </c>
      <c r="J27" s="243" t="s">
        <v>118</v>
      </c>
      <c r="K27" s="245">
        <f>SUM(K26)</f>
        <v>0</v>
      </c>
      <c r="M27" s="243" t="s">
        <v>118</v>
      </c>
      <c r="N27" s="245">
        <f>SUM(N26)</f>
        <v>0</v>
      </c>
    </row>
    <row r="28" spans="1:14" x14ac:dyDescent="0.3">
      <c r="A28" s="204"/>
      <c r="B28" s="143"/>
      <c r="C28" s="224"/>
      <c r="D28" s="204"/>
      <c r="E28" s="143"/>
      <c r="G28" s="204"/>
      <c r="H28" s="143"/>
      <c r="J28" s="204"/>
      <c r="K28" s="143"/>
      <c r="M28" s="204"/>
      <c r="N28" s="143"/>
    </row>
    <row r="29" spans="1:14" ht="15.6" customHeight="1" x14ac:dyDescent="0.3">
      <c r="A29" s="244" t="s">
        <v>627</v>
      </c>
      <c r="B29" s="143"/>
      <c r="C29" s="224"/>
      <c r="D29" s="244" t="s">
        <v>627</v>
      </c>
      <c r="E29" s="143"/>
      <c r="G29" s="244" t="s">
        <v>627</v>
      </c>
      <c r="H29" s="143"/>
      <c r="J29" s="244" t="s">
        <v>627</v>
      </c>
      <c r="K29" s="143"/>
      <c r="M29" s="244" t="s">
        <v>627</v>
      </c>
      <c r="N29" s="143"/>
    </row>
    <row r="30" spans="1:14" x14ac:dyDescent="0.3">
      <c r="A30" s="225" t="s">
        <v>624</v>
      </c>
      <c r="B30" s="226">
        <f>B23+B26</f>
        <v>500000</v>
      </c>
      <c r="C30" s="224"/>
      <c r="D30" s="225" t="s">
        <v>624</v>
      </c>
      <c r="E30" s="226">
        <f>E23+E26</f>
        <v>0</v>
      </c>
      <c r="G30" s="225" t="s">
        <v>624</v>
      </c>
      <c r="H30" s="226">
        <f>H23+H26</f>
        <v>0</v>
      </c>
      <c r="J30" s="225" t="s">
        <v>624</v>
      </c>
      <c r="K30" s="226">
        <f>K23+K26</f>
        <v>0</v>
      </c>
      <c r="M30" s="225" t="s">
        <v>624</v>
      </c>
      <c r="N30" s="226">
        <f>N23+N26</f>
        <v>0</v>
      </c>
    </row>
    <row r="31" spans="1:14" x14ac:dyDescent="0.3">
      <c r="A31" s="243" t="s">
        <v>626</v>
      </c>
      <c r="B31" s="245">
        <f>B30</f>
        <v>500000</v>
      </c>
      <c r="C31" s="224"/>
      <c r="D31" s="243" t="s">
        <v>626</v>
      </c>
      <c r="E31" s="245">
        <f>E30</f>
        <v>0</v>
      </c>
      <c r="G31" s="243" t="s">
        <v>626</v>
      </c>
      <c r="H31" s="245">
        <f>H30</f>
        <v>0</v>
      </c>
      <c r="J31" s="243" t="s">
        <v>626</v>
      </c>
      <c r="K31" s="245">
        <f>K30</f>
        <v>0</v>
      </c>
      <c r="M31" s="243" t="s">
        <v>626</v>
      </c>
      <c r="N31" s="245">
        <f>N30</f>
        <v>0</v>
      </c>
    </row>
    <row r="32" spans="1:14" x14ac:dyDescent="0.3">
      <c r="A32" s="204"/>
      <c r="B32" s="143"/>
      <c r="C32" s="224"/>
      <c r="D32" s="204"/>
      <c r="E32" s="143"/>
      <c r="G32" s="204"/>
      <c r="H32" s="143"/>
      <c r="J32" s="204"/>
      <c r="K32" s="143"/>
      <c r="M32" s="204"/>
      <c r="N32" s="143"/>
    </row>
    <row r="33" spans="1:14" x14ac:dyDescent="0.3">
      <c r="A33" s="204" t="s">
        <v>548</v>
      </c>
      <c r="B33" s="143"/>
      <c r="C33" s="224"/>
      <c r="D33" s="204" t="s">
        <v>548</v>
      </c>
      <c r="E33" s="143"/>
      <c r="G33" s="204" t="s">
        <v>548</v>
      </c>
      <c r="H33" s="143"/>
      <c r="J33" s="204" t="s">
        <v>548</v>
      </c>
      <c r="K33" s="143"/>
      <c r="M33" s="204" t="s">
        <v>548</v>
      </c>
      <c r="N33" s="143"/>
    </row>
    <row r="34" spans="1:14" x14ac:dyDescent="0.3">
      <c r="A34" s="244" t="s">
        <v>545</v>
      </c>
      <c r="B34" s="203">
        <f>'Inversión Total'!B19</f>
        <v>350000</v>
      </c>
      <c r="C34" s="224"/>
      <c r="D34" s="244" t="s">
        <v>545</v>
      </c>
      <c r="E34" s="203">
        <f>'Estados de Resultado'!C6</f>
        <v>1016488.8763027199</v>
      </c>
      <c r="G34" s="244" t="s">
        <v>545</v>
      </c>
      <c r="H34" s="203">
        <f>'Estados de Resultado'!D6</f>
        <v>1450327.4315388997</v>
      </c>
      <c r="J34" s="244" t="s">
        <v>545</v>
      </c>
      <c r="K34" s="203">
        <f>'Estados de Resultado'!E6</f>
        <v>1912691.816713501</v>
      </c>
      <c r="M34" s="244" t="s">
        <v>545</v>
      </c>
      <c r="N34" s="203">
        <f>'Estados de Resultado'!F6</f>
        <v>2522457.9678817648</v>
      </c>
    </row>
    <row r="35" spans="1:14" x14ac:dyDescent="0.3">
      <c r="A35" s="227" t="s">
        <v>617</v>
      </c>
      <c r="B35" s="226">
        <f>'Estados de Resultado'!B25</f>
        <v>-169849.04475063551</v>
      </c>
      <c r="C35" s="224"/>
      <c r="D35" s="227" t="s">
        <v>617</v>
      </c>
      <c r="E35" s="226">
        <f>'Estados de Resultado'!C25</f>
        <v>-137579.21050163661</v>
      </c>
      <c r="G35" s="227" t="s">
        <v>617</v>
      </c>
      <c r="H35" s="226">
        <f>'Estados de Resultado'!D25</f>
        <v>168169.14358454302</v>
      </c>
      <c r="J35" s="227" t="s">
        <v>617</v>
      </c>
      <c r="K35" s="226">
        <f>'Estados de Resultado'!E25</f>
        <v>512195.41294127633</v>
      </c>
      <c r="M35" s="227" t="s">
        <v>617</v>
      </c>
      <c r="N35" s="226">
        <f>'Estados de Resultado'!F25</f>
        <v>983711.58287876029</v>
      </c>
    </row>
    <row r="36" spans="1:14" x14ac:dyDescent="0.3">
      <c r="A36" s="204" t="s">
        <v>118</v>
      </c>
      <c r="B36" s="203">
        <f>SUM(B34:B35)</f>
        <v>180150.95524936449</v>
      </c>
      <c r="C36" s="224"/>
      <c r="D36" s="204" t="s">
        <v>118</v>
      </c>
      <c r="E36" s="203">
        <f>SUM(E34:E35)</f>
        <v>878909.66580108332</v>
      </c>
      <c r="G36" s="204" t="s">
        <v>118</v>
      </c>
      <c r="H36" s="203">
        <f>SUM(H34:H35)</f>
        <v>1618496.5751234428</v>
      </c>
      <c r="J36" s="204" t="s">
        <v>118</v>
      </c>
      <c r="K36" s="203">
        <f>SUM(K34:K35)</f>
        <v>2424887.2296547773</v>
      </c>
      <c r="M36" s="204" t="s">
        <v>118</v>
      </c>
      <c r="N36" s="203">
        <f>SUM(N34:N35)</f>
        <v>3506169.5507605253</v>
      </c>
    </row>
    <row r="37" spans="1:14" x14ac:dyDescent="0.3">
      <c r="A37" s="204"/>
      <c r="B37" s="143"/>
      <c r="C37" s="224"/>
      <c r="D37" s="204"/>
      <c r="E37" s="143"/>
      <c r="G37" s="204"/>
      <c r="H37" s="143"/>
      <c r="J37" s="204"/>
      <c r="K37" s="143"/>
      <c r="M37" s="204"/>
      <c r="N37" s="143"/>
    </row>
    <row r="38" spans="1:14" ht="15.6" customHeight="1" x14ac:dyDescent="0.3">
      <c r="A38" s="244" t="s">
        <v>630</v>
      </c>
      <c r="B38" s="143"/>
      <c r="C38" s="224"/>
      <c r="D38" s="244" t="s">
        <v>630</v>
      </c>
      <c r="E38" s="143"/>
      <c r="G38" s="244" t="s">
        <v>630</v>
      </c>
      <c r="H38" s="143"/>
      <c r="J38" s="244" t="s">
        <v>630</v>
      </c>
      <c r="K38" s="143"/>
      <c r="M38" s="244" t="s">
        <v>630</v>
      </c>
      <c r="N38" s="143"/>
    </row>
    <row r="39" spans="1:14" ht="15.6" customHeight="1" x14ac:dyDescent="0.3">
      <c r="A39" s="144" t="s">
        <v>631</v>
      </c>
      <c r="B39" s="226">
        <f>B36+B31</f>
        <v>680150.95524936449</v>
      </c>
      <c r="C39" s="224"/>
      <c r="D39" s="144" t="s">
        <v>631</v>
      </c>
      <c r="E39" s="226">
        <f>E36+E31</f>
        <v>878909.66580108332</v>
      </c>
      <c r="G39" s="144" t="s">
        <v>631</v>
      </c>
      <c r="H39" s="226">
        <f>H36+H31</f>
        <v>1618496.5751234428</v>
      </c>
      <c r="J39" s="144" t="s">
        <v>631</v>
      </c>
      <c r="K39" s="226">
        <f>K36+K31</f>
        <v>2424887.2296547773</v>
      </c>
      <c r="M39" s="144" t="s">
        <v>631</v>
      </c>
      <c r="N39" s="226">
        <f>N36+N31</f>
        <v>3506169.5507605253</v>
      </c>
    </row>
    <row r="40" spans="1:14" s="252" customFormat="1" x14ac:dyDescent="0.3">
      <c r="A40" s="249" t="s">
        <v>118</v>
      </c>
      <c r="B40" s="250">
        <f>B39</f>
        <v>680150.95524936449</v>
      </c>
      <c r="C40" s="251"/>
      <c r="D40" s="249" t="s">
        <v>118</v>
      </c>
      <c r="E40" s="250">
        <f>E39</f>
        <v>878909.66580108332</v>
      </c>
      <c r="G40" s="249" t="s">
        <v>118</v>
      </c>
      <c r="H40" s="250">
        <f>H39</f>
        <v>1618496.5751234428</v>
      </c>
      <c r="J40" s="249" t="s">
        <v>118</v>
      </c>
      <c r="K40" s="250">
        <f>K39</f>
        <v>2424887.2296547773</v>
      </c>
      <c r="M40" s="249" t="s">
        <v>118</v>
      </c>
      <c r="N40" s="250">
        <f>N39</f>
        <v>3506169.5507605253</v>
      </c>
    </row>
    <row r="41" spans="1:14" x14ac:dyDescent="0.3">
      <c r="A41" s="225"/>
      <c r="B41" s="163"/>
      <c r="C41" s="224"/>
      <c r="D41" s="225"/>
      <c r="E41" s="163"/>
      <c r="G41" s="225"/>
      <c r="H41" s="163"/>
      <c r="J41" s="225"/>
      <c r="K41" s="163"/>
      <c r="M41" s="225"/>
      <c r="N41" s="163"/>
    </row>
    <row r="42" spans="1:14" x14ac:dyDescent="0.3">
      <c r="C42" s="224"/>
    </row>
    <row r="43" spans="1:14" x14ac:dyDescent="0.3">
      <c r="C43" s="224"/>
    </row>
    <row r="44" spans="1:14" x14ac:dyDescent="0.3">
      <c r="C44" s="224"/>
    </row>
    <row r="45" spans="1:14" x14ac:dyDescent="0.3">
      <c r="C45" s="224"/>
    </row>
    <row r="46" spans="1:14" x14ac:dyDescent="0.3">
      <c r="C46" s="224"/>
    </row>
    <row r="47" spans="1:14" x14ac:dyDescent="0.3">
      <c r="C47" s="224"/>
    </row>
    <row r="48" spans="1:14" x14ac:dyDescent="0.3">
      <c r="C48" s="224"/>
    </row>
    <row r="49" spans="3:3" x14ac:dyDescent="0.3">
      <c r="C49" s="224"/>
    </row>
    <row r="50" spans="3:3" x14ac:dyDescent="0.3">
      <c r="C50" s="224"/>
    </row>
    <row r="51" spans="3:3" x14ac:dyDescent="0.3">
      <c r="C51" s="224"/>
    </row>
  </sheetData>
  <mergeCells count="20">
    <mergeCell ref="J2:K2"/>
    <mergeCell ref="J3:K3"/>
    <mergeCell ref="G4:H4"/>
    <mergeCell ref="J4:K4"/>
    <mergeCell ref="M4:N4"/>
    <mergeCell ref="A4:B4"/>
    <mergeCell ref="D1:E1"/>
    <mergeCell ref="D2:E2"/>
    <mergeCell ref="D3:E3"/>
    <mergeCell ref="D4:E4"/>
    <mergeCell ref="A1:B1"/>
    <mergeCell ref="A2:B2"/>
    <mergeCell ref="A3:B3"/>
    <mergeCell ref="M1:N1"/>
    <mergeCell ref="M2:N2"/>
    <mergeCell ref="M3:N3"/>
    <mergeCell ref="G1:H1"/>
    <mergeCell ref="G2:H2"/>
    <mergeCell ref="G3:H3"/>
    <mergeCell ref="J1:K1"/>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81736-CA0F-4F81-8561-AE5034F68756}">
  <dimension ref="A1:G13"/>
  <sheetViews>
    <sheetView zoomScale="95" workbookViewId="0">
      <selection activeCell="B10" sqref="B10"/>
    </sheetView>
  </sheetViews>
  <sheetFormatPr baseColWidth="10" defaultRowHeight="14.4" x14ac:dyDescent="0.3"/>
  <cols>
    <col min="1" max="1" width="25.77734375" style="82" bestFit="1" customWidth="1"/>
    <col min="2" max="2" width="13" style="82" bestFit="1" customWidth="1"/>
    <col min="3" max="7" width="14.77734375" style="82" bestFit="1" customWidth="1"/>
  </cols>
  <sheetData>
    <row r="1" spans="1:7" x14ac:dyDescent="0.3">
      <c r="A1" s="303" t="s">
        <v>556</v>
      </c>
      <c r="B1" s="303"/>
      <c r="C1" s="303"/>
      <c r="D1" s="303"/>
      <c r="E1" s="303"/>
      <c r="F1" s="303"/>
      <c r="G1" s="303"/>
    </row>
    <row r="2" spans="1:7" x14ac:dyDescent="0.3">
      <c r="A2" s="100" t="s">
        <v>368</v>
      </c>
      <c r="B2" s="100" t="s">
        <v>605</v>
      </c>
      <c r="C2" s="100" t="s">
        <v>492</v>
      </c>
      <c r="D2" s="100" t="s">
        <v>493</v>
      </c>
      <c r="E2" s="100" t="s">
        <v>494</v>
      </c>
      <c r="F2" s="100" t="s">
        <v>531</v>
      </c>
      <c r="G2" s="100" t="s">
        <v>532</v>
      </c>
    </row>
    <row r="3" spans="1:7" x14ac:dyDescent="0.3">
      <c r="A3" s="101" t="s">
        <v>419</v>
      </c>
      <c r="B3" s="101"/>
      <c r="C3" s="101">
        <f>'Presupuesto Anual'!B5</f>
        <v>687092.4</v>
      </c>
      <c r="D3" s="101">
        <f>'Presupuesto Anual'!C5</f>
        <v>1016488.8763027199</v>
      </c>
      <c r="E3" s="101">
        <f>'Presupuesto Anual'!D5</f>
        <v>1450327.4315388997</v>
      </c>
      <c r="F3" s="101">
        <f>'Presupuesto Anual'!E5</f>
        <v>1912691.816713501</v>
      </c>
      <c r="G3" s="101">
        <f>'Presupuesto Anual'!F5</f>
        <v>2522457.9678817648</v>
      </c>
    </row>
    <row r="4" spans="1:7" x14ac:dyDescent="0.3">
      <c r="A4" s="101" t="s">
        <v>634</v>
      </c>
      <c r="B4" s="101"/>
      <c r="C4" s="101"/>
      <c r="D4" s="101">
        <f>'Presupuesto Anual'!C7</f>
        <v>-155640.8531595876</v>
      </c>
      <c r="E4" s="101">
        <f>'Presupuesto Anual'!D7</f>
        <v>-274664.16544331599</v>
      </c>
      <c r="F4" s="101">
        <f>'Presupuesto Anual'!E7</f>
        <v>-82261.01878618449</v>
      </c>
      <c r="G4" s="101">
        <f>'Presupuesto Anual'!F7</f>
        <v>461584.00216789218</v>
      </c>
    </row>
    <row r="5" spans="1:7" x14ac:dyDescent="0.3">
      <c r="A5" s="101" t="s">
        <v>118</v>
      </c>
      <c r="B5" s="101"/>
      <c r="C5" s="101">
        <f>SUM(C3:C4)</f>
        <v>687092.4</v>
      </c>
      <c r="D5" s="101">
        <f t="shared" ref="D5:G5" si="0">SUM(D3:D4)</f>
        <v>860848.02314313233</v>
      </c>
      <c r="E5" s="101">
        <f t="shared" si="0"/>
        <v>1175663.2660955838</v>
      </c>
      <c r="F5" s="101">
        <f t="shared" si="0"/>
        <v>1830430.7979273165</v>
      </c>
      <c r="G5" s="101">
        <f t="shared" si="0"/>
        <v>2984041.9700496569</v>
      </c>
    </row>
    <row r="6" spans="1:7" x14ac:dyDescent="0.3">
      <c r="A6" s="101"/>
      <c r="B6" s="101"/>
      <c r="C6" s="101"/>
      <c r="D6" s="101"/>
      <c r="E6" s="101"/>
      <c r="F6" s="101"/>
      <c r="G6" s="101"/>
    </row>
    <row r="7" spans="1:7" x14ac:dyDescent="0.3">
      <c r="A7" s="101" t="s">
        <v>635</v>
      </c>
      <c r="B7" s="101"/>
      <c r="C7" s="101">
        <f>'Presupuesto Anual'!B14</f>
        <v>140528.4315910477</v>
      </c>
      <c r="D7" s="101">
        <f>'Presupuesto Anual'!C14</f>
        <v>177214.1196579083</v>
      </c>
      <c r="E7" s="101">
        <f>'Presupuesto Anual'!D14</f>
        <v>223508.72920122827</v>
      </c>
      <c r="F7" s="101">
        <f>'Presupuesto Anual'!E14</f>
        <v>281938.66403037211</v>
      </c>
      <c r="G7" s="101">
        <f>'Presupuesto Anual'!F14</f>
        <v>355697.44242278731</v>
      </c>
    </row>
    <row r="8" spans="1:7" x14ac:dyDescent="0.3">
      <c r="A8" s="101" t="s">
        <v>636</v>
      </c>
      <c r="B8" s="101"/>
      <c r="C8" s="101">
        <f>'Presupuesto Anual'!B29</f>
        <v>702204.82156853995</v>
      </c>
      <c r="D8" s="101">
        <f>'Presupuesto Anual'!C29</f>
        <v>958298.06892853999</v>
      </c>
      <c r="E8" s="101">
        <f>'Presupuesto Anual'!D29</f>
        <v>1034415.55568054</v>
      </c>
      <c r="F8" s="101">
        <f>'Presupuesto Anual'!E29</f>
        <v>1086908.1317290522</v>
      </c>
      <c r="G8" s="101">
        <f>'Presupuesto Anual'!F29</f>
        <v>1141714.5545155001</v>
      </c>
    </row>
    <row r="9" spans="1:7" x14ac:dyDescent="0.3">
      <c r="A9" s="101" t="s">
        <v>555</v>
      </c>
      <c r="B9" s="101"/>
      <c r="C9" s="101">
        <f>C5-C7</f>
        <v>546563.96840895235</v>
      </c>
      <c r="D9" s="101">
        <f t="shared" ref="D9:G9" si="1">D5-D7</f>
        <v>683633.903485224</v>
      </c>
      <c r="E9" s="101">
        <f t="shared" si="1"/>
        <v>952154.53689435555</v>
      </c>
      <c r="F9" s="101">
        <f t="shared" si="1"/>
        <v>1548492.1338969443</v>
      </c>
      <c r="G9" s="101">
        <f t="shared" si="1"/>
        <v>2628344.5276268697</v>
      </c>
    </row>
    <row r="10" spans="1:7" x14ac:dyDescent="0.3">
      <c r="A10" s="101" t="s">
        <v>436</v>
      </c>
      <c r="B10" s="101">
        <f>Amortización!D2</f>
        <v>500000</v>
      </c>
      <c r="C10" s="85"/>
      <c r="D10" s="85"/>
      <c r="E10" s="85"/>
      <c r="F10" s="85"/>
      <c r="G10" s="85"/>
    </row>
    <row r="11" spans="1:7" x14ac:dyDescent="0.3">
      <c r="A11" s="101"/>
      <c r="B11" s="101"/>
      <c r="C11" s="101"/>
      <c r="D11" s="101"/>
      <c r="E11" s="101"/>
      <c r="F11" s="101"/>
      <c r="G11" s="101"/>
    </row>
    <row r="12" spans="1:7" x14ac:dyDescent="0.3">
      <c r="A12" s="101" t="s">
        <v>554</v>
      </c>
      <c r="B12" s="101">
        <f>SUM(B10)</f>
        <v>500000</v>
      </c>
      <c r="C12" s="101">
        <f>C9-C8</f>
        <v>-155640.8531595876</v>
      </c>
      <c r="D12" s="101">
        <f t="shared" ref="D12:G12" si="2">D9-D8</f>
        <v>-274664.16544331599</v>
      </c>
      <c r="E12" s="101">
        <f t="shared" si="2"/>
        <v>-82261.01878618449</v>
      </c>
      <c r="F12" s="101">
        <f t="shared" si="2"/>
        <v>461584.00216789218</v>
      </c>
      <c r="G12" s="101">
        <f t="shared" si="2"/>
        <v>1486629.9731113696</v>
      </c>
    </row>
    <row r="13" spans="1:7" x14ac:dyDescent="0.3">
      <c r="B13" s="205"/>
    </row>
  </sheetData>
  <mergeCells count="1">
    <mergeCell ref="A1:G1"/>
  </mergeCells>
  <phoneticPr fontId="1"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54A2B-DDCB-492C-B39D-F3C02D8FB38C}">
  <dimension ref="A1:F27"/>
  <sheetViews>
    <sheetView zoomScale="78" zoomScaleNormal="100" workbookViewId="0">
      <selection activeCell="B12" sqref="B12"/>
    </sheetView>
  </sheetViews>
  <sheetFormatPr baseColWidth="10" defaultRowHeight="14.4" x14ac:dyDescent="0.3"/>
  <cols>
    <col min="1" max="1" width="27.21875" style="82" customWidth="1"/>
    <col min="2" max="2" width="13.77734375" style="228" bestFit="1" customWidth="1"/>
    <col min="3" max="6" width="15.44140625" style="82" bestFit="1" customWidth="1"/>
  </cols>
  <sheetData>
    <row r="1" spans="1:6" x14ac:dyDescent="0.3">
      <c r="A1" s="303" t="s">
        <v>553</v>
      </c>
      <c r="B1" s="303"/>
      <c r="C1" s="303"/>
      <c r="D1" s="303"/>
      <c r="E1" s="303"/>
      <c r="F1" s="303"/>
    </row>
    <row r="2" spans="1:6" x14ac:dyDescent="0.3">
      <c r="A2" s="100" t="s">
        <v>368</v>
      </c>
      <c r="B2" s="229" t="s">
        <v>492</v>
      </c>
      <c r="C2" s="100" t="s">
        <v>493</v>
      </c>
      <c r="D2" s="100" t="s">
        <v>494</v>
      </c>
      <c r="E2" s="100" t="s">
        <v>531</v>
      </c>
      <c r="F2" s="100" t="s">
        <v>532</v>
      </c>
    </row>
    <row r="3" spans="1:6" x14ac:dyDescent="0.3">
      <c r="A3"/>
      <c r="B3"/>
      <c r="C3"/>
      <c r="D3"/>
      <c r="E3"/>
      <c r="F3"/>
    </row>
    <row r="4" spans="1:6" x14ac:dyDescent="0.3">
      <c r="A4" s="319" t="s">
        <v>479</v>
      </c>
      <c r="B4" s="320"/>
      <c r="C4" s="320"/>
      <c r="D4" s="320"/>
      <c r="E4" s="320"/>
      <c r="F4" s="321"/>
    </row>
    <row r="5" spans="1:6" x14ac:dyDescent="0.3">
      <c r="A5" s="101" t="s">
        <v>606</v>
      </c>
      <c r="B5" s="230">
        <f>'Presupuesto Mensual'!H5+'Presupuesto Mensual'!Q5</f>
        <v>687092.4</v>
      </c>
      <c r="C5" s="101">
        <f>Ventas_Ingresos!H27</f>
        <v>1016488.8763027199</v>
      </c>
      <c r="D5" s="101">
        <f>Ventas_Ingresos!H43</f>
        <v>1450327.4315388997</v>
      </c>
      <c r="E5" s="101">
        <f>Ventas_Ingresos!H59</f>
        <v>1912691.816713501</v>
      </c>
      <c r="F5" s="101">
        <f>Ventas_Ingresos!H75</f>
        <v>2522457.9678817648</v>
      </c>
    </row>
    <row r="6" spans="1:6" s="107" customFormat="1" x14ac:dyDescent="0.3">
      <c r="A6" s="100" t="s">
        <v>421</v>
      </c>
      <c r="B6" s="229">
        <f>SUM(B5)</f>
        <v>687092.4</v>
      </c>
      <c r="C6" s="229">
        <f t="shared" ref="C6:F6" si="0">SUM(C5)</f>
        <v>1016488.8763027199</v>
      </c>
      <c r="D6" s="229">
        <f t="shared" si="0"/>
        <v>1450327.4315388997</v>
      </c>
      <c r="E6" s="229">
        <f t="shared" si="0"/>
        <v>1912691.816713501</v>
      </c>
      <c r="F6" s="229">
        <f t="shared" si="0"/>
        <v>2522457.9678817648</v>
      </c>
    </row>
    <row r="7" spans="1:6" x14ac:dyDescent="0.3">
      <c r="A7"/>
      <c r="B7"/>
      <c r="C7"/>
      <c r="D7"/>
      <c r="E7"/>
      <c r="F7"/>
    </row>
    <row r="8" spans="1:6" x14ac:dyDescent="0.3">
      <c r="A8" s="319" t="s">
        <v>607</v>
      </c>
      <c r="B8" s="320"/>
      <c r="C8" s="320"/>
      <c r="D8" s="320"/>
      <c r="E8" s="320"/>
      <c r="F8" s="321"/>
    </row>
    <row r="9" spans="1:6" x14ac:dyDescent="0.3">
      <c r="A9" s="101" t="s">
        <v>608</v>
      </c>
      <c r="B9" s="230">
        <f>'Presupuesto Anual'!B14</f>
        <v>140528.4315910477</v>
      </c>
      <c r="C9" s="230">
        <f>'Presupuesto Anual'!C14</f>
        <v>177214.1196579083</v>
      </c>
      <c r="D9" s="230">
        <f>'Presupuesto Anual'!D14</f>
        <v>223508.72920122827</v>
      </c>
      <c r="E9" s="230">
        <f>'Presupuesto Anual'!E14</f>
        <v>281938.66403037211</v>
      </c>
      <c r="F9" s="230">
        <f>'Presupuesto Anual'!F14</f>
        <v>355697.44242278731</v>
      </c>
    </row>
    <row r="10" spans="1:6" x14ac:dyDescent="0.3">
      <c r="A10" s="101" t="s">
        <v>609</v>
      </c>
      <c r="B10" s="230">
        <f>'Presupuesto Anual'!B12</f>
        <v>14208.191591047718</v>
      </c>
      <c r="C10" s="230">
        <f>'Presupuesto Anual'!C12</f>
        <v>18555.898217908318</v>
      </c>
      <c r="D10" s="230">
        <f>'Presupuesto Anual'!D12</f>
        <v>24234.003072588261</v>
      </c>
      <c r="E10" s="230">
        <f>'Presupuesto Anual'!E12</f>
        <v>31649.608012800269</v>
      </c>
      <c r="F10" s="230">
        <f>'Presupuesto Anual'!F12</f>
        <v>41334.388064717146</v>
      </c>
    </row>
    <row r="11" spans="1:6" s="107" customFormat="1" x14ac:dyDescent="0.3">
      <c r="A11" s="100" t="s">
        <v>610</v>
      </c>
      <c r="B11" s="229">
        <f>SUM(B9:B10)</f>
        <v>154736.62318209541</v>
      </c>
      <c r="C11" s="229">
        <f t="shared" ref="C11:F11" si="1">SUM(C9:C10)</f>
        <v>195770.01787581661</v>
      </c>
      <c r="D11" s="229">
        <f t="shared" si="1"/>
        <v>247742.73227381654</v>
      </c>
      <c r="E11" s="229">
        <f t="shared" si="1"/>
        <v>313588.27204317239</v>
      </c>
      <c r="F11" s="229">
        <f t="shared" si="1"/>
        <v>397031.83048750449</v>
      </c>
    </row>
    <row r="13" spans="1:6" x14ac:dyDescent="0.3">
      <c r="A13" s="319" t="s">
        <v>611</v>
      </c>
      <c r="B13" s="320"/>
      <c r="C13" s="320"/>
      <c r="D13" s="320"/>
      <c r="E13" s="320"/>
      <c r="F13" s="321"/>
    </row>
    <row r="14" spans="1:6" x14ac:dyDescent="0.3">
      <c r="A14" s="101" t="s">
        <v>436</v>
      </c>
      <c r="B14" s="230">
        <f>'Presupuesto Anual'!B25</f>
        <v>62726.796928540018</v>
      </c>
      <c r="C14" s="230">
        <f>'Presupuesto Anual'!C25</f>
        <v>62726.796928540018</v>
      </c>
      <c r="D14" s="230">
        <f>'Presupuesto Anual'!D25</f>
        <v>62726.796928540018</v>
      </c>
      <c r="E14" s="230">
        <f>'Presupuesto Anual'!E25</f>
        <v>62726.796928540018</v>
      </c>
      <c r="F14" s="230">
        <f>'Presupuesto Anual'!F25</f>
        <v>62726.796928540018</v>
      </c>
    </row>
    <row r="15" spans="1:6" x14ac:dyDescent="0.3">
      <c r="A15" s="101" t="s">
        <v>370</v>
      </c>
      <c r="B15" s="230">
        <f>'Inversión Total'!D3</f>
        <v>34232</v>
      </c>
      <c r="C15" s="101">
        <f>B15*(15.6%)+B15</f>
        <v>39572.192000000003</v>
      </c>
      <c r="D15" s="101">
        <f t="shared" ref="D15:F15" si="2">C15*(15.6%)+C15</f>
        <v>45745.453952000003</v>
      </c>
      <c r="E15" s="101">
        <f t="shared" si="2"/>
        <v>52881.744768512006</v>
      </c>
      <c r="F15" s="101">
        <f t="shared" si="2"/>
        <v>61131.296952399876</v>
      </c>
    </row>
    <row r="16" spans="1:6" x14ac:dyDescent="0.3">
      <c r="A16" s="101" t="s">
        <v>612</v>
      </c>
      <c r="B16" s="230">
        <f>'Inversión Total'!D4</f>
        <v>25378</v>
      </c>
      <c r="C16" s="101">
        <f>0</f>
        <v>0</v>
      </c>
      <c r="D16" s="101">
        <f>0</f>
        <v>0</v>
      </c>
      <c r="E16" s="101">
        <f>0</f>
        <v>0</v>
      </c>
      <c r="F16" s="101">
        <f>0</f>
        <v>0</v>
      </c>
    </row>
    <row r="17" spans="1:6" x14ac:dyDescent="0.3">
      <c r="A17" s="101" t="s">
        <v>549</v>
      </c>
      <c r="B17" s="230">
        <f>'Presupuesto Anual'!B23</f>
        <v>276000</v>
      </c>
      <c r="C17" s="230">
        <f>'Presupuesto Anual'!C23</f>
        <v>289800</v>
      </c>
      <c r="D17" s="230">
        <f>'Presupuesto Anual'!D23</f>
        <v>304290</v>
      </c>
      <c r="E17" s="230">
        <f>'Presupuesto Anual'!E23</f>
        <v>319504.5</v>
      </c>
      <c r="F17" s="230">
        <f>'Presupuesto Anual'!F23</f>
        <v>335479.72499999998</v>
      </c>
    </row>
    <row r="18" spans="1:6" x14ac:dyDescent="0.3">
      <c r="A18" s="101" t="s">
        <v>613</v>
      </c>
      <c r="B18" s="230">
        <f>'Presupuesto Anual'!B17</f>
        <v>255500.02464000002</v>
      </c>
      <c r="C18" s="230">
        <f>'Presupuesto Anual'!C17</f>
        <v>514146.36000000004</v>
      </c>
      <c r="D18" s="230">
        <f>'Presupuesto Anual'!D17</f>
        <v>565560.99600000004</v>
      </c>
      <c r="E18" s="230">
        <f>'Presupuesto Anual'!E17</f>
        <v>591268.31400000013</v>
      </c>
      <c r="F18" s="230">
        <f>'Presupuesto Anual'!F17</f>
        <v>616975.6320000001</v>
      </c>
    </row>
    <row r="19" spans="1:6" x14ac:dyDescent="0.3">
      <c r="A19" s="85" t="s">
        <v>528</v>
      </c>
      <c r="B19" s="230">
        <f>'Presupuesto Anual'!B22</f>
        <v>23868</v>
      </c>
      <c r="C19" s="230">
        <f>'Presupuesto Anual'!C22</f>
        <v>24822.720000000001</v>
      </c>
      <c r="D19" s="230">
        <f>'Presupuesto Anual'!D22</f>
        <v>25815.628800000002</v>
      </c>
      <c r="E19" s="230">
        <f>'Presupuesto Anual'!E22</f>
        <v>26848.253951999999</v>
      </c>
      <c r="F19" s="230">
        <f>'Presupuesto Anual'!F22</f>
        <v>27922.184110080001</v>
      </c>
    </row>
    <row r="20" spans="1:6" x14ac:dyDescent="0.3">
      <c r="A20" s="85" t="s">
        <v>614</v>
      </c>
      <c r="B20" s="230">
        <f>'Presupuesto Anual'!B21</f>
        <v>19500</v>
      </c>
      <c r="C20" s="230">
        <f>'Presupuesto Anual'!C21</f>
        <v>21450</v>
      </c>
      <c r="D20" s="230">
        <f>'Presupuesto Anual'!D21</f>
        <v>23595</v>
      </c>
      <c r="E20" s="230">
        <f>'Presupuesto Anual'!E21</f>
        <v>25954.5</v>
      </c>
      <c r="F20" s="230">
        <f>'Presupuesto Anual'!F21</f>
        <v>28549.95</v>
      </c>
    </row>
    <row r="21" spans="1:6" x14ac:dyDescent="0.3">
      <c r="A21" s="85" t="s">
        <v>431</v>
      </c>
      <c r="B21" s="230">
        <v>5000</v>
      </c>
      <c r="C21" s="101">
        <f>B21*(15.6%)+B21</f>
        <v>5780</v>
      </c>
      <c r="D21" s="101">
        <f t="shared" ref="D21:F21" si="3">C21*(15.6%)+C21</f>
        <v>6681.68</v>
      </c>
      <c r="E21" s="101">
        <f t="shared" si="3"/>
        <v>7724.0220800000006</v>
      </c>
      <c r="F21" s="101">
        <f t="shared" si="3"/>
        <v>8928.9695244800005</v>
      </c>
    </row>
    <row r="22" spans="1:6" s="107" customFormat="1" x14ac:dyDescent="0.3">
      <c r="A22" s="2" t="s">
        <v>615</v>
      </c>
      <c r="B22" s="229">
        <f>SUM(B14:B21)</f>
        <v>702204.82156854006</v>
      </c>
      <c r="C22" s="229">
        <f t="shared" ref="C22:F22" si="4">SUM(C14:C21)</f>
        <v>958298.06892853999</v>
      </c>
      <c r="D22" s="229">
        <f t="shared" si="4"/>
        <v>1034415.55568054</v>
      </c>
      <c r="E22" s="229">
        <f t="shared" si="4"/>
        <v>1086908.1317290522</v>
      </c>
      <c r="F22" s="229">
        <f t="shared" si="4"/>
        <v>1141714.5545154999</v>
      </c>
    </row>
    <row r="24" spans="1:6" s="107" customFormat="1" x14ac:dyDescent="0.3">
      <c r="A24" s="242" t="s">
        <v>616</v>
      </c>
      <c r="B24" s="229">
        <f>B6-B11</f>
        <v>532355.77681790455</v>
      </c>
      <c r="C24" s="229">
        <f t="shared" ref="C24:F24" si="5">C6-C11</f>
        <v>820718.85842690337</v>
      </c>
      <c r="D24" s="229">
        <f t="shared" si="5"/>
        <v>1202584.6992650831</v>
      </c>
      <c r="E24" s="229">
        <f t="shared" si="5"/>
        <v>1599103.5446703285</v>
      </c>
      <c r="F24" s="229">
        <f t="shared" si="5"/>
        <v>2125426.1373942601</v>
      </c>
    </row>
    <row r="25" spans="1:6" s="107" customFormat="1" x14ac:dyDescent="0.3">
      <c r="A25" s="2" t="s">
        <v>617</v>
      </c>
      <c r="B25" s="229">
        <f>B24-B22</f>
        <v>-169849.04475063551</v>
      </c>
      <c r="C25" s="229">
        <f t="shared" ref="C25:F25" si="6">C24-C22</f>
        <v>-137579.21050163661</v>
      </c>
      <c r="D25" s="229">
        <f t="shared" si="6"/>
        <v>168169.14358454302</v>
      </c>
      <c r="E25" s="229">
        <f t="shared" si="6"/>
        <v>512195.41294127633</v>
      </c>
      <c r="F25" s="229">
        <f t="shared" si="6"/>
        <v>983711.58287876029</v>
      </c>
    </row>
    <row r="27" spans="1:6" s="107" customFormat="1" x14ac:dyDescent="0.3">
      <c r="A27" s="2" t="s">
        <v>618</v>
      </c>
      <c r="B27" s="229">
        <f>'Presupuesto Anual'!B24</f>
        <v>7800</v>
      </c>
      <c r="C27" s="229">
        <f>'Presupuesto Anual'!C24</f>
        <v>8190</v>
      </c>
      <c r="D27" s="229">
        <f>'Presupuesto Anual'!D24</f>
        <v>8599.5</v>
      </c>
      <c r="E27" s="229">
        <f>'Presupuesto Anual'!E24</f>
        <v>9029.4750000000004</v>
      </c>
      <c r="F27" s="229">
        <f>'Presupuesto Anual'!F24</f>
        <v>9480.9487499999996</v>
      </c>
    </row>
  </sheetData>
  <mergeCells count="4">
    <mergeCell ref="A1:F1"/>
    <mergeCell ref="A13:F13"/>
    <mergeCell ref="A4:F4"/>
    <mergeCell ref="A8:F8"/>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6E30B-91FD-4893-98AA-03D412211F76}">
  <dimension ref="A1:Q29"/>
  <sheetViews>
    <sheetView showGridLines="0" zoomScale="77" zoomScaleNormal="102" workbookViewId="0">
      <selection activeCell="H34" sqref="H34"/>
    </sheetView>
  </sheetViews>
  <sheetFormatPr baseColWidth="10" defaultRowHeight="14.4" x14ac:dyDescent="0.3"/>
  <cols>
    <col min="1" max="1" width="31.21875" style="82" customWidth="1"/>
    <col min="2" max="6" width="11.6640625" style="104" bestFit="1" customWidth="1"/>
    <col min="7" max="7" width="12.77734375" style="104" bestFit="1" customWidth="1"/>
    <col min="8" max="8" width="23.44140625" style="104" bestFit="1" customWidth="1"/>
    <col min="10" max="10" width="31.109375" bestFit="1" customWidth="1"/>
    <col min="11" max="12" width="11.77734375" bestFit="1" customWidth="1"/>
    <col min="13" max="13" width="15" bestFit="1" customWidth="1"/>
    <col min="14" max="14" width="11.88671875" bestFit="1" customWidth="1"/>
    <col min="15" max="15" width="14.6640625" bestFit="1" customWidth="1"/>
    <col min="16" max="16" width="13.88671875" bestFit="1" customWidth="1"/>
    <col min="17" max="17" width="23.44140625" bestFit="1" customWidth="1"/>
  </cols>
  <sheetData>
    <row r="1" spans="1:17" x14ac:dyDescent="0.3">
      <c r="A1" s="280" t="s">
        <v>497</v>
      </c>
      <c r="B1" s="280"/>
      <c r="C1" s="280"/>
      <c r="D1" s="280"/>
      <c r="E1" s="280"/>
      <c r="F1" s="280"/>
      <c r="G1" s="280"/>
      <c r="H1" s="280"/>
      <c r="J1" s="280" t="s">
        <v>497</v>
      </c>
      <c r="K1" s="280"/>
      <c r="L1" s="280"/>
      <c r="M1" s="280"/>
      <c r="N1" s="280"/>
      <c r="O1" s="280"/>
      <c r="P1" s="280"/>
      <c r="Q1" s="280"/>
    </row>
    <row r="2" spans="1:17" x14ac:dyDescent="0.3">
      <c r="A2" s="322" t="s">
        <v>416</v>
      </c>
      <c r="B2" s="322"/>
      <c r="C2" s="322"/>
      <c r="D2" s="322"/>
      <c r="E2" s="322"/>
      <c r="F2" s="322"/>
      <c r="G2" s="322"/>
      <c r="H2" s="322"/>
      <c r="J2" s="322" t="s">
        <v>496</v>
      </c>
      <c r="K2" s="322"/>
      <c r="L2" s="322"/>
      <c r="M2" s="322"/>
      <c r="N2" s="322"/>
      <c r="O2" s="322"/>
      <c r="P2" s="322"/>
      <c r="Q2" s="322"/>
    </row>
    <row r="3" spans="1:17" x14ac:dyDescent="0.3">
      <c r="A3" s="2" t="s">
        <v>368</v>
      </c>
      <c r="B3" s="145" t="s">
        <v>404</v>
      </c>
      <c r="C3" s="145" t="s">
        <v>405</v>
      </c>
      <c r="D3" s="145" t="s">
        <v>406</v>
      </c>
      <c r="E3" s="145" t="s">
        <v>407</v>
      </c>
      <c r="F3" s="145" t="s">
        <v>408</v>
      </c>
      <c r="G3" s="145" t="s">
        <v>409</v>
      </c>
      <c r="H3" s="145" t="s">
        <v>417</v>
      </c>
      <c r="J3" s="2" t="s">
        <v>368</v>
      </c>
      <c r="K3" s="145" t="s">
        <v>410</v>
      </c>
      <c r="L3" s="145" t="s">
        <v>411</v>
      </c>
      <c r="M3" s="145" t="s">
        <v>412</v>
      </c>
      <c r="N3" s="145" t="s">
        <v>413</v>
      </c>
      <c r="O3" s="145" t="s">
        <v>414</v>
      </c>
      <c r="P3" s="145" t="s">
        <v>415</v>
      </c>
      <c r="Q3" s="145" t="s">
        <v>417</v>
      </c>
    </row>
    <row r="4" spans="1:17" x14ac:dyDescent="0.3">
      <c r="A4" s="146" t="s">
        <v>418</v>
      </c>
      <c r="B4" s="151"/>
      <c r="C4" s="151"/>
      <c r="D4" s="151"/>
      <c r="E4" s="151"/>
      <c r="F4" s="151"/>
      <c r="G4" s="151"/>
      <c r="H4" s="151"/>
      <c r="J4" s="146" t="s">
        <v>418</v>
      </c>
      <c r="K4" s="151"/>
      <c r="L4" s="151"/>
      <c r="M4" s="151"/>
      <c r="N4" s="151"/>
      <c r="O4" s="151"/>
      <c r="P4" s="151"/>
      <c r="Q4" s="151"/>
    </row>
    <row r="5" spans="1:17" x14ac:dyDescent="0.3">
      <c r="A5" s="161" t="s">
        <v>419</v>
      </c>
      <c r="B5" s="143">
        <f>Ventas_Ingresos!$G$11</f>
        <v>57257.700000000004</v>
      </c>
      <c r="C5" s="143">
        <f>Ventas_Ingresos!$G$11</f>
        <v>57257.700000000004</v>
      </c>
      <c r="D5" s="143">
        <f>Ventas_Ingresos!$G$11</f>
        <v>57257.700000000004</v>
      </c>
      <c r="E5" s="143">
        <f>Ventas_Ingresos!$G$11</f>
        <v>57257.700000000004</v>
      </c>
      <c r="F5" s="143">
        <f>Ventas_Ingresos!$G$11</f>
        <v>57257.700000000004</v>
      </c>
      <c r="G5" s="143">
        <f>Ventas_Ingresos!$G$11</f>
        <v>57257.700000000004</v>
      </c>
      <c r="H5" s="143">
        <f>SUM(B5:G5)</f>
        <v>343546.2</v>
      </c>
      <c r="J5" s="161" t="s">
        <v>419</v>
      </c>
      <c r="K5" s="143">
        <f>Ventas_Ingresos!$G$11</f>
        <v>57257.700000000004</v>
      </c>
      <c r="L5" s="143">
        <f>Ventas_Ingresos!$G$11</f>
        <v>57257.700000000004</v>
      </c>
      <c r="M5" s="143">
        <f>Ventas_Ingresos!$G$11</f>
        <v>57257.700000000004</v>
      </c>
      <c r="N5" s="143">
        <f>Ventas_Ingresos!$G$11</f>
        <v>57257.700000000004</v>
      </c>
      <c r="O5" s="143">
        <f>Ventas_Ingresos!$G$11</f>
        <v>57257.700000000004</v>
      </c>
      <c r="P5" s="143">
        <f>Ventas_Ingresos!$G$11</f>
        <v>57257.700000000004</v>
      </c>
      <c r="Q5" s="143">
        <f>SUM(K5:P5)</f>
        <v>343546.2</v>
      </c>
    </row>
    <row r="6" spans="1:17" x14ac:dyDescent="0.3">
      <c r="A6" s="164" t="s">
        <v>420</v>
      </c>
      <c r="B6" s="163"/>
      <c r="C6" s="163"/>
      <c r="D6" s="163"/>
      <c r="E6" s="163"/>
      <c r="F6" s="163"/>
      <c r="G6" s="163"/>
      <c r="H6" s="163">
        <f t="shared" ref="H6:H7" si="0">SUM(B6:G6)</f>
        <v>0</v>
      </c>
      <c r="J6" s="164" t="s">
        <v>420</v>
      </c>
      <c r="K6" s="163"/>
      <c r="L6" s="163"/>
      <c r="M6" s="163"/>
      <c r="N6" s="163"/>
      <c r="O6" s="163"/>
      <c r="P6" s="163"/>
      <c r="Q6" s="163">
        <f t="shared" ref="Q6:Q7" si="1">SUM(K6:P6)</f>
        <v>0</v>
      </c>
    </row>
    <row r="7" spans="1:17" x14ac:dyDescent="0.3">
      <c r="A7" s="164" t="s">
        <v>421</v>
      </c>
      <c r="B7" s="165">
        <f t="shared" ref="B7:G7" si="2">SUM(B4:B6)</f>
        <v>57257.700000000004</v>
      </c>
      <c r="C7" s="165">
        <f t="shared" si="2"/>
        <v>57257.700000000004</v>
      </c>
      <c r="D7" s="165">
        <f t="shared" si="2"/>
        <v>57257.700000000004</v>
      </c>
      <c r="E7" s="165">
        <f t="shared" si="2"/>
        <v>57257.700000000004</v>
      </c>
      <c r="F7" s="165">
        <f t="shared" si="2"/>
        <v>57257.700000000004</v>
      </c>
      <c r="G7" s="165">
        <f t="shared" si="2"/>
        <v>57257.700000000004</v>
      </c>
      <c r="H7" s="163">
        <f t="shared" si="0"/>
        <v>343546.2</v>
      </c>
      <c r="J7" s="164" t="s">
        <v>421</v>
      </c>
      <c r="K7" s="165">
        <f t="shared" ref="K7:P7" si="3">SUM(K4:K6)</f>
        <v>57257.700000000004</v>
      </c>
      <c r="L7" s="165">
        <f t="shared" si="3"/>
        <v>57257.700000000004</v>
      </c>
      <c r="M7" s="165">
        <f t="shared" si="3"/>
        <v>57257.700000000004</v>
      </c>
      <c r="N7" s="165">
        <f t="shared" si="3"/>
        <v>57257.700000000004</v>
      </c>
      <c r="O7" s="165">
        <f t="shared" si="3"/>
        <v>57257.700000000004</v>
      </c>
      <c r="P7" s="165">
        <f t="shared" si="3"/>
        <v>57257.700000000004</v>
      </c>
      <c r="Q7" s="163">
        <f t="shared" si="1"/>
        <v>343546.2</v>
      </c>
    </row>
    <row r="8" spans="1:17" x14ac:dyDescent="0.3">
      <c r="A8" s="161"/>
      <c r="B8" s="143"/>
      <c r="C8" s="143"/>
      <c r="D8" s="143"/>
      <c r="E8" s="143"/>
      <c r="F8" s="143"/>
      <c r="G8" s="143"/>
      <c r="H8" s="143"/>
      <c r="J8" s="161"/>
      <c r="K8" s="143"/>
      <c r="L8" s="143"/>
      <c r="M8" s="143"/>
      <c r="N8" s="143"/>
      <c r="O8" s="143"/>
      <c r="P8" s="143"/>
      <c r="Q8" s="143"/>
    </row>
    <row r="9" spans="1:17" x14ac:dyDescent="0.3">
      <c r="A9" s="147" t="s">
        <v>425</v>
      </c>
      <c r="B9" s="143"/>
      <c r="C9" s="143"/>
      <c r="D9" s="143"/>
      <c r="E9" s="143"/>
      <c r="F9" s="143"/>
      <c r="G9" s="143"/>
      <c r="H9" s="143"/>
      <c r="J9" s="147" t="s">
        <v>425</v>
      </c>
      <c r="K9" s="143"/>
      <c r="L9" s="143"/>
      <c r="M9" s="143"/>
      <c r="N9" s="143"/>
      <c r="O9" s="143"/>
      <c r="P9" s="143"/>
      <c r="Q9" s="143"/>
    </row>
    <row r="10" spans="1:17" x14ac:dyDescent="0.3">
      <c r="A10" s="162" t="s">
        <v>426</v>
      </c>
      <c r="B10" s="143"/>
      <c r="C10" s="143"/>
      <c r="D10" s="143"/>
      <c r="E10" s="143"/>
      <c r="F10" s="143"/>
      <c r="G10" s="143"/>
      <c r="H10" s="143"/>
      <c r="J10" s="162" t="s">
        <v>426</v>
      </c>
      <c r="K10" s="143"/>
      <c r="L10" s="143"/>
      <c r="M10" s="143"/>
      <c r="N10" s="143"/>
      <c r="O10" s="143"/>
      <c r="P10" s="143"/>
      <c r="Q10" s="143"/>
    </row>
    <row r="11" spans="1:17" x14ac:dyDescent="0.3">
      <c r="A11" s="161" t="s">
        <v>422</v>
      </c>
      <c r="B11" s="143">
        <f>6982.26+2106.76+10175.59</f>
        <v>19264.61</v>
      </c>
      <c r="C11" s="143"/>
      <c r="D11" s="143">
        <f>11055.63</f>
        <v>11055.63</v>
      </c>
      <c r="E11" s="143"/>
      <c r="F11" s="143">
        <v>16000</v>
      </c>
      <c r="G11" s="143"/>
      <c r="H11" s="143">
        <f>SUM(B11:G11)</f>
        <v>46320.24</v>
      </c>
      <c r="J11" s="161" t="s">
        <v>422</v>
      </c>
      <c r="K11" s="143">
        <v>16000</v>
      </c>
      <c r="L11" s="143"/>
      <c r="M11" s="143">
        <v>16000</v>
      </c>
      <c r="N11" s="143"/>
      <c r="O11" s="143">
        <f>16000+16000</f>
        <v>32000</v>
      </c>
      <c r="P11" s="143">
        <v>16000</v>
      </c>
      <c r="Q11" s="143">
        <f>SUM(K11:P11)</f>
        <v>80000</v>
      </c>
    </row>
    <row r="12" spans="1:17" x14ac:dyDescent="0.3">
      <c r="A12" s="85" t="s">
        <v>424</v>
      </c>
      <c r="B12" s="129">
        <f>SUM(B11)</f>
        <v>19264.61</v>
      </c>
      <c r="C12" s="129">
        <f>SUM(C11)</f>
        <v>0</v>
      </c>
      <c r="D12" s="129">
        <f t="shared" ref="D12:G12" si="4">SUM(D11)</f>
        <v>11055.63</v>
      </c>
      <c r="E12" s="129">
        <f t="shared" si="4"/>
        <v>0</v>
      </c>
      <c r="F12" s="129">
        <f t="shared" si="4"/>
        <v>16000</v>
      </c>
      <c r="G12" s="129">
        <f t="shared" si="4"/>
        <v>0</v>
      </c>
      <c r="H12" s="105">
        <f>SUM(B12:G12)</f>
        <v>46320.24</v>
      </c>
      <c r="J12" s="85" t="s">
        <v>424</v>
      </c>
      <c r="K12" s="129">
        <f>SUM(K11)</f>
        <v>16000</v>
      </c>
      <c r="L12" s="129">
        <f t="shared" ref="L12" si="5">SUM(L11)</f>
        <v>0</v>
      </c>
      <c r="M12" s="129">
        <f t="shared" ref="M12" si="6">SUM(M11)</f>
        <v>16000</v>
      </c>
      <c r="N12" s="129">
        <f t="shared" ref="N12" si="7">SUM(N11)</f>
        <v>0</v>
      </c>
      <c r="O12" s="129">
        <f t="shared" ref="O12" si="8">SUM(O11)</f>
        <v>32000</v>
      </c>
      <c r="P12" s="129">
        <f t="shared" ref="P12" si="9">SUM(P11)</f>
        <v>16000</v>
      </c>
      <c r="Q12" s="105">
        <f>SUM(K12:P12)</f>
        <v>80000</v>
      </c>
    </row>
    <row r="13" spans="1:17" x14ac:dyDescent="0.3">
      <c r="A13" s="161"/>
      <c r="B13" s="143"/>
      <c r="C13" s="143"/>
      <c r="D13" s="143"/>
      <c r="E13" s="143"/>
      <c r="F13" s="143"/>
      <c r="G13" s="143"/>
      <c r="H13" s="143"/>
      <c r="J13" s="161"/>
      <c r="K13" s="143"/>
      <c r="L13" s="143"/>
      <c r="M13" s="143"/>
      <c r="N13" s="143"/>
      <c r="O13" s="143"/>
      <c r="P13" s="143"/>
      <c r="Q13" s="143"/>
    </row>
    <row r="14" spans="1:17" x14ac:dyDescent="0.3">
      <c r="A14" s="162" t="s">
        <v>427</v>
      </c>
      <c r="B14" s="143"/>
      <c r="C14" s="143"/>
      <c r="D14" s="143"/>
      <c r="E14" s="143"/>
      <c r="F14" s="143"/>
      <c r="G14" s="143"/>
      <c r="H14" s="143"/>
      <c r="J14" s="162" t="s">
        <v>427</v>
      </c>
      <c r="K14" s="143"/>
      <c r="L14" s="143"/>
      <c r="M14" s="143"/>
      <c r="N14" s="143"/>
      <c r="O14" s="143"/>
      <c r="P14" s="143"/>
      <c r="Q14" s="143"/>
    </row>
    <row r="15" spans="1:17" x14ac:dyDescent="0.3">
      <c r="A15" s="161" t="s">
        <v>439</v>
      </c>
      <c r="B15" s="143">
        <f>1587+1115</f>
        <v>2702</v>
      </c>
      <c r="C15" s="143">
        <v>660</v>
      </c>
      <c r="D15" s="143">
        <v>1587</v>
      </c>
      <c r="E15" s="143">
        <v>1587</v>
      </c>
      <c r="F15" s="143">
        <v>600</v>
      </c>
      <c r="G15" s="143">
        <v>1587</v>
      </c>
      <c r="H15" s="143">
        <f>SUM(B15:G15)</f>
        <v>8723</v>
      </c>
      <c r="J15" s="161" t="s">
        <v>439</v>
      </c>
      <c r="K15" s="143"/>
      <c r="L15" s="143">
        <v>1587</v>
      </c>
      <c r="M15" s="143"/>
      <c r="N15" s="143">
        <v>1587</v>
      </c>
      <c r="O15" s="143"/>
      <c r="P15" s="143">
        <v>1587</v>
      </c>
      <c r="Q15" s="143">
        <f>SUM(K15:P15)</f>
        <v>4761</v>
      </c>
    </row>
    <row r="16" spans="1:17" x14ac:dyDescent="0.3">
      <c r="A16" s="161" t="s">
        <v>423</v>
      </c>
      <c r="B16" s="143">
        <f>'Estructura de planilla'!$M$10</f>
        <v>18250.001759999999</v>
      </c>
      <c r="C16" s="143">
        <f>'Estructura de planilla'!$M$10</f>
        <v>18250.001759999999</v>
      </c>
      <c r="D16" s="143">
        <f>'Estructura de planilla'!$M$10</f>
        <v>18250.001759999999</v>
      </c>
      <c r="E16" s="143">
        <f>'Estructura de planilla'!$M$10</f>
        <v>18250.001759999999</v>
      </c>
      <c r="F16" s="143">
        <f>'Estructura de planilla'!$M$10</f>
        <v>18250.001759999999</v>
      </c>
      <c r="G16" s="143">
        <f>'Estructura de planilla'!$M$10</f>
        <v>18250.001759999999</v>
      </c>
      <c r="H16" s="143">
        <f>SUM(B16:G16)</f>
        <v>109500.01056</v>
      </c>
      <c r="J16" s="161" t="s">
        <v>423</v>
      </c>
      <c r="K16" s="143">
        <f>'Estructura de planilla'!$M$10</f>
        <v>18250.001759999999</v>
      </c>
      <c r="L16" s="143">
        <f>'Estructura de planilla'!$M$10</f>
        <v>18250.001759999999</v>
      </c>
      <c r="M16" s="143">
        <f>'Estructura de planilla'!$M$10</f>
        <v>18250.001759999999</v>
      </c>
      <c r="N16" s="143">
        <f>'Estructura de planilla'!$M$10</f>
        <v>18250.001759999999</v>
      </c>
      <c r="O16" s="143">
        <f>'Estructura de planilla'!$M$10</f>
        <v>18250.001759999999</v>
      </c>
      <c r="P16" s="143">
        <f>'Estructura de planilla'!$M$10</f>
        <v>18250.001759999999</v>
      </c>
      <c r="Q16" s="143">
        <f>SUM(K16:P16)</f>
        <v>109500.01056</v>
      </c>
    </row>
    <row r="17" spans="1:17" x14ac:dyDescent="0.3">
      <c r="A17" s="161" t="s">
        <v>435</v>
      </c>
      <c r="B17" s="143">
        <v>1500</v>
      </c>
      <c r="C17" s="143">
        <v>1500</v>
      </c>
      <c r="D17" s="143">
        <v>1500</v>
      </c>
      <c r="E17" s="143">
        <v>1500</v>
      </c>
      <c r="F17" s="143">
        <v>1500</v>
      </c>
      <c r="G17" s="143">
        <v>1500</v>
      </c>
      <c r="H17" s="143">
        <f>SUM(B17:G17)</f>
        <v>9000</v>
      </c>
      <c r="J17" s="161" t="s">
        <v>435</v>
      </c>
      <c r="K17" s="143">
        <v>1500</v>
      </c>
      <c r="L17" s="143">
        <v>1500</v>
      </c>
      <c r="M17" s="143">
        <v>1500</v>
      </c>
      <c r="N17" s="143">
        <v>1500</v>
      </c>
      <c r="O17" s="143">
        <v>1500</v>
      </c>
      <c r="P17" s="143">
        <v>1500</v>
      </c>
      <c r="Q17" s="143">
        <f>SUM(K17:P17)</f>
        <v>9000</v>
      </c>
    </row>
    <row r="18" spans="1:17" x14ac:dyDescent="0.3">
      <c r="A18" s="161" t="s">
        <v>428</v>
      </c>
      <c r="B18" s="143">
        <f>'Servicios '!$B$8</f>
        <v>1836</v>
      </c>
      <c r="C18" s="143">
        <f>'Servicios '!$B$8</f>
        <v>1836</v>
      </c>
      <c r="D18" s="143">
        <f>'Servicios '!$B$8</f>
        <v>1836</v>
      </c>
      <c r="E18" s="143">
        <f>'Servicios '!$B$8</f>
        <v>1836</v>
      </c>
      <c r="F18" s="143">
        <f>'Servicios '!$B$8</f>
        <v>1836</v>
      </c>
      <c r="G18" s="143">
        <f>'Servicios '!$B$8</f>
        <v>1836</v>
      </c>
      <c r="H18" s="143">
        <f t="shared" ref="H18" si="10">SUM(B18:G18)</f>
        <v>11016</v>
      </c>
      <c r="J18" s="161" t="s">
        <v>428</v>
      </c>
      <c r="K18" s="143">
        <f>'Servicios '!$B$8</f>
        <v>1836</v>
      </c>
      <c r="L18" s="143">
        <f>'Servicios '!$B$8</f>
        <v>1836</v>
      </c>
      <c r="M18" s="143">
        <f>'Servicios '!$B$8</f>
        <v>1836</v>
      </c>
      <c r="N18" s="143">
        <f>'Servicios '!$B$8</f>
        <v>1836</v>
      </c>
      <c r="O18" s="143">
        <f>'Servicios '!$B$8</f>
        <v>1836</v>
      </c>
      <c r="P18" s="143">
        <f>'Servicios '!$B$8</f>
        <v>1836</v>
      </c>
      <c r="Q18" s="143">
        <f t="shared" ref="Q18" si="11">SUM(K18:P18)</f>
        <v>11016</v>
      </c>
    </row>
    <row r="19" spans="1:17" x14ac:dyDescent="0.3">
      <c r="A19" s="161" t="s">
        <v>429</v>
      </c>
      <c r="B19" s="143">
        <f>'Inversión Total'!$B$5</f>
        <v>23000</v>
      </c>
      <c r="C19" s="143">
        <f>'Inversión Total'!$B$5</f>
        <v>23000</v>
      </c>
      <c r="D19" s="143">
        <f>'Inversión Total'!$B$5</f>
        <v>23000</v>
      </c>
      <c r="E19" s="143">
        <f>'Inversión Total'!$B$5</f>
        <v>23000</v>
      </c>
      <c r="F19" s="143">
        <f>'Inversión Total'!$B$5</f>
        <v>23000</v>
      </c>
      <c r="G19" s="143">
        <f>'Inversión Total'!$B$5</f>
        <v>23000</v>
      </c>
      <c r="H19" s="143">
        <f>SUM(B19:G19)</f>
        <v>138000</v>
      </c>
      <c r="J19" s="161" t="s">
        <v>429</v>
      </c>
      <c r="K19" s="143">
        <f>'Inversión Total'!$B$5</f>
        <v>23000</v>
      </c>
      <c r="L19" s="143">
        <f>'Inversión Total'!$B$5</f>
        <v>23000</v>
      </c>
      <c r="M19" s="143">
        <f>'Inversión Total'!$B$5</f>
        <v>23000</v>
      </c>
      <c r="N19" s="143">
        <f>'Inversión Total'!$B$5</f>
        <v>23000</v>
      </c>
      <c r="O19" s="143">
        <f>'Inversión Total'!$B$5</f>
        <v>23000</v>
      </c>
      <c r="P19" s="143">
        <f>'Inversión Total'!$B$5</f>
        <v>23000</v>
      </c>
      <c r="Q19" s="143">
        <f>SUM(K19:P19)</f>
        <v>138000</v>
      </c>
    </row>
    <row r="20" spans="1:17" x14ac:dyDescent="0.3">
      <c r="A20" s="161" t="s">
        <v>430</v>
      </c>
      <c r="B20" s="143">
        <f>650</f>
        <v>650</v>
      </c>
      <c r="C20" s="143">
        <f>650</f>
        <v>650</v>
      </c>
      <c r="D20" s="143">
        <f>650</f>
        <v>650</v>
      </c>
      <c r="E20" s="143">
        <f>650</f>
        <v>650</v>
      </c>
      <c r="F20" s="143">
        <f>650</f>
        <v>650</v>
      </c>
      <c r="G20" s="143">
        <f>650</f>
        <v>650</v>
      </c>
      <c r="H20" s="143">
        <f>SUM(B20:G20)</f>
        <v>3900</v>
      </c>
      <c r="J20" s="161" t="s">
        <v>430</v>
      </c>
      <c r="K20" s="143">
        <f>650</f>
        <v>650</v>
      </c>
      <c r="L20" s="143">
        <f>650</f>
        <v>650</v>
      </c>
      <c r="M20" s="143">
        <f>650</f>
        <v>650</v>
      </c>
      <c r="N20" s="143">
        <f>650</f>
        <v>650</v>
      </c>
      <c r="O20" s="143">
        <f>650</f>
        <v>650</v>
      </c>
      <c r="P20" s="143">
        <f>650</f>
        <v>650</v>
      </c>
      <c r="Q20" s="143">
        <f>SUM(K20:P20)</f>
        <v>3900</v>
      </c>
    </row>
    <row r="21" spans="1:17" x14ac:dyDescent="0.3">
      <c r="A21" s="161" t="s">
        <v>436</v>
      </c>
      <c r="B21" s="143">
        <f>SUM(B22)</f>
        <v>4852.2330773783351</v>
      </c>
      <c r="C21" s="143">
        <f t="shared" ref="C21:G21" si="12">SUM(C22)</f>
        <v>4852.2330773783351</v>
      </c>
      <c r="D21" s="143">
        <f t="shared" si="12"/>
        <v>4852.2330773783351</v>
      </c>
      <c r="E21" s="143">
        <f t="shared" si="12"/>
        <v>4852.2330773783351</v>
      </c>
      <c r="F21" s="143">
        <f t="shared" si="12"/>
        <v>4852.2330773783351</v>
      </c>
      <c r="G21" s="143">
        <f t="shared" si="12"/>
        <v>4852.2330773783351</v>
      </c>
      <c r="H21" s="143">
        <f t="shared" ref="H21:H24" si="13">SUM(B21:G21)</f>
        <v>29113.398464270012</v>
      </c>
      <c r="J21" s="161" t="s">
        <v>436</v>
      </c>
      <c r="K21" s="143">
        <f>SUM(K22)</f>
        <v>4852.2330773783351</v>
      </c>
      <c r="L21" s="143">
        <f t="shared" ref="L21" si="14">SUM(L22)</f>
        <v>4852.2330773783351</v>
      </c>
      <c r="M21" s="143">
        <f t="shared" ref="M21" si="15">SUM(M22)</f>
        <v>4852.2330773783351</v>
      </c>
      <c r="N21" s="143">
        <f t="shared" ref="N21" si="16">SUM(N22)</f>
        <v>4852.2330773783351</v>
      </c>
      <c r="O21" s="143">
        <f t="shared" ref="O21" si="17">SUM(O22)</f>
        <v>4852.2330773783351</v>
      </c>
      <c r="P21" s="143">
        <f t="shared" ref="P21" si="18">SUM(P22)</f>
        <v>4852.2330773783351</v>
      </c>
      <c r="Q21" s="143">
        <f t="shared" ref="Q21:Q24" si="19">SUM(K21:P21)</f>
        <v>29113.398464270012</v>
      </c>
    </row>
    <row r="22" spans="1:17" x14ac:dyDescent="0.3">
      <c r="A22" s="161" t="s">
        <v>437</v>
      </c>
      <c r="B22" s="143">
        <f>Amortización!$E$19</f>
        <v>4852.2330773783351</v>
      </c>
      <c r="C22" s="143">
        <f>Amortización!$E$19</f>
        <v>4852.2330773783351</v>
      </c>
      <c r="D22" s="143">
        <f>Amortización!$E$19</f>
        <v>4852.2330773783351</v>
      </c>
      <c r="E22" s="143">
        <f>Amortización!$E$19</f>
        <v>4852.2330773783351</v>
      </c>
      <c r="F22" s="143">
        <f>Amortización!$E$19</f>
        <v>4852.2330773783351</v>
      </c>
      <c r="G22" s="143">
        <f>Amortización!$E$19</f>
        <v>4852.2330773783351</v>
      </c>
      <c r="H22" s="143">
        <f t="shared" si="13"/>
        <v>29113.398464270012</v>
      </c>
      <c r="J22" s="161" t="s">
        <v>437</v>
      </c>
      <c r="K22" s="143">
        <f>Amortización!$E$19</f>
        <v>4852.2330773783351</v>
      </c>
      <c r="L22" s="143">
        <f>Amortización!$E$19</f>
        <v>4852.2330773783351</v>
      </c>
      <c r="M22" s="143">
        <f>Amortización!$E$19</f>
        <v>4852.2330773783351</v>
      </c>
      <c r="N22" s="143">
        <f>Amortización!$E$19</f>
        <v>4852.2330773783351</v>
      </c>
      <c r="O22" s="143">
        <f>Amortización!$E$19</f>
        <v>4852.2330773783351</v>
      </c>
      <c r="P22" s="143">
        <f>Amortización!$E$19</f>
        <v>4852.2330773783351</v>
      </c>
      <c r="Q22" s="143">
        <f t="shared" si="19"/>
        <v>29113.398464270012</v>
      </c>
    </row>
    <row r="23" spans="1:17" x14ac:dyDescent="0.3">
      <c r="A23" s="161" t="s">
        <v>438</v>
      </c>
      <c r="B23" s="143">
        <f>Mobiliario!$J$16</f>
        <v>644.16666666666663</v>
      </c>
      <c r="C23" s="143">
        <f>Mobiliario!$J$16</f>
        <v>644.16666666666663</v>
      </c>
      <c r="D23" s="143">
        <f>Mobiliario!$J$16</f>
        <v>644.16666666666663</v>
      </c>
      <c r="E23" s="143">
        <f>Mobiliario!$J$16</f>
        <v>644.16666666666663</v>
      </c>
      <c r="F23" s="143">
        <f>Mobiliario!$J$16</f>
        <v>644.16666666666663</v>
      </c>
      <c r="G23" s="143">
        <f>Mobiliario!$J$16</f>
        <v>644.16666666666663</v>
      </c>
      <c r="H23" s="143">
        <f t="shared" si="13"/>
        <v>3864.9999999999995</v>
      </c>
      <c r="J23" s="161" t="s">
        <v>438</v>
      </c>
      <c r="K23" s="143">
        <f>Mobiliario!$J$16</f>
        <v>644.16666666666663</v>
      </c>
      <c r="L23" s="143">
        <f>Mobiliario!$J$16</f>
        <v>644.16666666666663</v>
      </c>
      <c r="M23" s="143">
        <f>Mobiliario!$J$16</f>
        <v>644.16666666666663</v>
      </c>
      <c r="N23" s="143">
        <f>Mobiliario!$J$16</f>
        <v>644.16666666666663</v>
      </c>
      <c r="O23" s="143">
        <f>Mobiliario!$J$16</f>
        <v>644.16666666666663</v>
      </c>
      <c r="P23" s="143">
        <f>Mobiliario!$J$16</f>
        <v>644.16666666666663</v>
      </c>
      <c r="Q23" s="143">
        <f t="shared" si="19"/>
        <v>3864.9999999999995</v>
      </c>
    </row>
    <row r="24" spans="1:17" x14ac:dyDescent="0.3">
      <c r="A24" s="161" t="s">
        <v>431</v>
      </c>
      <c r="B24" s="143">
        <f>Amortización!$D$19</f>
        <v>375</v>
      </c>
      <c r="C24" s="143">
        <f>Amortización!$D$19</f>
        <v>375</v>
      </c>
      <c r="D24" s="143">
        <f>Amortización!$D$19</f>
        <v>375</v>
      </c>
      <c r="E24" s="143">
        <f>Amortización!$D$19</f>
        <v>375</v>
      </c>
      <c r="F24" s="143">
        <f>Amortización!$D$19</f>
        <v>375</v>
      </c>
      <c r="G24" s="143">
        <f>Amortización!$D$19</f>
        <v>375</v>
      </c>
      <c r="H24" s="143">
        <f t="shared" si="13"/>
        <v>2250</v>
      </c>
      <c r="J24" s="161" t="s">
        <v>431</v>
      </c>
      <c r="K24" s="143">
        <f>Amortización!$D$19</f>
        <v>375</v>
      </c>
      <c r="L24" s="143">
        <f>Amortización!$D$19</f>
        <v>375</v>
      </c>
      <c r="M24" s="143">
        <f>Amortización!$D$19</f>
        <v>375</v>
      </c>
      <c r="N24" s="143">
        <f>Amortización!$D$19</f>
        <v>375</v>
      </c>
      <c r="O24" s="143">
        <f>Amortización!$D$19</f>
        <v>375</v>
      </c>
      <c r="P24" s="143">
        <f>Amortización!$D$19</f>
        <v>375</v>
      </c>
      <c r="Q24" s="143">
        <f t="shared" si="19"/>
        <v>2250</v>
      </c>
    </row>
    <row r="25" spans="1:17" x14ac:dyDescent="0.3">
      <c r="A25" s="85" t="s">
        <v>432</v>
      </c>
      <c r="B25" s="129">
        <f>SUM(B15:B21,B23:B24)</f>
        <v>53809.401504044996</v>
      </c>
      <c r="C25" s="129">
        <f>SUM(C15:C21,C23:C24)</f>
        <v>51767.401504044996</v>
      </c>
      <c r="D25" s="129">
        <f>SUM(D15:D21,D23:D24)</f>
        <v>52694.401504044996</v>
      </c>
      <c r="E25" s="129">
        <f t="shared" ref="E25:H25" si="20">SUM(E15:E21,E23:E24)</f>
        <v>52694.401504044996</v>
      </c>
      <c r="F25" s="129">
        <f t="shared" si="20"/>
        <v>51707.401504044996</v>
      </c>
      <c r="G25" s="129">
        <f t="shared" si="20"/>
        <v>52694.401504044996</v>
      </c>
      <c r="H25" s="129">
        <f t="shared" si="20"/>
        <v>315367.40902426996</v>
      </c>
      <c r="J25" s="85" t="s">
        <v>432</v>
      </c>
      <c r="K25" s="129">
        <f>SUM(K15:K21,K23:K24)</f>
        <v>51107.401504044996</v>
      </c>
      <c r="L25" s="129">
        <f>SUM(L15:L21,L23:L24)</f>
        <v>52694.401504044996</v>
      </c>
      <c r="M25" s="129">
        <f>SUM(M15:M21,M23:M24)</f>
        <v>51107.401504044996</v>
      </c>
      <c r="N25" s="129">
        <f t="shared" ref="N25" si="21">SUM(N15:N21,N23:N24)</f>
        <v>52694.401504044996</v>
      </c>
      <c r="O25" s="129">
        <f t="shared" ref="O25" si="22">SUM(O15:O21,O23:O24)</f>
        <v>51107.401504044996</v>
      </c>
      <c r="P25" s="129">
        <f>SUM(P15:P21,P23:P24)</f>
        <v>52694.401504044996</v>
      </c>
      <c r="Q25" s="129">
        <f>SUM(Q15:Q21,Q23:Q24)</f>
        <v>311405.40902426996</v>
      </c>
    </row>
    <row r="26" spans="1:17" x14ac:dyDescent="0.3">
      <c r="A26" s="161"/>
      <c r="B26" s="143"/>
      <c r="C26" s="143"/>
      <c r="D26" s="143"/>
      <c r="E26" s="143"/>
      <c r="F26" s="143"/>
      <c r="G26" s="143"/>
      <c r="H26" s="143"/>
      <c r="J26" s="161"/>
      <c r="K26" s="143"/>
      <c r="L26" s="143"/>
      <c r="M26" s="143"/>
      <c r="N26" s="143"/>
      <c r="O26" s="143"/>
      <c r="P26" s="143"/>
      <c r="Q26" s="143"/>
    </row>
    <row r="27" spans="1:17" x14ac:dyDescent="0.3">
      <c r="A27" s="85" t="s">
        <v>433</v>
      </c>
      <c r="B27" s="105">
        <f>B25+B12</f>
        <v>73074.011504044989</v>
      </c>
      <c r="C27" s="105">
        <f>C25+C12</f>
        <v>51767.401504044996</v>
      </c>
      <c r="D27" s="105">
        <f t="shared" ref="D27:F27" si="23">D25+D12</f>
        <v>63750.031504044993</v>
      </c>
      <c r="E27" s="105">
        <f t="shared" si="23"/>
        <v>52694.401504044996</v>
      </c>
      <c r="F27" s="105">
        <f t="shared" si="23"/>
        <v>67707.401504045003</v>
      </c>
      <c r="G27" s="105">
        <f>G25+G12</f>
        <v>52694.401504044996</v>
      </c>
      <c r="H27" s="105">
        <f>SUM(B27:G27)</f>
        <v>361687.64902427001</v>
      </c>
      <c r="J27" s="85" t="s">
        <v>433</v>
      </c>
      <c r="K27" s="105">
        <f t="shared" ref="K27:Q27" si="24">K25+K12</f>
        <v>67107.401504045003</v>
      </c>
      <c r="L27" s="105">
        <f t="shared" si="24"/>
        <v>52694.401504044996</v>
      </c>
      <c r="M27" s="105">
        <f t="shared" si="24"/>
        <v>67107.401504045003</v>
      </c>
      <c r="N27" s="105">
        <f t="shared" si="24"/>
        <v>52694.401504044996</v>
      </c>
      <c r="O27" s="105">
        <f t="shared" si="24"/>
        <v>83107.401504045003</v>
      </c>
      <c r="P27" s="105">
        <f t="shared" si="24"/>
        <v>68694.401504045003</v>
      </c>
      <c r="Q27" s="105">
        <f t="shared" si="24"/>
        <v>391405.40902426996</v>
      </c>
    </row>
    <row r="28" spans="1:17" x14ac:dyDescent="0.3">
      <c r="A28" s="161"/>
      <c r="B28" s="143"/>
      <c r="C28" s="143"/>
      <c r="D28" s="143"/>
      <c r="E28" s="143"/>
      <c r="F28" s="143"/>
      <c r="G28" s="143"/>
      <c r="H28" s="143"/>
      <c r="J28" s="161"/>
      <c r="K28" s="143"/>
      <c r="L28" s="143"/>
      <c r="M28" s="143"/>
      <c r="N28" s="143"/>
      <c r="O28" s="143"/>
      <c r="P28" s="143"/>
      <c r="Q28" s="143"/>
    </row>
    <row r="29" spans="1:17" ht="28.2" x14ac:dyDescent="0.3">
      <c r="A29" s="160" t="s">
        <v>434</v>
      </c>
      <c r="B29" s="105">
        <f t="shared" ref="B29:G29" si="25">B7-B27</f>
        <v>-15816.311504044985</v>
      </c>
      <c r="C29" s="105">
        <f t="shared" si="25"/>
        <v>5490.2984959550085</v>
      </c>
      <c r="D29" s="105">
        <f t="shared" si="25"/>
        <v>-6492.3315040449888</v>
      </c>
      <c r="E29" s="105">
        <f t="shared" si="25"/>
        <v>4563.2984959550085</v>
      </c>
      <c r="F29" s="105">
        <f t="shared" si="25"/>
        <v>-10449.701504044999</v>
      </c>
      <c r="G29" s="105">
        <f t="shared" si="25"/>
        <v>4563.2984959550085</v>
      </c>
      <c r="H29" s="105">
        <f>SUM(B29:G29)</f>
        <v>-18141.449024269947</v>
      </c>
      <c r="J29" s="160" t="s">
        <v>434</v>
      </c>
      <c r="K29" s="105">
        <f t="shared" ref="K29:P29" si="26">K7-K27</f>
        <v>-9849.7015040449987</v>
      </c>
      <c r="L29" s="105">
        <f t="shared" si="26"/>
        <v>4563.2984959550085</v>
      </c>
      <c r="M29" s="105">
        <f t="shared" si="26"/>
        <v>-9849.7015040449987</v>
      </c>
      <c r="N29" s="105">
        <f t="shared" si="26"/>
        <v>4563.2984959550085</v>
      </c>
      <c r="O29" s="105">
        <f t="shared" si="26"/>
        <v>-25849.701504044999</v>
      </c>
      <c r="P29" s="105">
        <f t="shared" si="26"/>
        <v>-11436.701504044999</v>
      </c>
      <c r="Q29" s="105">
        <f>SUM(K29:P29)</f>
        <v>-47859.209024269978</v>
      </c>
    </row>
  </sheetData>
  <mergeCells count="4">
    <mergeCell ref="A1:H1"/>
    <mergeCell ref="A2:H2"/>
    <mergeCell ref="J1:Q1"/>
    <mergeCell ref="J2:Q2"/>
  </mergeCells>
  <phoneticPr fontId="1" type="noConversion"/>
  <pageMargins left="0.7" right="0.7" top="0.75" bottom="0.75" header="0.3" footer="0.3"/>
  <pageSetup orientation="portrait" horizontalDpi="360" verticalDpi="360"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BE32F-31E8-4EE3-8B1D-3C55B224088B}">
  <dimension ref="A1:F37"/>
  <sheetViews>
    <sheetView showGridLines="0" topLeftCell="A21" zoomScale="86" workbookViewId="0">
      <selection activeCell="F31" sqref="F31"/>
    </sheetView>
  </sheetViews>
  <sheetFormatPr baseColWidth="10" defaultRowHeight="14.4" x14ac:dyDescent="0.3"/>
  <cols>
    <col min="1" max="1" width="40" bestFit="1" customWidth="1"/>
    <col min="2" max="5" width="15.109375" bestFit="1" customWidth="1"/>
    <col min="6" max="6" width="16.33203125" customWidth="1"/>
  </cols>
  <sheetData>
    <row r="1" spans="1:6" x14ac:dyDescent="0.3">
      <c r="A1" s="280" t="s">
        <v>541</v>
      </c>
      <c r="B1" s="280"/>
      <c r="C1" s="280"/>
      <c r="D1" s="280"/>
      <c r="E1" s="280"/>
      <c r="F1" s="280"/>
    </row>
    <row r="2" spans="1:6" x14ac:dyDescent="0.3">
      <c r="A2" s="322" t="s">
        <v>416</v>
      </c>
      <c r="B2" s="322"/>
      <c r="C2" s="322"/>
      <c r="D2" s="322"/>
      <c r="E2" s="322"/>
      <c r="F2" s="322"/>
    </row>
    <row r="3" spans="1:6" x14ac:dyDescent="0.3">
      <c r="A3" s="2" t="s">
        <v>368</v>
      </c>
      <c r="B3" s="145" t="s">
        <v>492</v>
      </c>
      <c r="C3" s="145" t="s">
        <v>493</v>
      </c>
      <c r="D3" s="145" t="s">
        <v>494</v>
      </c>
      <c r="E3" s="145" t="s">
        <v>531</v>
      </c>
      <c r="F3" s="145" t="s">
        <v>532</v>
      </c>
    </row>
    <row r="4" spans="1:6" x14ac:dyDescent="0.3">
      <c r="A4" s="146" t="s">
        <v>418</v>
      </c>
      <c r="B4" s="151"/>
      <c r="C4" s="151"/>
      <c r="D4" s="151"/>
      <c r="E4" s="151"/>
      <c r="F4" s="151"/>
    </row>
    <row r="5" spans="1:6" x14ac:dyDescent="0.3">
      <c r="A5" s="161" t="s">
        <v>419</v>
      </c>
      <c r="B5" s="143">
        <f>'Presupuesto Mensual'!H5+'Presupuesto Mensual'!Q5</f>
        <v>687092.4</v>
      </c>
      <c r="C5" s="143">
        <f>Ventas_Ingresos!H27</f>
        <v>1016488.8763027199</v>
      </c>
      <c r="D5" s="143">
        <f>Ventas_Ingresos!H43</f>
        <v>1450327.4315388997</v>
      </c>
      <c r="E5" s="143">
        <f>Ventas_Ingresos!H59</f>
        <v>1912691.816713501</v>
      </c>
      <c r="F5" s="143">
        <f>Ventas_Ingresos!H75</f>
        <v>2522457.9678817648</v>
      </c>
    </row>
    <row r="6" spans="1:6" x14ac:dyDescent="0.3">
      <c r="A6" s="164" t="s">
        <v>420</v>
      </c>
      <c r="B6" s="163"/>
      <c r="C6" s="163"/>
      <c r="D6" s="163"/>
      <c r="E6" s="163"/>
      <c r="F6" s="163"/>
    </row>
    <row r="7" spans="1:6" x14ac:dyDescent="0.3">
      <c r="A7" s="85" t="s">
        <v>539</v>
      </c>
      <c r="B7" s="105"/>
      <c r="C7" s="105">
        <f>B35</f>
        <v>-155640.8531595876</v>
      </c>
      <c r="D7" s="105">
        <f>C35</f>
        <v>-274664.16544331599</v>
      </c>
      <c r="E7" s="105">
        <f>D35</f>
        <v>-82261.01878618449</v>
      </c>
      <c r="F7" s="105">
        <f>E35</f>
        <v>461584.00216789218</v>
      </c>
    </row>
    <row r="8" spans="1:6" x14ac:dyDescent="0.3">
      <c r="A8" s="164" t="s">
        <v>421</v>
      </c>
      <c r="B8" s="165">
        <f>SUM(B4:B7)</f>
        <v>687092.4</v>
      </c>
      <c r="C8" s="165">
        <f>SUM(C4:C7)</f>
        <v>860848.02314313233</v>
      </c>
      <c r="D8" s="165">
        <f>SUM(D4:D7)</f>
        <v>1175663.2660955838</v>
      </c>
      <c r="E8" s="165">
        <f t="shared" ref="E8:F8" si="0">SUM(E4:E7)</f>
        <v>1830430.7979273165</v>
      </c>
      <c r="F8" s="165">
        <f t="shared" si="0"/>
        <v>2984041.9700496569</v>
      </c>
    </row>
    <row r="9" spans="1:6" x14ac:dyDescent="0.3">
      <c r="A9" s="161"/>
      <c r="B9" s="143"/>
      <c r="C9" s="143"/>
      <c r="D9" s="143"/>
      <c r="E9" s="143"/>
      <c r="F9" s="143"/>
    </row>
    <row r="10" spans="1:6" x14ac:dyDescent="0.3">
      <c r="A10" s="147" t="s">
        <v>425</v>
      </c>
      <c r="B10" s="143"/>
      <c r="C10" s="143"/>
      <c r="D10" s="143"/>
      <c r="E10" s="143"/>
      <c r="F10" s="143"/>
    </row>
    <row r="11" spans="1:6" x14ac:dyDescent="0.3">
      <c r="A11" s="162" t="s">
        <v>426</v>
      </c>
      <c r="B11" s="143"/>
      <c r="C11" s="143"/>
      <c r="D11" s="143"/>
      <c r="E11" s="143"/>
      <c r="F11" s="143"/>
    </row>
    <row r="12" spans="1:6" ht="42" x14ac:dyDescent="0.3">
      <c r="A12" s="198" t="s">
        <v>535</v>
      </c>
      <c r="B12" s="143">
        <f>'Inversión Total'!D9+'Inversión Total'!D10</f>
        <v>14208.191591047718</v>
      </c>
      <c r="C12" s="143">
        <f>B12*(15.6%+10%+5%)+B12</f>
        <v>18555.898217908318</v>
      </c>
      <c r="D12" s="143">
        <f>C12*(15.6%+10%+5%)+C12</f>
        <v>24234.003072588261</v>
      </c>
      <c r="E12" s="143">
        <f>D12*(15.6%+10%+5%)+D12</f>
        <v>31649.608012800269</v>
      </c>
      <c r="F12" s="143">
        <f t="shared" ref="F12" si="1">E12*(15.6%+10%+5%)+E12</f>
        <v>41334.388064717146</v>
      </c>
    </row>
    <row r="13" spans="1:6" ht="42" x14ac:dyDescent="0.3">
      <c r="A13" s="198" t="s">
        <v>534</v>
      </c>
      <c r="B13" s="143">
        <f>'Presupuesto Mensual'!H11+'Presupuesto Mensual'!Q11</f>
        <v>126320.23999999999</v>
      </c>
      <c r="C13" s="143">
        <f>B13*(15.6%+10%)+B13</f>
        <v>158658.22143999999</v>
      </c>
      <c r="D13" s="143">
        <f t="shared" ref="D13:F13" si="2">C13*(15.6%+10%)+C13</f>
        <v>199274.72612864</v>
      </c>
      <c r="E13" s="143">
        <f t="shared" si="2"/>
        <v>250289.05601757183</v>
      </c>
      <c r="F13" s="143">
        <f t="shared" si="2"/>
        <v>314363.05435807019</v>
      </c>
    </row>
    <row r="14" spans="1:6" x14ac:dyDescent="0.3">
      <c r="A14" s="85" t="s">
        <v>424</v>
      </c>
      <c r="B14" s="129">
        <f>SUM(B12:B13)</f>
        <v>140528.4315910477</v>
      </c>
      <c r="C14" s="129">
        <f t="shared" ref="C14:F14" si="3">SUM(C12:C13)</f>
        <v>177214.1196579083</v>
      </c>
      <c r="D14" s="129">
        <f t="shared" si="3"/>
        <v>223508.72920122827</v>
      </c>
      <c r="E14" s="129">
        <f t="shared" si="3"/>
        <v>281938.66403037211</v>
      </c>
      <c r="F14" s="129">
        <f t="shared" si="3"/>
        <v>355697.44242278731</v>
      </c>
    </row>
    <row r="15" spans="1:6" x14ac:dyDescent="0.3">
      <c r="A15" s="161"/>
      <c r="B15" s="143"/>
      <c r="C15" s="143"/>
      <c r="D15" s="143"/>
      <c r="E15" s="143"/>
      <c r="F15" s="143"/>
    </row>
    <row r="16" spans="1:6" x14ac:dyDescent="0.3">
      <c r="A16" s="162" t="s">
        <v>427</v>
      </c>
      <c r="B16" s="143"/>
      <c r="C16" s="143"/>
      <c r="D16" s="143"/>
      <c r="E16" s="143"/>
      <c r="F16" s="143"/>
    </row>
    <row r="17" spans="1:6" x14ac:dyDescent="0.3">
      <c r="A17" s="161" t="s">
        <v>423</v>
      </c>
      <c r="B17" s="143">
        <f>'Estructura de planilla'!N10</f>
        <v>255500.02464000002</v>
      </c>
      <c r="C17" s="143">
        <f>'Estructura de planilla'!N21</f>
        <v>514146.36000000004</v>
      </c>
      <c r="D17" s="143">
        <f>'Estructura de planilla'!O21</f>
        <v>565560.99600000004</v>
      </c>
      <c r="E17" s="143">
        <f>'Estructura de planilla'!P21</f>
        <v>591268.31400000013</v>
      </c>
      <c r="F17" s="143">
        <f>'Estructura de planilla'!Q21</f>
        <v>616975.6320000001</v>
      </c>
    </row>
    <row r="18" spans="1:6" x14ac:dyDescent="0.3">
      <c r="A18" s="161" t="s">
        <v>370</v>
      </c>
      <c r="B18" s="143">
        <f>'Inversión Total'!D3</f>
        <v>34232</v>
      </c>
      <c r="C18" s="143">
        <f>B18*15.6%+B18</f>
        <v>39572.192000000003</v>
      </c>
      <c r="D18" s="143">
        <f t="shared" ref="D18:F18" si="4">C18*15.6%+C18</f>
        <v>45745.453952000003</v>
      </c>
      <c r="E18" s="143">
        <f t="shared" si="4"/>
        <v>52881.744768512006</v>
      </c>
      <c r="F18" s="143">
        <f t="shared" si="4"/>
        <v>61131.296952399876</v>
      </c>
    </row>
    <row r="19" spans="1:6" x14ac:dyDescent="0.3">
      <c r="A19" s="161" t="s">
        <v>612</v>
      </c>
      <c r="B19" s="143">
        <f>'Inversión Total'!D4</f>
        <v>25378</v>
      </c>
      <c r="C19" s="143"/>
      <c r="D19" s="143"/>
      <c r="E19" s="143"/>
      <c r="F19" s="143"/>
    </row>
    <row r="20" spans="1:6" x14ac:dyDescent="0.3">
      <c r="A20" s="161" t="s">
        <v>633</v>
      </c>
      <c r="B20" s="143"/>
      <c r="C20" s="143"/>
      <c r="D20" s="143"/>
      <c r="E20" s="143"/>
      <c r="F20" s="143"/>
    </row>
    <row r="21" spans="1:6" ht="28.2" x14ac:dyDescent="0.3">
      <c r="A21" s="198" t="s">
        <v>536</v>
      </c>
      <c r="B21" s="143">
        <f>'Presupuesto Mensual'!H17+'Presupuesto Mensual'!Q17+'Presupuesto Mensual'!B17</f>
        <v>19500</v>
      </c>
      <c r="C21" s="143">
        <f>B21*(10%)+B21</f>
        <v>21450</v>
      </c>
      <c r="D21" s="143">
        <f>C21*(10%)+C21</f>
        <v>23595</v>
      </c>
      <c r="E21" s="143">
        <f t="shared" ref="E21:F21" si="5">D21*(10%)+D21</f>
        <v>25954.5</v>
      </c>
      <c r="F21" s="143">
        <f t="shared" si="5"/>
        <v>28549.95</v>
      </c>
    </row>
    <row r="22" spans="1:6" x14ac:dyDescent="0.3">
      <c r="A22" s="161" t="s">
        <v>428</v>
      </c>
      <c r="B22" s="143">
        <f>'Servicios '!C8</f>
        <v>23868</v>
      </c>
      <c r="C22" s="143">
        <f>'Servicios '!D8</f>
        <v>24822.720000000001</v>
      </c>
      <c r="D22" s="143">
        <f>'Servicios '!E8</f>
        <v>25815.628800000002</v>
      </c>
      <c r="E22" s="143">
        <f>'Servicios '!F8</f>
        <v>26848.253951999999</v>
      </c>
      <c r="F22" s="143">
        <f>'Servicios '!G8</f>
        <v>27922.184110080001</v>
      </c>
    </row>
    <row r="23" spans="1:6" ht="28.2" x14ac:dyDescent="0.3">
      <c r="A23" s="198" t="s">
        <v>537</v>
      </c>
      <c r="B23" s="143">
        <f>'Inversión Total'!D5</f>
        <v>276000</v>
      </c>
      <c r="C23" s="143">
        <f>B23*5%+B23</f>
        <v>289800</v>
      </c>
      <c r="D23" s="143">
        <f>C23*5%+C23</f>
        <v>304290</v>
      </c>
      <c r="E23" s="143">
        <f>D23*5%+D23</f>
        <v>319504.5</v>
      </c>
      <c r="F23" s="143">
        <f>E23*5%+E23</f>
        <v>335479.72499999998</v>
      </c>
    </row>
    <row r="24" spans="1:6" x14ac:dyDescent="0.3">
      <c r="A24" s="161" t="s">
        <v>430</v>
      </c>
      <c r="B24" s="143">
        <f>'Presupuesto Mensual'!H20+'Presupuesto Mensual'!Q20</f>
        <v>7800</v>
      </c>
      <c r="C24" s="143">
        <f>B24*5%+B24</f>
        <v>8190</v>
      </c>
      <c r="D24" s="143">
        <f t="shared" ref="D24:F24" si="6">C24*5%+C24</f>
        <v>8599.5</v>
      </c>
      <c r="E24" s="143">
        <f t="shared" si="6"/>
        <v>9029.4750000000004</v>
      </c>
      <c r="F24" s="143">
        <f t="shared" si="6"/>
        <v>9480.9487499999996</v>
      </c>
    </row>
    <row r="25" spans="1:6" ht="28.2" x14ac:dyDescent="0.3">
      <c r="A25" s="198" t="s">
        <v>538</v>
      </c>
      <c r="B25" s="220">
        <f>Amortización!C9</f>
        <v>62726.796928540018</v>
      </c>
      <c r="C25" s="220">
        <f>Amortización!C10</f>
        <v>62726.796928540018</v>
      </c>
      <c r="D25" s="220">
        <f>Amortización!C11</f>
        <v>62726.796928540018</v>
      </c>
      <c r="E25" s="220">
        <f>Amortización!C12</f>
        <v>62726.796928540018</v>
      </c>
      <c r="F25" s="220">
        <f>Amortización!C12</f>
        <v>62726.796928540018</v>
      </c>
    </row>
    <row r="26" spans="1:6" s="141" customFormat="1" x14ac:dyDescent="0.3">
      <c r="A26" s="203" t="s">
        <v>437</v>
      </c>
      <c r="B26" s="220">
        <f>Amortización!E9</f>
        <v>58226.796928540018</v>
      </c>
      <c r="C26" s="143">
        <f>Amortización!E10</f>
        <v>59100.198882468118</v>
      </c>
      <c r="D26" s="143">
        <f>Amortización!E11</f>
        <v>59986.701865705138</v>
      </c>
      <c r="E26" s="220">
        <f>Amortización!E12</f>
        <v>60886.502393690716</v>
      </c>
      <c r="F26" s="220">
        <f>Amortización!E13</f>
        <v>61799.799929596076</v>
      </c>
    </row>
    <row r="27" spans="1:6" x14ac:dyDescent="0.3">
      <c r="A27" s="161" t="s">
        <v>438</v>
      </c>
      <c r="B27" s="143">
        <f>Mobiliario!$J$15</f>
        <v>7730</v>
      </c>
      <c r="C27" s="143">
        <f>Mobiliario!$J$15</f>
        <v>7730</v>
      </c>
      <c r="D27" s="143">
        <f>Mobiliario!$J$15</f>
        <v>7730</v>
      </c>
      <c r="E27" s="143">
        <f>Mobiliario!$J$15</f>
        <v>7730</v>
      </c>
      <c r="F27" s="143">
        <f>Mobiliario!$J$15</f>
        <v>7730</v>
      </c>
    </row>
    <row r="28" spans="1:6" x14ac:dyDescent="0.3">
      <c r="A28" s="161" t="s">
        <v>431</v>
      </c>
      <c r="B28" s="143">
        <f>5000</f>
        <v>5000</v>
      </c>
      <c r="C28" s="143">
        <f>B28*15.6%+B28</f>
        <v>5780</v>
      </c>
      <c r="D28" s="143">
        <f t="shared" ref="D28:F28" si="7">C28*15.6%+C28</f>
        <v>6681.68</v>
      </c>
      <c r="E28" s="143">
        <f t="shared" si="7"/>
        <v>7724.0220800000006</v>
      </c>
      <c r="F28" s="143">
        <f t="shared" si="7"/>
        <v>8928.9695244800005</v>
      </c>
    </row>
    <row r="29" spans="1:6" x14ac:dyDescent="0.3">
      <c r="A29" s="85" t="s">
        <v>432</v>
      </c>
      <c r="B29" s="129">
        <f>SUM(B28,B17:B23,B25)</f>
        <v>702204.82156853995</v>
      </c>
      <c r="C29" s="129">
        <f t="shared" ref="C29:F29" si="8">SUM(C28,C17:C23,C25)</f>
        <v>958298.06892853999</v>
      </c>
      <c r="D29" s="129">
        <f t="shared" si="8"/>
        <v>1034415.55568054</v>
      </c>
      <c r="E29" s="129">
        <f t="shared" si="8"/>
        <v>1086908.1317290522</v>
      </c>
      <c r="F29" s="129">
        <f t="shared" si="8"/>
        <v>1141714.5545155001</v>
      </c>
    </row>
    <row r="30" spans="1:6" x14ac:dyDescent="0.3">
      <c r="A30" s="161"/>
      <c r="B30" s="143"/>
      <c r="C30" s="143"/>
      <c r="D30" s="143"/>
      <c r="E30" s="143"/>
      <c r="F30" s="143"/>
    </row>
    <row r="31" spans="1:6" x14ac:dyDescent="0.3">
      <c r="A31" s="85" t="s">
        <v>540</v>
      </c>
      <c r="B31" s="105">
        <f>B8-B14</f>
        <v>546563.96840895235</v>
      </c>
      <c r="C31" s="105">
        <f t="shared" ref="C31:F31" si="9">C8-C14</f>
        <v>683633.903485224</v>
      </c>
      <c r="D31" s="105">
        <f t="shared" si="9"/>
        <v>952154.53689435555</v>
      </c>
      <c r="E31" s="105">
        <f t="shared" si="9"/>
        <v>1548492.1338969443</v>
      </c>
      <c r="F31" s="105">
        <f t="shared" si="9"/>
        <v>2628344.5276268697</v>
      </c>
    </row>
    <row r="32" spans="1:6" x14ac:dyDescent="0.3">
      <c r="A32" s="161"/>
      <c r="B32" s="143"/>
      <c r="C32" s="143"/>
      <c r="D32" s="143"/>
      <c r="E32" s="143"/>
      <c r="F32" s="143"/>
    </row>
    <row r="33" spans="1:6" x14ac:dyDescent="0.3">
      <c r="A33" s="161" t="s">
        <v>599</v>
      </c>
      <c r="B33" s="143">
        <f>'Inversión Total'!B19</f>
        <v>350000</v>
      </c>
      <c r="C33" s="143"/>
      <c r="D33" s="143"/>
      <c r="E33" s="143"/>
      <c r="F33" s="143"/>
    </row>
    <row r="34" spans="1:6" x14ac:dyDescent="0.3">
      <c r="A34" s="161"/>
      <c r="B34" s="143"/>
      <c r="C34" s="143"/>
      <c r="D34" s="143"/>
      <c r="E34" s="143"/>
      <c r="F34" s="143"/>
    </row>
    <row r="35" spans="1:6" x14ac:dyDescent="0.3">
      <c r="A35" s="160" t="s">
        <v>434</v>
      </c>
      <c r="B35" s="105">
        <f>B31-B29</f>
        <v>-155640.8531595876</v>
      </c>
      <c r="C35" s="105">
        <f>C31-C29</f>
        <v>-274664.16544331599</v>
      </c>
      <c r="D35" s="105">
        <f t="shared" ref="D35:E35" si="10">D31-D29</f>
        <v>-82261.01878618449</v>
      </c>
      <c r="E35" s="105">
        <f t="shared" si="10"/>
        <v>461584.00216789218</v>
      </c>
      <c r="F35" s="105">
        <f>F31-F29</f>
        <v>1486629.9731113696</v>
      </c>
    </row>
    <row r="37" spans="1:6" x14ac:dyDescent="0.3"/>
  </sheetData>
  <mergeCells count="2">
    <mergeCell ref="A1:F1"/>
    <mergeCell ref="A2:F2"/>
  </mergeCells>
  <phoneticPr fontId="1" type="noConversion"/>
  <pageMargins left="0.7" right="0.7" top="0.75" bottom="0.75" header="0.3" footer="0.3"/>
  <pageSetup orientation="portrait" horizontalDpi="360" verticalDpi="360"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36B8-7930-4DD8-9660-9A816C05ED8B}">
  <dimension ref="A1:K23"/>
  <sheetViews>
    <sheetView showGridLines="0" zoomScale="102" workbookViewId="0">
      <selection activeCell="F23" sqref="F23"/>
    </sheetView>
  </sheetViews>
  <sheetFormatPr baseColWidth="10" defaultRowHeight="14.4" x14ac:dyDescent="0.3"/>
  <cols>
    <col min="1" max="1" width="5.109375" style="82" bestFit="1" customWidth="1"/>
    <col min="2" max="2" width="13.44140625" style="82" bestFit="1" customWidth="1"/>
    <col min="3" max="3" width="15.21875" style="104" bestFit="1" customWidth="1"/>
    <col min="4" max="4" width="15.21875" style="82" bestFit="1" customWidth="1"/>
    <col min="5" max="5" width="13.88671875" style="82" bestFit="1" customWidth="1"/>
    <col min="6" max="6" width="14.21875" style="82" bestFit="1" customWidth="1"/>
    <col min="7" max="7" width="14" style="82" bestFit="1" customWidth="1"/>
    <col min="8" max="8" width="30.88671875" customWidth="1"/>
    <col min="9" max="9" width="11.44140625" bestFit="1" customWidth="1"/>
    <col min="10" max="10" width="18.21875" bestFit="1" customWidth="1"/>
  </cols>
  <sheetData>
    <row r="1" spans="1:11" ht="15" thickBot="1" x14ac:dyDescent="0.35"/>
    <row r="2" spans="1:11" ht="27.6" customHeight="1" thickBot="1" x14ac:dyDescent="0.35">
      <c r="B2" s="323" t="s">
        <v>482</v>
      </c>
      <c r="C2" s="324"/>
      <c r="D2" s="101">
        <v>500000</v>
      </c>
      <c r="E2" s="298" t="s">
        <v>490</v>
      </c>
      <c r="F2" s="298"/>
      <c r="H2" s="192" t="s">
        <v>308</v>
      </c>
      <c r="I2" s="193" t="s">
        <v>530</v>
      </c>
      <c r="J2" s="193" t="s">
        <v>437</v>
      </c>
      <c r="K2" s="193" t="s">
        <v>529</v>
      </c>
    </row>
    <row r="3" spans="1:11" ht="28.2" thickBot="1" x14ac:dyDescent="0.35">
      <c r="B3" s="323" t="s">
        <v>481</v>
      </c>
      <c r="C3" s="324"/>
      <c r="D3" s="101">
        <v>350000</v>
      </c>
      <c r="E3" s="135" t="s">
        <v>483</v>
      </c>
      <c r="F3" s="135" t="s">
        <v>484</v>
      </c>
      <c r="H3" s="194" t="s">
        <v>311</v>
      </c>
      <c r="I3" s="195">
        <v>5000</v>
      </c>
      <c r="J3" s="196">
        <v>5</v>
      </c>
      <c r="K3" s="195">
        <f>I3/J3</f>
        <v>1000</v>
      </c>
    </row>
    <row r="4" spans="1:11" ht="15" thickBot="1" x14ac:dyDescent="0.35">
      <c r="B4" s="177">
        <v>0.6</v>
      </c>
      <c r="C4" s="136" t="s">
        <v>436</v>
      </c>
      <c r="D4" s="101">
        <f>D2*60%</f>
        <v>300000</v>
      </c>
      <c r="E4" s="214">
        <v>1.4999999999999999E-2</v>
      </c>
      <c r="F4" s="48">
        <v>5</v>
      </c>
      <c r="H4" s="194" t="s">
        <v>312</v>
      </c>
      <c r="I4" s="195">
        <v>850</v>
      </c>
      <c r="J4" s="196">
        <v>1</v>
      </c>
      <c r="K4" s="195">
        <f t="shared" ref="K4:K7" si="0">I4/J4</f>
        <v>850</v>
      </c>
    </row>
    <row r="5" spans="1:11" ht="15" thickBot="1" x14ac:dyDescent="0.35">
      <c r="A5" s="171"/>
      <c r="B5" s="3"/>
      <c r="C5" s="142"/>
      <c r="F5" s="169"/>
      <c r="H5" s="194" t="s">
        <v>313</v>
      </c>
      <c r="I5" s="195">
        <v>200</v>
      </c>
      <c r="J5" s="196">
        <v>1</v>
      </c>
      <c r="K5" s="195">
        <f t="shared" si="0"/>
        <v>200</v>
      </c>
    </row>
    <row r="6" spans="1:11" ht="15" thickBot="1" x14ac:dyDescent="0.35">
      <c r="B6" s="325" t="s">
        <v>491</v>
      </c>
      <c r="C6" s="325"/>
      <c r="D6" s="325"/>
      <c r="E6" s="325"/>
      <c r="F6" s="325"/>
      <c r="H6" s="194" t="s">
        <v>314</v>
      </c>
      <c r="I6" s="195">
        <v>3982</v>
      </c>
      <c r="J6" s="196">
        <v>3</v>
      </c>
      <c r="K6" s="195">
        <f t="shared" si="0"/>
        <v>1327.3333333333333</v>
      </c>
    </row>
    <row r="7" spans="1:11" ht="28.2" thickBot="1" x14ac:dyDescent="0.35">
      <c r="B7" s="135" t="s">
        <v>48</v>
      </c>
      <c r="C7" s="132" t="s">
        <v>486</v>
      </c>
      <c r="D7" s="178" t="s">
        <v>487</v>
      </c>
      <c r="E7" s="132" t="s">
        <v>488</v>
      </c>
      <c r="F7" s="132" t="s">
        <v>489</v>
      </c>
      <c r="H7" s="194" t="s">
        <v>315</v>
      </c>
      <c r="I7" s="195">
        <v>200</v>
      </c>
      <c r="J7" s="196">
        <v>1</v>
      </c>
      <c r="K7" s="195">
        <f t="shared" si="0"/>
        <v>200</v>
      </c>
    </row>
    <row r="8" spans="1:11" ht="15" thickBot="1" x14ac:dyDescent="0.35">
      <c r="B8" s="93">
        <v>0</v>
      </c>
      <c r="C8" s="173">
        <v>0</v>
      </c>
      <c r="D8" s="174">
        <v>0</v>
      </c>
      <c r="E8" s="173">
        <v>0</v>
      </c>
      <c r="F8" s="174">
        <f>D4*-1</f>
        <v>-300000</v>
      </c>
      <c r="H8" s="197" t="s">
        <v>67</v>
      </c>
      <c r="I8" s="195">
        <v>10232</v>
      </c>
    </row>
    <row r="9" spans="1:11" x14ac:dyDescent="0.3">
      <c r="B9" s="93">
        <v>1</v>
      </c>
      <c r="C9" s="175">
        <f>PMT($E$4,$F$4,$F$8,0)</f>
        <v>62726.796928540018</v>
      </c>
      <c r="D9" s="174">
        <f>ABS(F8*$E$4)</f>
        <v>4500</v>
      </c>
      <c r="E9" s="175">
        <f>C9-D9</f>
        <v>58226.796928540018</v>
      </c>
      <c r="F9" s="174">
        <f>F8+E9</f>
        <v>-241773.20307145998</v>
      </c>
    </row>
    <row r="10" spans="1:11" x14ac:dyDescent="0.3">
      <c r="B10" s="93">
        <v>2</v>
      </c>
      <c r="C10" s="175">
        <f>PMT($E$4,$F$4,$F$8,0)</f>
        <v>62726.796928540018</v>
      </c>
      <c r="D10" s="174">
        <f>ABS(F9*$E$4)</f>
        <v>3626.5980460718997</v>
      </c>
      <c r="E10" s="175">
        <f t="shared" ref="E10:E11" si="1">C10-D10</f>
        <v>59100.198882468118</v>
      </c>
      <c r="F10" s="174">
        <f>F9+E10</f>
        <v>-182673.00418899185</v>
      </c>
    </row>
    <row r="11" spans="1:11" x14ac:dyDescent="0.3">
      <c r="B11" s="93">
        <v>3</v>
      </c>
      <c r="C11" s="175">
        <f>PMT($E$4,$F$4,$F$8,0)</f>
        <v>62726.796928540018</v>
      </c>
      <c r="D11" s="174">
        <f>ABS(F10*$E$4)</f>
        <v>2740.0950628348778</v>
      </c>
      <c r="E11" s="175">
        <f t="shared" si="1"/>
        <v>59986.701865705138</v>
      </c>
      <c r="F11" s="174">
        <f>F10+E11</f>
        <v>-122686.30232328671</v>
      </c>
    </row>
    <row r="12" spans="1:11" x14ac:dyDescent="0.3">
      <c r="B12" s="93">
        <v>4</v>
      </c>
      <c r="C12" s="175">
        <f t="shared" ref="C12:C13" si="2">PMT($E$4,$F$4,$F$8,0)</f>
        <v>62726.796928540018</v>
      </c>
      <c r="D12" s="174">
        <f t="shared" ref="D12:D13" si="3">ABS(F11*$E$4)</f>
        <v>1840.2945348493006</v>
      </c>
      <c r="E12" s="175">
        <f t="shared" ref="E12:E13" si="4">C12-D12</f>
        <v>60886.502393690716</v>
      </c>
      <c r="F12" s="174">
        <f>F11+E12</f>
        <v>-61799.799929595996</v>
      </c>
    </row>
    <row r="13" spans="1:11" x14ac:dyDescent="0.3">
      <c r="B13" s="93">
        <v>5</v>
      </c>
      <c r="C13" s="175">
        <f t="shared" si="2"/>
        <v>62726.796928540018</v>
      </c>
      <c r="D13" s="174">
        <f t="shared" si="3"/>
        <v>926.99699894393996</v>
      </c>
      <c r="E13" s="175">
        <f t="shared" si="4"/>
        <v>61799.799929596076</v>
      </c>
      <c r="F13" s="174">
        <f>F12+E13</f>
        <v>8.0035533756017685E-11</v>
      </c>
    </row>
    <row r="14" spans="1:11" x14ac:dyDescent="0.3">
      <c r="B14" s="217"/>
      <c r="C14" s="218"/>
      <c r="D14" s="219"/>
      <c r="E14" s="218"/>
      <c r="F14" s="219"/>
    </row>
    <row r="15" spans="1:11" x14ac:dyDescent="0.3">
      <c r="B15" s="217"/>
      <c r="C15" s="218"/>
      <c r="D15" s="219"/>
      <c r="E15" s="218"/>
      <c r="F15" s="219"/>
    </row>
    <row r="17" spans="2:6" x14ac:dyDescent="0.3">
      <c r="B17" s="136" t="s">
        <v>82</v>
      </c>
      <c r="C17" s="132" t="s">
        <v>486</v>
      </c>
      <c r="D17" s="178" t="s">
        <v>487</v>
      </c>
      <c r="E17" s="132" t="s">
        <v>488</v>
      </c>
      <c r="F17" s="132" t="s">
        <v>489</v>
      </c>
    </row>
    <row r="18" spans="2:6" x14ac:dyDescent="0.3">
      <c r="B18" s="136" t="s">
        <v>495</v>
      </c>
      <c r="C18" s="179"/>
      <c r="D18" s="179"/>
      <c r="E18" s="179"/>
      <c r="F18" s="179"/>
    </row>
    <row r="19" spans="2:6" x14ac:dyDescent="0.3">
      <c r="B19" s="136" t="s">
        <v>492</v>
      </c>
      <c r="C19" s="101">
        <f>C9/12</f>
        <v>5227.2330773783351</v>
      </c>
      <c r="D19" s="101">
        <f t="shared" ref="D19:F19" si="5">D9/12</f>
        <v>375</v>
      </c>
      <c r="E19" s="101">
        <f t="shared" si="5"/>
        <v>4852.2330773783351</v>
      </c>
      <c r="F19" s="101">
        <f t="shared" si="5"/>
        <v>-20147.766922621664</v>
      </c>
    </row>
    <row r="20" spans="2:6" x14ac:dyDescent="0.3">
      <c r="B20" s="136" t="s">
        <v>493</v>
      </c>
      <c r="C20" s="101">
        <f>C10/12</f>
        <v>5227.2330773783351</v>
      </c>
      <c r="D20" s="101">
        <f t="shared" ref="D20:F20" si="6">D10/12</f>
        <v>302.21650383932496</v>
      </c>
      <c r="E20" s="101">
        <f t="shared" si="6"/>
        <v>4925.0165735390101</v>
      </c>
      <c r="F20" s="101">
        <f t="shared" si="6"/>
        <v>-15222.750349082655</v>
      </c>
    </row>
    <row r="21" spans="2:6" x14ac:dyDescent="0.3">
      <c r="B21" s="136" t="s">
        <v>494</v>
      </c>
      <c r="C21" s="101">
        <f>C11/12</f>
        <v>5227.2330773783351</v>
      </c>
      <c r="D21" s="101">
        <f t="shared" ref="D21:F21" si="7">D11/12</f>
        <v>228.34125523623982</v>
      </c>
      <c r="E21" s="101">
        <f t="shared" si="7"/>
        <v>4998.8918221420945</v>
      </c>
      <c r="F21" s="101">
        <f t="shared" si="7"/>
        <v>-10223.858526940559</v>
      </c>
    </row>
    <row r="22" spans="2:6" x14ac:dyDescent="0.3">
      <c r="B22" s="136" t="s">
        <v>531</v>
      </c>
      <c r="C22" s="101">
        <f t="shared" ref="C22:F22" si="8">C12/12</f>
        <v>5227.2330773783351</v>
      </c>
      <c r="D22" s="101">
        <f t="shared" si="8"/>
        <v>153.35787790410839</v>
      </c>
      <c r="E22" s="101">
        <f t="shared" si="8"/>
        <v>5073.8751994742261</v>
      </c>
      <c r="F22" s="101">
        <f t="shared" si="8"/>
        <v>-5149.9833274663333</v>
      </c>
    </row>
    <row r="23" spans="2:6" x14ac:dyDescent="0.3">
      <c r="B23" s="136" t="s">
        <v>532</v>
      </c>
      <c r="C23" s="101">
        <f t="shared" ref="C23:F23" si="9">C13/12</f>
        <v>5227.2330773783351</v>
      </c>
      <c r="D23" s="101">
        <f t="shared" si="9"/>
        <v>77.249749911994996</v>
      </c>
      <c r="E23" s="101">
        <f t="shared" si="9"/>
        <v>5149.9833274663397</v>
      </c>
      <c r="F23" s="101">
        <f t="shared" si="9"/>
        <v>6.6696278130014735E-12</v>
      </c>
    </row>
  </sheetData>
  <mergeCells count="4">
    <mergeCell ref="B3:C3"/>
    <mergeCell ref="B2:C2"/>
    <mergeCell ref="E2:F2"/>
    <mergeCell ref="B6:F6"/>
  </mergeCells>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7D156-1F92-48F7-B667-A4DF3E7B3411}">
  <dimension ref="A1:R223"/>
  <sheetViews>
    <sheetView showGridLines="0" zoomScale="71" zoomScaleNormal="80" workbookViewId="0">
      <selection activeCell="H11" sqref="H11"/>
    </sheetView>
  </sheetViews>
  <sheetFormatPr baseColWidth="10" defaultRowHeight="14.4" x14ac:dyDescent="0.3"/>
  <cols>
    <col min="1" max="1" width="24.6640625" style="36" bestFit="1" customWidth="1"/>
    <col min="2" max="2" width="15.5546875" style="36" bestFit="1" customWidth="1"/>
    <col min="3" max="4" width="14.5546875" style="36" bestFit="1" customWidth="1"/>
    <col min="5" max="6" width="14.5546875" style="109" bestFit="1" customWidth="1"/>
    <col min="7" max="7" width="13.109375" style="109" bestFit="1" customWidth="1"/>
    <col min="8" max="8" width="16.6640625" style="109" bestFit="1" customWidth="1"/>
    <col min="9" max="9" width="11.5546875" style="36"/>
    <col min="17" max="17" width="17.6640625" style="123" bestFit="1" customWidth="1"/>
    <col min="18" max="18" width="11.5546875" style="82"/>
  </cols>
  <sheetData>
    <row r="1" spans="1:18" x14ac:dyDescent="0.3">
      <c r="A1" s="331" t="s">
        <v>352</v>
      </c>
      <c r="B1" s="332"/>
      <c r="C1" s="332"/>
      <c r="D1" s="332"/>
      <c r="E1" s="332"/>
      <c r="F1" s="332"/>
      <c r="G1" s="332"/>
      <c r="H1" s="333"/>
      <c r="Q1" s="325" t="s">
        <v>364</v>
      </c>
      <c r="R1" s="325"/>
    </row>
    <row r="2" spans="1:18" s="107" customFormat="1" x14ac:dyDescent="0.3">
      <c r="A2" s="329" t="s">
        <v>46</v>
      </c>
      <c r="B2" s="326" t="s">
        <v>132</v>
      </c>
      <c r="C2" s="327"/>
      <c r="D2" s="328"/>
      <c r="E2" s="334" t="s">
        <v>341</v>
      </c>
      <c r="F2" s="336" t="s">
        <v>118</v>
      </c>
      <c r="G2" s="337"/>
      <c r="H2" s="338"/>
      <c r="I2" s="84"/>
      <c r="Q2" s="2" t="s">
        <v>365</v>
      </c>
      <c r="R2" s="125">
        <v>0.156</v>
      </c>
    </row>
    <row r="3" spans="1:18" s="107" customFormat="1" x14ac:dyDescent="0.3">
      <c r="A3" s="330"/>
      <c r="B3" s="114" t="s">
        <v>344</v>
      </c>
      <c r="C3" s="114" t="s">
        <v>345</v>
      </c>
      <c r="D3" s="114" t="s">
        <v>343</v>
      </c>
      <c r="E3" s="335"/>
      <c r="F3" s="114" t="s">
        <v>351</v>
      </c>
      <c r="G3" s="115" t="s">
        <v>342</v>
      </c>
      <c r="H3" s="115" t="s">
        <v>343</v>
      </c>
      <c r="I3" s="84"/>
      <c r="Q3" s="2" t="s">
        <v>485</v>
      </c>
      <c r="R3" s="124">
        <v>0.1</v>
      </c>
    </row>
    <row r="4" spans="1:18" x14ac:dyDescent="0.3">
      <c r="A4" s="48" t="s">
        <v>346</v>
      </c>
      <c r="B4" s="116">
        <v>1</v>
      </c>
      <c r="C4" s="116">
        <f>B4*30</f>
        <v>30</v>
      </c>
      <c r="D4" s="116">
        <f>C4*12</f>
        <v>360</v>
      </c>
      <c r="E4" s="96">
        <v>332.07</v>
      </c>
      <c r="F4" s="96">
        <f>B4*E4</f>
        <v>332.07</v>
      </c>
      <c r="G4" s="96">
        <f>C4*E4</f>
        <v>9962.1</v>
      </c>
      <c r="H4" s="96">
        <f>D4*E4</f>
        <v>119545.2</v>
      </c>
      <c r="K4" s="119"/>
      <c r="Q4" s="2" t="s">
        <v>366</v>
      </c>
      <c r="R4" s="124">
        <v>0.05</v>
      </c>
    </row>
    <row r="5" spans="1:18" x14ac:dyDescent="0.3">
      <c r="A5" s="48" t="s">
        <v>347</v>
      </c>
      <c r="B5" s="116">
        <v>1</v>
      </c>
      <c r="C5" s="116">
        <f t="shared" ref="C5:C10" si="0">B5*30</f>
        <v>30</v>
      </c>
      <c r="D5" s="116">
        <f t="shared" ref="D5:D10" si="1">C5*12</f>
        <v>360</v>
      </c>
      <c r="E5" s="96">
        <v>441.61</v>
      </c>
      <c r="F5" s="122">
        <f>B5*E5</f>
        <v>441.61</v>
      </c>
      <c r="G5" s="122">
        <f>C5*E5</f>
        <v>13248.300000000001</v>
      </c>
      <c r="H5" s="122">
        <f t="shared" ref="H5:H10" si="2">D5*E5</f>
        <v>158979.6</v>
      </c>
      <c r="K5" s="119"/>
      <c r="L5" s="120"/>
      <c r="Q5" s="2" t="s">
        <v>367</v>
      </c>
      <c r="R5" s="125">
        <v>5.0000000000000001E-3</v>
      </c>
    </row>
    <row r="6" spans="1:18" x14ac:dyDescent="0.3">
      <c r="A6" s="48" t="s">
        <v>200</v>
      </c>
      <c r="B6" s="116">
        <v>1</v>
      </c>
      <c r="C6" s="116">
        <f t="shared" si="0"/>
        <v>30</v>
      </c>
      <c r="D6" s="116">
        <f t="shared" si="1"/>
        <v>360</v>
      </c>
      <c r="E6" s="96">
        <v>432.69</v>
      </c>
      <c r="F6" s="122">
        <f t="shared" ref="F6:F8" si="3">B6*E6</f>
        <v>432.69</v>
      </c>
      <c r="G6" s="122">
        <f>C6*E6</f>
        <v>12980.7</v>
      </c>
      <c r="H6" s="122">
        <f t="shared" si="2"/>
        <v>155768.4</v>
      </c>
      <c r="K6" s="119"/>
      <c r="L6" s="120"/>
    </row>
    <row r="7" spans="1:18" x14ac:dyDescent="0.3">
      <c r="A7" s="48" t="s">
        <v>348</v>
      </c>
      <c r="B7" s="116">
        <v>1</v>
      </c>
      <c r="C7" s="116">
        <f t="shared" si="0"/>
        <v>30</v>
      </c>
      <c r="D7" s="116">
        <f t="shared" si="1"/>
        <v>360</v>
      </c>
      <c r="E7" s="96">
        <v>493.8</v>
      </c>
      <c r="F7" s="122">
        <f>B7*E7</f>
        <v>493.8</v>
      </c>
      <c r="G7" s="122">
        <f>C7*E7</f>
        <v>14814</v>
      </c>
      <c r="H7" s="122">
        <f t="shared" si="2"/>
        <v>177768</v>
      </c>
      <c r="K7" s="119"/>
      <c r="L7" s="120"/>
    </row>
    <row r="8" spans="1:18" x14ac:dyDescent="0.3">
      <c r="A8" s="48" t="s">
        <v>195</v>
      </c>
      <c r="B8" s="116"/>
      <c r="C8" s="116">
        <f t="shared" si="0"/>
        <v>0</v>
      </c>
      <c r="D8" s="116">
        <f t="shared" si="1"/>
        <v>0</v>
      </c>
      <c r="E8" s="96">
        <v>426.25</v>
      </c>
      <c r="F8" s="122">
        <f t="shared" si="3"/>
        <v>0</v>
      </c>
      <c r="G8" s="122">
        <f t="shared" ref="G8:G10" si="4">C8*E8</f>
        <v>0</v>
      </c>
      <c r="H8" s="122">
        <f t="shared" si="2"/>
        <v>0</v>
      </c>
    </row>
    <row r="9" spans="1:18" x14ac:dyDescent="0.3">
      <c r="A9" s="48" t="s">
        <v>349</v>
      </c>
      <c r="B9" s="116"/>
      <c r="C9" s="116">
        <f t="shared" si="0"/>
        <v>0</v>
      </c>
      <c r="D9" s="116">
        <f t="shared" si="1"/>
        <v>0</v>
      </c>
      <c r="E9" s="96">
        <v>453.47</v>
      </c>
      <c r="F9" s="122">
        <f>B9*E9</f>
        <v>0</v>
      </c>
      <c r="G9" s="122">
        <f>C9*E9</f>
        <v>0</v>
      </c>
      <c r="H9" s="122">
        <f t="shared" si="2"/>
        <v>0</v>
      </c>
    </row>
    <row r="10" spans="1:18" ht="15" thickBot="1" x14ac:dyDescent="0.35">
      <c r="A10" s="112" t="s">
        <v>350</v>
      </c>
      <c r="B10" s="117">
        <v>1</v>
      </c>
      <c r="C10" s="117">
        <f t="shared" si="0"/>
        <v>30</v>
      </c>
      <c r="D10" s="117">
        <f t="shared" si="1"/>
        <v>360</v>
      </c>
      <c r="E10" s="113">
        <v>208.42</v>
      </c>
      <c r="F10" s="113">
        <f>B10*E10</f>
        <v>208.42</v>
      </c>
      <c r="G10" s="113">
        <f t="shared" si="4"/>
        <v>6252.5999999999995</v>
      </c>
      <c r="H10" s="113">
        <f t="shared" si="2"/>
        <v>75031.199999999997</v>
      </c>
    </row>
    <row r="11" spans="1:18" s="107" customFormat="1" ht="15" thickTop="1" x14ac:dyDescent="0.3">
      <c r="A11" s="110" t="s">
        <v>67</v>
      </c>
      <c r="B11" s="110">
        <f>SUM(B4:B10)</f>
        <v>5</v>
      </c>
      <c r="C11" s="118">
        <f t="shared" ref="C11:H11" si="5">SUM(C4:C10)</f>
        <v>150</v>
      </c>
      <c r="D11" s="118">
        <f t="shared" si="5"/>
        <v>1800</v>
      </c>
      <c r="E11" s="111">
        <f t="shared" si="5"/>
        <v>2788.3100000000004</v>
      </c>
      <c r="F11" s="152">
        <f>SUM(F4:F10)</f>
        <v>1908.5900000000001</v>
      </c>
      <c r="G11" s="111">
        <f>SUM(G4:G10)</f>
        <v>57257.700000000004</v>
      </c>
      <c r="H11" s="111">
        <f t="shared" si="5"/>
        <v>687092.39999999991</v>
      </c>
      <c r="I11" s="84"/>
      <c r="Q11" s="123"/>
      <c r="R11" s="123"/>
    </row>
    <row r="17" spans="1:8" x14ac:dyDescent="0.3">
      <c r="A17" s="331" t="s">
        <v>355</v>
      </c>
      <c r="B17" s="332"/>
      <c r="C17" s="332"/>
      <c r="D17" s="332"/>
      <c r="E17" s="332"/>
      <c r="F17" s="332"/>
      <c r="G17" s="332"/>
      <c r="H17" s="333"/>
    </row>
    <row r="18" spans="1:8" x14ac:dyDescent="0.3">
      <c r="A18" s="329" t="s">
        <v>46</v>
      </c>
      <c r="B18" s="326" t="s">
        <v>132</v>
      </c>
      <c r="C18" s="327"/>
      <c r="D18" s="328"/>
      <c r="E18" s="334" t="s">
        <v>341</v>
      </c>
      <c r="F18" s="336" t="s">
        <v>118</v>
      </c>
      <c r="G18" s="337"/>
      <c r="H18" s="338"/>
    </row>
    <row r="19" spans="1:8" x14ac:dyDescent="0.3">
      <c r="A19" s="330"/>
      <c r="B19" s="114" t="s">
        <v>344</v>
      </c>
      <c r="C19" s="114" t="s">
        <v>345</v>
      </c>
      <c r="D19" s="114" t="s">
        <v>343</v>
      </c>
      <c r="E19" s="335"/>
      <c r="F19" s="114" t="s">
        <v>351</v>
      </c>
      <c r="G19" s="115" t="s">
        <v>342</v>
      </c>
      <c r="H19" s="115" t="s">
        <v>343</v>
      </c>
    </row>
    <row r="20" spans="1:8" x14ac:dyDescent="0.3">
      <c r="A20" s="48" t="s">
        <v>346</v>
      </c>
      <c r="B20" s="116">
        <f>B4*($R$2+$R$3)+B4</f>
        <v>1.256</v>
      </c>
      <c r="C20" s="116">
        <f>B20*30</f>
        <v>37.68</v>
      </c>
      <c r="D20" s="116">
        <f>C20*12</f>
        <v>452.15999999999997</v>
      </c>
      <c r="E20" s="96">
        <f>E4*$R$5%+E4</f>
        <v>332.08660349999997</v>
      </c>
      <c r="F20" s="122">
        <f>B20*E20</f>
        <v>417.10077399599999</v>
      </c>
      <c r="G20" s="122">
        <f>C20*E20</f>
        <v>12513.023219879999</v>
      </c>
      <c r="H20" s="122">
        <f>D20*E20</f>
        <v>150156.27863855998</v>
      </c>
    </row>
    <row r="21" spans="1:8" x14ac:dyDescent="0.3">
      <c r="A21" s="48" t="s">
        <v>347</v>
      </c>
      <c r="B21" s="116">
        <f>B5*($R$2+$R$3)+B5</f>
        <v>1.256</v>
      </c>
      <c r="C21" s="116">
        <f t="shared" ref="C21:C26" si="6">B21*30</f>
        <v>37.68</v>
      </c>
      <c r="D21" s="116">
        <f t="shared" ref="D21:D26" si="7">C21*12</f>
        <v>452.15999999999997</v>
      </c>
      <c r="E21" s="122">
        <f t="shared" ref="E21:E26" si="8">E5*$R$5%+E5</f>
        <v>441.63208050000003</v>
      </c>
      <c r="F21" s="122">
        <f>B21*E21</f>
        <v>554.68989310800009</v>
      </c>
      <c r="G21" s="122">
        <f t="shared" ref="G21:G26" si="9">C21*E21</f>
        <v>16640.69679324</v>
      </c>
      <c r="H21" s="122">
        <f t="shared" ref="H21:H26" si="10">D21*E21</f>
        <v>199688.36151888</v>
      </c>
    </row>
    <row r="22" spans="1:8" x14ac:dyDescent="0.3">
      <c r="A22" s="48" t="s">
        <v>200</v>
      </c>
      <c r="B22" s="116">
        <f>B6*($R$2+$R$3)+B6</f>
        <v>1.256</v>
      </c>
      <c r="C22" s="116">
        <f t="shared" si="6"/>
        <v>37.68</v>
      </c>
      <c r="D22" s="116">
        <f t="shared" si="7"/>
        <v>452.15999999999997</v>
      </c>
      <c r="E22" s="122">
        <f t="shared" si="8"/>
        <v>432.7116345</v>
      </c>
      <c r="F22" s="122">
        <f t="shared" ref="F22" si="11">B22*E22</f>
        <v>543.48581293200004</v>
      </c>
      <c r="G22" s="122">
        <f t="shared" si="9"/>
        <v>16304.57438796</v>
      </c>
      <c r="H22" s="122">
        <f t="shared" si="10"/>
        <v>195654.89265552</v>
      </c>
    </row>
    <row r="23" spans="1:8" x14ac:dyDescent="0.3">
      <c r="A23" s="48" t="s">
        <v>348</v>
      </c>
      <c r="B23" s="116">
        <f t="shared" ref="B23:B26" si="12">B7*($R$2+$R$3)+B7</f>
        <v>1.256</v>
      </c>
      <c r="C23" s="116">
        <f t="shared" si="6"/>
        <v>37.68</v>
      </c>
      <c r="D23" s="116">
        <f t="shared" si="7"/>
        <v>452.15999999999997</v>
      </c>
      <c r="E23" s="122">
        <f t="shared" si="8"/>
        <v>493.82469000000003</v>
      </c>
      <c r="F23" s="122">
        <f>B23*E23</f>
        <v>620.24381063999999</v>
      </c>
      <c r="G23" s="122">
        <f t="shared" si="9"/>
        <v>18607.314319200003</v>
      </c>
      <c r="H23" s="122">
        <f t="shared" si="10"/>
        <v>223287.77183039999</v>
      </c>
    </row>
    <row r="24" spans="1:8" x14ac:dyDescent="0.3">
      <c r="A24" s="48" t="s">
        <v>195</v>
      </c>
      <c r="B24" s="116">
        <v>1</v>
      </c>
      <c r="C24" s="116">
        <f>B24*30</f>
        <v>30</v>
      </c>
      <c r="D24" s="116">
        <f t="shared" si="7"/>
        <v>360</v>
      </c>
      <c r="E24" s="122">
        <f t="shared" si="8"/>
        <v>426.27131250000002</v>
      </c>
      <c r="F24" s="122">
        <f t="shared" ref="F24" si="13">B24*E24</f>
        <v>426.27131250000002</v>
      </c>
      <c r="G24" s="122">
        <f t="shared" si="9"/>
        <v>12788.139375000001</v>
      </c>
      <c r="H24" s="122">
        <f t="shared" si="10"/>
        <v>153457.67250000002</v>
      </c>
    </row>
    <row r="25" spans="1:8" x14ac:dyDescent="0.3">
      <c r="A25" s="48" t="s">
        <v>349</v>
      </c>
      <c r="B25" s="116"/>
      <c r="C25" s="116">
        <f t="shared" si="6"/>
        <v>0</v>
      </c>
      <c r="D25" s="116">
        <f t="shared" si="7"/>
        <v>0</v>
      </c>
      <c r="E25" s="122">
        <f t="shared" si="8"/>
        <v>453.49267350000002</v>
      </c>
      <c r="F25" s="122">
        <f>B25*E25</f>
        <v>0</v>
      </c>
      <c r="G25" s="122">
        <f t="shared" si="9"/>
        <v>0</v>
      </c>
      <c r="H25" s="122">
        <f t="shared" si="10"/>
        <v>0</v>
      </c>
    </row>
    <row r="26" spans="1:8" ht="15" thickBot="1" x14ac:dyDescent="0.35">
      <c r="A26" s="112" t="s">
        <v>350</v>
      </c>
      <c r="B26" s="117">
        <f t="shared" si="12"/>
        <v>1.256</v>
      </c>
      <c r="C26" s="117">
        <f t="shared" si="6"/>
        <v>37.68</v>
      </c>
      <c r="D26" s="117">
        <f t="shared" si="7"/>
        <v>452.15999999999997</v>
      </c>
      <c r="E26" s="113">
        <f t="shared" si="8"/>
        <v>208.430421</v>
      </c>
      <c r="F26" s="113">
        <f>B26*E26</f>
        <v>261.78860877599999</v>
      </c>
      <c r="G26" s="113">
        <f t="shared" si="9"/>
        <v>7853.65826328</v>
      </c>
      <c r="H26" s="113">
        <f t="shared" si="10"/>
        <v>94243.899159359993</v>
      </c>
    </row>
    <row r="27" spans="1:8" ht="15" thickTop="1" x14ac:dyDescent="0.3">
      <c r="A27" s="110" t="s">
        <v>67</v>
      </c>
      <c r="B27" s="110">
        <f t="shared" ref="B27:G27" si="14">SUM(B20:B26)</f>
        <v>7.28</v>
      </c>
      <c r="C27" s="118">
        <f t="shared" si="14"/>
        <v>218.4</v>
      </c>
      <c r="D27" s="118">
        <f t="shared" si="14"/>
        <v>2620.7999999999997</v>
      </c>
      <c r="E27" s="111">
        <f t="shared" si="14"/>
        <v>2788.4494154999998</v>
      </c>
      <c r="F27" s="111">
        <f t="shared" si="14"/>
        <v>2823.5802119519999</v>
      </c>
      <c r="G27" s="111">
        <f t="shared" si="14"/>
        <v>84707.406358559994</v>
      </c>
      <c r="H27" s="111">
        <f>SUM(H20:H26)</f>
        <v>1016488.8763027199</v>
      </c>
    </row>
    <row r="33" spans="1:8" x14ac:dyDescent="0.3">
      <c r="A33" s="331" t="s">
        <v>356</v>
      </c>
      <c r="B33" s="332"/>
      <c r="C33" s="332"/>
      <c r="D33" s="332"/>
      <c r="E33" s="332"/>
      <c r="F33" s="332"/>
      <c r="G33" s="332"/>
      <c r="H33" s="333"/>
    </row>
    <row r="34" spans="1:8" x14ac:dyDescent="0.3">
      <c r="A34" s="329" t="s">
        <v>46</v>
      </c>
      <c r="B34" s="326" t="s">
        <v>132</v>
      </c>
      <c r="C34" s="327"/>
      <c r="D34" s="328"/>
      <c r="E34" s="334" t="s">
        <v>341</v>
      </c>
      <c r="F34" s="336" t="s">
        <v>118</v>
      </c>
      <c r="G34" s="337"/>
      <c r="H34" s="338"/>
    </row>
    <row r="35" spans="1:8" x14ac:dyDescent="0.3">
      <c r="A35" s="330"/>
      <c r="B35" s="114" t="s">
        <v>344</v>
      </c>
      <c r="C35" s="114" t="s">
        <v>345</v>
      </c>
      <c r="D35" s="114" t="s">
        <v>343</v>
      </c>
      <c r="E35" s="335"/>
      <c r="F35" s="114" t="s">
        <v>351</v>
      </c>
      <c r="G35" s="115" t="s">
        <v>342</v>
      </c>
      <c r="H35" s="115" t="s">
        <v>343</v>
      </c>
    </row>
    <row r="36" spans="1:8" x14ac:dyDescent="0.3">
      <c r="A36" s="48" t="s">
        <v>346</v>
      </c>
      <c r="B36" s="116">
        <f>B20*($R$2+$R$3)+B20</f>
        <v>1.577536</v>
      </c>
      <c r="C36" s="116">
        <f>B36*30</f>
        <v>47.326080000000005</v>
      </c>
      <c r="D36" s="116">
        <f>C36*12</f>
        <v>567.91296000000011</v>
      </c>
      <c r="E36" s="96">
        <f>E20*$R$4+E20</f>
        <v>348.69093367499994</v>
      </c>
      <c r="F36" s="122">
        <f>B36*E36</f>
        <v>550.07250074592469</v>
      </c>
      <c r="G36" s="122">
        <f>C36*E36</f>
        <v>16502.175022377742</v>
      </c>
      <c r="H36" s="122">
        <f>D36*E36</f>
        <v>198026.10026853293</v>
      </c>
    </row>
    <row r="37" spans="1:8" x14ac:dyDescent="0.3">
      <c r="A37" s="48" t="s">
        <v>347</v>
      </c>
      <c r="B37" s="116">
        <f>B21*($R$2+$R$3)+B21</f>
        <v>1.577536</v>
      </c>
      <c r="C37" s="116">
        <f t="shared" ref="C37:C42" si="15">B37*30</f>
        <v>47.326080000000005</v>
      </c>
      <c r="D37" s="116">
        <f t="shared" ref="D37:D42" si="16">C37*12</f>
        <v>567.91296000000011</v>
      </c>
      <c r="E37" s="122">
        <f t="shared" ref="E37:E42" si="17">E21*$R$4+E21</f>
        <v>463.71368452500002</v>
      </c>
      <c r="F37" s="122">
        <f>B37*E37</f>
        <v>731.52503103083041</v>
      </c>
      <c r="G37" s="122">
        <f t="shared" ref="G37:G42" si="18">C37*E37</f>
        <v>21945.750930924914</v>
      </c>
      <c r="H37" s="122">
        <f>D37*E37</f>
        <v>263349.01117109903</v>
      </c>
    </row>
    <row r="38" spans="1:8" x14ac:dyDescent="0.3">
      <c r="A38" s="48" t="s">
        <v>200</v>
      </c>
      <c r="B38" s="116">
        <f t="shared" ref="B38" si="19">B22*($R$2+$R$3)+B22</f>
        <v>1.577536</v>
      </c>
      <c r="C38" s="116">
        <f t="shared" si="15"/>
        <v>47.326080000000005</v>
      </c>
      <c r="D38" s="116">
        <f t="shared" si="16"/>
        <v>567.91296000000011</v>
      </c>
      <c r="E38" s="122">
        <f t="shared" si="17"/>
        <v>454.34721622500001</v>
      </c>
      <c r="F38" s="122">
        <f t="shared" ref="F38" si="20">B38*E38</f>
        <v>716.74909009472162</v>
      </c>
      <c r="G38" s="122">
        <f t="shared" si="18"/>
        <v>21502.472702841649</v>
      </c>
      <c r="H38" s="122">
        <f t="shared" ref="H38:H42" si="21">D38*E38</f>
        <v>258029.67243409983</v>
      </c>
    </row>
    <row r="39" spans="1:8" x14ac:dyDescent="0.3">
      <c r="A39" s="48" t="s">
        <v>348</v>
      </c>
      <c r="B39" s="116">
        <f>1*($R$2+$R$3)+1</f>
        <v>1.256</v>
      </c>
      <c r="C39" s="116">
        <f t="shared" si="15"/>
        <v>37.68</v>
      </c>
      <c r="D39" s="116">
        <f t="shared" si="16"/>
        <v>452.15999999999997</v>
      </c>
      <c r="E39" s="122">
        <f t="shared" si="17"/>
        <v>518.51592449999998</v>
      </c>
      <c r="F39" s="122">
        <f>B39*E39</f>
        <v>651.25600117199997</v>
      </c>
      <c r="G39" s="122">
        <f t="shared" si="18"/>
        <v>19537.68003516</v>
      </c>
      <c r="H39" s="122">
        <f>D39*E39</f>
        <v>234452.16042191998</v>
      </c>
    </row>
    <row r="40" spans="1:8" x14ac:dyDescent="0.3">
      <c r="A40" s="48" t="s">
        <v>195</v>
      </c>
      <c r="B40" s="116">
        <f>1*($R$2+$R$3)+1</f>
        <v>1.256</v>
      </c>
      <c r="C40" s="116">
        <f t="shared" si="15"/>
        <v>37.68</v>
      </c>
      <c r="D40" s="116">
        <f t="shared" si="16"/>
        <v>452.15999999999997</v>
      </c>
      <c r="E40" s="122">
        <f t="shared" si="17"/>
        <v>447.58487812500005</v>
      </c>
      <c r="F40" s="122">
        <f t="shared" ref="F40" si="22">B40*E40</f>
        <v>562.16660692500011</v>
      </c>
      <c r="G40" s="122">
        <f t="shared" si="18"/>
        <v>16864.998207750003</v>
      </c>
      <c r="H40" s="122">
        <f t="shared" si="21"/>
        <v>202379.978493</v>
      </c>
    </row>
    <row r="41" spans="1:8" x14ac:dyDescent="0.3">
      <c r="A41" s="48" t="s">
        <v>349</v>
      </c>
      <c r="B41" s="116">
        <f>1*($R$2+$R$3)+1</f>
        <v>1.256</v>
      </c>
      <c r="C41" s="116">
        <f t="shared" si="15"/>
        <v>37.68</v>
      </c>
      <c r="D41" s="116">
        <f t="shared" si="16"/>
        <v>452.15999999999997</v>
      </c>
      <c r="E41" s="122">
        <f>E25*$R$4+E25</f>
        <v>476.16730717500002</v>
      </c>
      <c r="F41" s="122">
        <f>B41*E41</f>
        <v>598.06613781179999</v>
      </c>
      <c r="G41" s="122">
        <f t="shared" si="18"/>
        <v>17941.984134353999</v>
      </c>
      <c r="H41" s="122">
        <f t="shared" si="21"/>
        <v>215303.80961224801</v>
      </c>
    </row>
    <row r="42" spans="1:8" ht="15" thickBot="1" x14ac:dyDescent="0.35">
      <c r="A42" s="112" t="s">
        <v>350</v>
      </c>
      <c r="B42" s="117">
        <v>1</v>
      </c>
      <c r="C42" s="117">
        <f t="shared" si="15"/>
        <v>30</v>
      </c>
      <c r="D42" s="117">
        <f t="shared" si="16"/>
        <v>360</v>
      </c>
      <c r="E42" s="113">
        <f t="shared" si="17"/>
        <v>218.85194204999999</v>
      </c>
      <c r="F42" s="113">
        <f>B42*E42</f>
        <v>218.85194204999999</v>
      </c>
      <c r="G42" s="113">
        <f t="shared" si="18"/>
        <v>6565.5582614999994</v>
      </c>
      <c r="H42" s="113">
        <f t="shared" si="21"/>
        <v>78786.699137999996</v>
      </c>
    </row>
    <row r="43" spans="1:8" ht="15" thickTop="1" x14ac:dyDescent="0.3">
      <c r="A43" s="110" t="s">
        <v>67</v>
      </c>
      <c r="B43" s="110">
        <f t="shared" ref="B43:G43" si="23">SUM(B36:B42)</f>
        <v>9.5006079999999997</v>
      </c>
      <c r="C43" s="118">
        <f t="shared" si="23"/>
        <v>285.01824000000005</v>
      </c>
      <c r="D43" s="118">
        <f t="shared" si="23"/>
        <v>3420.2188799999999</v>
      </c>
      <c r="E43" s="111">
        <f t="shared" si="23"/>
        <v>2927.8718862750002</v>
      </c>
      <c r="F43" s="111">
        <f t="shared" si="23"/>
        <v>4028.6873098302772</v>
      </c>
      <c r="G43" s="111">
        <f t="shared" si="23"/>
        <v>120860.61929490831</v>
      </c>
      <c r="H43" s="134">
        <f>SUM(H36:H42)</f>
        <v>1450327.4315388997</v>
      </c>
    </row>
    <row r="49" spans="1:8" x14ac:dyDescent="0.3">
      <c r="A49" s="331" t="s">
        <v>357</v>
      </c>
      <c r="B49" s="332"/>
      <c r="C49" s="332"/>
      <c r="D49" s="332"/>
      <c r="E49" s="332"/>
      <c r="F49" s="332"/>
      <c r="G49" s="332"/>
      <c r="H49" s="333"/>
    </row>
    <row r="50" spans="1:8" x14ac:dyDescent="0.3">
      <c r="A50" s="329" t="s">
        <v>46</v>
      </c>
      <c r="B50" s="326" t="s">
        <v>132</v>
      </c>
      <c r="C50" s="327"/>
      <c r="D50" s="328"/>
      <c r="E50" s="334" t="s">
        <v>341</v>
      </c>
      <c r="F50" s="336" t="s">
        <v>118</v>
      </c>
      <c r="G50" s="337"/>
      <c r="H50" s="338"/>
    </row>
    <row r="51" spans="1:8" x14ac:dyDescent="0.3">
      <c r="A51" s="330"/>
      <c r="B51" s="114" t="s">
        <v>344</v>
      </c>
      <c r="C51" s="114" t="s">
        <v>345</v>
      </c>
      <c r="D51" s="114" t="s">
        <v>343</v>
      </c>
      <c r="E51" s="335"/>
      <c r="F51" s="114" t="s">
        <v>351</v>
      </c>
      <c r="G51" s="115" t="s">
        <v>342</v>
      </c>
      <c r="H51" s="115" t="s">
        <v>343</v>
      </c>
    </row>
    <row r="52" spans="1:8" x14ac:dyDescent="0.3">
      <c r="A52" s="48" t="s">
        <v>346</v>
      </c>
      <c r="B52" s="116">
        <f>B36*($R$2+$R$3)+B36</f>
        <v>1.9813852160000001</v>
      </c>
      <c r="C52" s="116">
        <f>B52*30</f>
        <v>59.441556480000003</v>
      </c>
      <c r="D52" s="116">
        <f>C52*12</f>
        <v>713.29867776000003</v>
      </c>
      <c r="E52" s="96">
        <f>E36*$R$4+E36</f>
        <v>366.12548035874994</v>
      </c>
      <c r="F52" s="122">
        <f>B52*E52</f>
        <v>725.43561398372549</v>
      </c>
      <c r="G52" s="122">
        <f>C52*E52</f>
        <v>21763.068419511765</v>
      </c>
      <c r="H52" s="122">
        <f>D52*E52</f>
        <v>261156.82103414121</v>
      </c>
    </row>
    <row r="53" spans="1:8" x14ac:dyDescent="0.3">
      <c r="A53" s="48" t="s">
        <v>347</v>
      </c>
      <c r="B53" s="116">
        <f t="shared" ref="B53:B56" si="24">B37*($R$2+$R$3)+B37</f>
        <v>1.9813852160000001</v>
      </c>
      <c r="C53" s="116">
        <f t="shared" ref="C53:C58" si="25">B53*30</f>
        <v>59.441556480000003</v>
      </c>
      <c r="D53" s="116">
        <f t="shared" ref="D53:D58" si="26">C53*12</f>
        <v>713.29867776000003</v>
      </c>
      <c r="E53" s="122">
        <f t="shared" ref="E53:E58" si="27">E37*$R$4+E37</f>
        <v>486.89936875124999</v>
      </c>
      <c r="F53" s="122">
        <f>B53*E53</f>
        <v>964.73521092345914</v>
      </c>
      <c r="G53" s="122">
        <f t="shared" ref="G53:G58" si="28">C53*E53</f>
        <v>28942.056327703776</v>
      </c>
      <c r="H53" s="122">
        <f t="shared" ref="H53:H58" si="29">D53*E53</f>
        <v>347304.67593244527</v>
      </c>
    </row>
    <row r="54" spans="1:8" x14ac:dyDescent="0.3">
      <c r="A54" s="48" t="s">
        <v>200</v>
      </c>
      <c r="B54" s="116">
        <f t="shared" si="24"/>
        <v>1.9813852160000001</v>
      </c>
      <c r="C54" s="116">
        <f t="shared" si="25"/>
        <v>59.441556480000003</v>
      </c>
      <c r="D54" s="116">
        <f t="shared" si="26"/>
        <v>713.29867776000003</v>
      </c>
      <c r="E54" s="122">
        <f t="shared" si="27"/>
        <v>477.06457703625</v>
      </c>
      <c r="F54" s="122">
        <f t="shared" ref="F54" si="30">B54*E54</f>
        <v>945.24870001691886</v>
      </c>
      <c r="G54" s="122">
        <f t="shared" si="28"/>
        <v>28357.461000507566</v>
      </c>
      <c r="H54" s="122">
        <f t="shared" si="29"/>
        <v>340289.5320060908</v>
      </c>
    </row>
    <row r="55" spans="1:8" x14ac:dyDescent="0.3">
      <c r="A55" s="48" t="s">
        <v>348</v>
      </c>
      <c r="B55" s="116">
        <f t="shared" si="24"/>
        <v>1.577536</v>
      </c>
      <c r="C55" s="116">
        <f t="shared" si="25"/>
        <v>47.326080000000005</v>
      </c>
      <c r="D55" s="116">
        <f t="shared" si="26"/>
        <v>567.91296000000011</v>
      </c>
      <c r="E55" s="122">
        <f t="shared" si="27"/>
        <v>544.44172072499998</v>
      </c>
      <c r="F55" s="122">
        <f>B55*E55</f>
        <v>858.87641434563363</v>
      </c>
      <c r="G55" s="122">
        <f t="shared" si="28"/>
        <v>25766.292430369009</v>
      </c>
      <c r="H55" s="122">
        <f t="shared" si="29"/>
        <v>309195.50916442816</v>
      </c>
    </row>
    <row r="56" spans="1:8" x14ac:dyDescent="0.3">
      <c r="A56" s="48" t="s">
        <v>195</v>
      </c>
      <c r="B56" s="116">
        <f t="shared" si="24"/>
        <v>1.577536</v>
      </c>
      <c r="C56" s="116">
        <f t="shared" si="25"/>
        <v>47.326080000000005</v>
      </c>
      <c r="D56" s="116">
        <f t="shared" si="26"/>
        <v>567.91296000000011</v>
      </c>
      <c r="E56" s="122">
        <f t="shared" si="27"/>
        <v>469.96412203125004</v>
      </c>
      <c r="F56" s="122">
        <f t="shared" ref="F56" si="31">B56*E56</f>
        <v>741.38532121269009</v>
      </c>
      <c r="G56" s="122">
        <f t="shared" si="28"/>
        <v>22241.559636380705</v>
      </c>
      <c r="H56" s="122">
        <f t="shared" si="29"/>
        <v>266898.71563656849</v>
      </c>
    </row>
    <row r="57" spans="1:8" x14ac:dyDescent="0.3">
      <c r="A57" s="48" t="s">
        <v>349</v>
      </c>
      <c r="B57" s="116">
        <f>B41*($R$2+$R$3)+B41</f>
        <v>1.577536</v>
      </c>
      <c r="C57" s="116">
        <f t="shared" si="25"/>
        <v>47.326080000000005</v>
      </c>
      <c r="D57" s="116">
        <f t="shared" si="26"/>
        <v>567.91296000000011</v>
      </c>
      <c r="E57" s="122">
        <f t="shared" si="27"/>
        <v>499.97567253375001</v>
      </c>
      <c r="F57" s="122">
        <f>B57*E57</f>
        <v>788.72962254620188</v>
      </c>
      <c r="G57" s="122">
        <f t="shared" si="28"/>
        <v>23661.888676386057</v>
      </c>
      <c r="H57" s="122">
        <f t="shared" si="29"/>
        <v>283942.66411663272</v>
      </c>
    </row>
    <row r="58" spans="1:8" ht="15" thickBot="1" x14ac:dyDescent="0.35">
      <c r="A58" s="112" t="s">
        <v>350</v>
      </c>
      <c r="B58" s="117">
        <f>B42*($R$2+$R$3)+B42</f>
        <v>1.256</v>
      </c>
      <c r="C58" s="117">
        <f t="shared" si="25"/>
        <v>37.68</v>
      </c>
      <c r="D58" s="117">
        <f t="shared" si="26"/>
        <v>452.15999999999997</v>
      </c>
      <c r="E58" s="113">
        <f t="shared" si="27"/>
        <v>229.79453915249999</v>
      </c>
      <c r="F58" s="113">
        <f>B58*E58</f>
        <v>288.62194117553997</v>
      </c>
      <c r="G58" s="113">
        <f t="shared" si="28"/>
        <v>8658.658235266199</v>
      </c>
      <c r="H58" s="113">
        <f t="shared" si="29"/>
        <v>103903.89882319439</v>
      </c>
    </row>
    <row r="59" spans="1:8" ht="15" thickTop="1" x14ac:dyDescent="0.3">
      <c r="A59" s="110" t="s">
        <v>67</v>
      </c>
      <c r="B59" s="213">
        <f t="shared" ref="B59:H59" si="32">SUM(B52:B58)</f>
        <v>11.932763648000002</v>
      </c>
      <c r="C59" s="118">
        <f t="shared" si="32"/>
        <v>357.98290944000001</v>
      </c>
      <c r="D59" s="118">
        <f t="shared" si="32"/>
        <v>4295.7949132800004</v>
      </c>
      <c r="E59" s="111">
        <f t="shared" si="32"/>
        <v>3074.2654805887501</v>
      </c>
      <c r="F59" s="111">
        <f t="shared" si="32"/>
        <v>5313.0328242041696</v>
      </c>
      <c r="G59" s="111">
        <f t="shared" si="32"/>
        <v>159390.98472612508</v>
      </c>
      <c r="H59" s="111">
        <f t="shared" si="32"/>
        <v>1912691.816713501</v>
      </c>
    </row>
    <row r="65" spans="1:18" x14ac:dyDescent="0.3">
      <c r="A65" s="331" t="s">
        <v>353</v>
      </c>
      <c r="B65" s="332"/>
      <c r="C65" s="332"/>
      <c r="D65" s="332"/>
      <c r="E65" s="332"/>
      <c r="F65" s="332"/>
      <c r="G65" s="332"/>
      <c r="H65" s="333"/>
    </row>
    <row r="66" spans="1:18" s="107" customFormat="1" x14ac:dyDescent="0.3">
      <c r="A66" s="329" t="s">
        <v>46</v>
      </c>
      <c r="B66" s="326" t="s">
        <v>132</v>
      </c>
      <c r="C66" s="327"/>
      <c r="D66" s="328"/>
      <c r="E66" s="334" t="s">
        <v>341</v>
      </c>
      <c r="F66" s="336" t="s">
        <v>118</v>
      </c>
      <c r="G66" s="337"/>
      <c r="H66" s="338"/>
      <c r="I66" s="84"/>
      <c r="Q66" s="123"/>
      <c r="R66" s="123"/>
    </row>
    <row r="67" spans="1:18" s="107" customFormat="1" x14ac:dyDescent="0.3">
      <c r="A67" s="330"/>
      <c r="B67" s="114" t="s">
        <v>344</v>
      </c>
      <c r="C67" s="114" t="s">
        <v>345</v>
      </c>
      <c r="D67" s="114" t="s">
        <v>343</v>
      </c>
      <c r="E67" s="335"/>
      <c r="F67" s="114" t="s">
        <v>351</v>
      </c>
      <c r="G67" s="115" t="s">
        <v>342</v>
      </c>
      <c r="H67" s="115" t="s">
        <v>343</v>
      </c>
      <c r="I67" s="84"/>
      <c r="Q67" s="123"/>
      <c r="R67" s="123"/>
    </row>
    <row r="68" spans="1:18" x14ac:dyDescent="0.3">
      <c r="A68" s="48" t="s">
        <v>346</v>
      </c>
      <c r="B68" s="116">
        <f>B52*($R$2+$R$3)+B52</f>
        <v>2.488619831296</v>
      </c>
      <c r="C68" s="116">
        <f>B68*30</f>
        <v>74.65859493888</v>
      </c>
      <c r="D68" s="116">
        <f>C68*12</f>
        <v>895.90313926655995</v>
      </c>
      <c r="E68" s="96">
        <f>E52*$R$4+E52</f>
        <v>384.43175437668742</v>
      </c>
      <c r="F68" s="122">
        <f>B68*E68</f>
        <v>956.70448772173711</v>
      </c>
      <c r="G68" s="122">
        <f>C68*E68</f>
        <v>28701.134631652116</v>
      </c>
      <c r="H68" s="122">
        <f>D68*E68</f>
        <v>344413.61557982536</v>
      </c>
    </row>
    <row r="69" spans="1:18" x14ac:dyDescent="0.3">
      <c r="A69" s="48" t="s">
        <v>347</v>
      </c>
      <c r="B69" s="116">
        <f t="shared" ref="B69:B74" si="33">B53*($R$2+$R$3)+B53</f>
        <v>2.488619831296</v>
      </c>
      <c r="C69" s="116">
        <f t="shared" ref="C69:C73" si="34">B69*30</f>
        <v>74.65859493888</v>
      </c>
      <c r="D69" s="116">
        <f t="shared" ref="D69:D74" si="35">C69*12</f>
        <v>895.90313926655995</v>
      </c>
      <c r="E69" s="122">
        <f t="shared" ref="E69:E73" si="36">E53*$R$4+E53</f>
        <v>511.24433718881249</v>
      </c>
      <c r="F69" s="122">
        <f>B69*E69</f>
        <v>1272.2927961658579</v>
      </c>
      <c r="G69" s="122">
        <f t="shared" ref="G69:G74" si="37">C69*E69</f>
        <v>38168.783884975739</v>
      </c>
      <c r="H69" s="122">
        <f t="shared" ref="H69:H74" si="38">D69*E69</f>
        <v>458025.40661970881</v>
      </c>
    </row>
    <row r="70" spans="1:18" x14ac:dyDescent="0.3">
      <c r="A70" s="48" t="s">
        <v>200</v>
      </c>
      <c r="B70" s="116">
        <f>B54*($R$2+$R$3)+B54</f>
        <v>2.488619831296</v>
      </c>
      <c r="C70" s="116">
        <f t="shared" si="34"/>
        <v>74.65859493888</v>
      </c>
      <c r="D70" s="116">
        <f t="shared" si="35"/>
        <v>895.90313926655995</v>
      </c>
      <c r="E70" s="122">
        <f t="shared" si="36"/>
        <v>500.9178058880625</v>
      </c>
      <c r="F70" s="122">
        <f t="shared" ref="F70" si="39">B70*E70</f>
        <v>1246.5939855823126</v>
      </c>
      <c r="G70" s="122">
        <f t="shared" si="37"/>
        <v>37397.819567469378</v>
      </c>
      <c r="H70" s="122">
        <f t="shared" si="38"/>
        <v>448773.83480963251</v>
      </c>
    </row>
    <row r="71" spans="1:18" x14ac:dyDescent="0.3">
      <c r="A71" s="48" t="s">
        <v>348</v>
      </c>
      <c r="B71" s="116">
        <f t="shared" si="33"/>
        <v>1.9813852160000001</v>
      </c>
      <c r="C71" s="116">
        <f t="shared" si="34"/>
        <v>59.441556480000003</v>
      </c>
      <c r="D71" s="116">
        <f t="shared" si="35"/>
        <v>713.29867776000003</v>
      </c>
      <c r="E71" s="122">
        <f t="shared" si="36"/>
        <v>571.66380676124993</v>
      </c>
      <c r="F71" s="122">
        <f>B71*E71</f>
        <v>1132.6862152390215</v>
      </c>
      <c r="G71" s="122">
        <f t="shared" si="37"/>
        <v>33980.586457170648</v>
      </c>
      <c r="H71" s="122">
        <f t="shared" si="38"/>
        <v>407767.03748604772</v>
      </c>
    </row>
    <row r="72" spans="1:18" x14ac:dyDescent="0.3">
      <c r="A72" s="48" t="s">
        <v>195</v>
      </c>
      <c r="B72" s="116">
        <f t="shared" si="33"/>
        <v>1.9813852160000001</v>
      </c>
      <c r="C72" s="116">
        <f t="shared" si="34"/>
        <v>59.441556480000003</v>
      </c>
      <c r="D72" s="116">
        <f t="shared" si="35"/>
        <v>713.29867776000003</v>
      </c>
      <c r="E72" s="122">
        <f t="shared" si="36"/>
        <v>493.46232813281256</v>
      </c>
      <c r="F72" s="122">
        <f t="shared" ref="F72" si="40">B72*E72</f>
        <v>977.73896161529569</v>
      </c>
      <c r="G72" s="122">
        <f t="shared" si="37"/>
        <v>29332.16884845887</v>
      </c>
      <c r="H72" s="122">
        <f t="shared" si="38"/>
        <v>351986.02618150646</v>
      </c>
    </row>
    <row r="73" spans="1:18" x14ac:dyDescent="0.3">
      <c r="A73" s="48" t="s">
        <v>349</v>
      </c>
      <c r="B73" s="116">
        <f t="shared" si="33"/>
        <v>1.9813852160000001</v>
      </c>
      <c r="C73" s="116">
        <f t="shared" si="34"/>
        <v>59.441556480000003</v>
      </c>
      <c r="D73" s="116">
        <f t="shared" si="35"/>
        <v>713.29867776000003</v>
      </c>
      <c r="E73" s="122">
        <f t="shared" si="36"/>
        <v>524.97445616043751</v>
      </c>
      <c r="F73" s="122">
        <f>B73*E73</f>
        <v>1040.1766262139311</v>
      </c>
      <c r="G73" s="122">
        <f t="shared" si="37"/>
        <v>31205.29878641793</v>
      </c>
      <c r="H73" s="122">
        <f t="shared" si="38"/>
        <v>374463.58543701516</v>
      </c>
    </row>
    <row r="74" spans="1:18" ht="15" thickBot="1" x14ac:dyDescent="0.35">
      <c r="A74" s="112" t="s">
        <v>350</v>
      </c>
      <c r="B74" s="117">
        <f t="shared" si="33"/>
        <v>1.577536</v>
      </c>
      <c r="C74" s="117">
        <f>B74*30</f>
        <v>47.326080000000005</v>
      </c>
      <c r="D74" s="117">
        <f t="shared" si="35"/>
        <v>567.91296000000011</v>
      </c>
      <c r="E74" s="113">
        <f>E58*$R$4+E58</f>
        <v>241.284266110125</v>
      </c>
      <c r="F74" s="113">
        <f>B74*E74</f>
        <v>380.63461602230217</v>
      </c>
      <c r="G74" s="113">
        <f t="shared" si="37"/>
        <v>11419.038480669065</v>
      </c>
      <c r="H74" s="113">
        <f t="shared" si="38"/>
        <v>137028.46176802879</v>
      </c>
    </row>
    <row r="75" spans="1:18" s="107" customFormat="1" ht="15" thickTop="1" x14ac:dyDescent="0.3">
      <c r="A75" s="110" t="s">
        <v>67</v>
      </c>
      <c r="B75" s="110">
        <f t="shared" ref="B75:H75" si="41">SUM(B68:B74)</f>
        <v>14.987551141888</v>
      </c>
      <c r="C75" s="118">
        <f t="shared" si="41"/>
        <v>449.62653425664001</v>
      </c>
      <c r="D75" s="118">
        <f t="shared" si="41"/>
        <v>5395.5184110796799</v>
      </c>
      <c r="E75" s="111">
        <f t="shared" si="41"/>
        <v>3227.9787546181874</v>
      </c>
      <c r="F75" s="111">
        <f t="shared" si="41"/>
        <v>7006.8276885604582</v>
      </c>
      <c r="G75" s="111">
        <f t="shared" si="41"/>
        <v>210204.83065681375</v>
      </c>
      <c r="H75" s="111">
        <f t="shared" si="41"/>
        <v>2522457.9678817648</v>
      </c>
      <c r="I75" s="84"/>
      <c r="Q75" s="123"/>
      <c r="R75" s="123"/>
    </row>
    <row r="81" spans="1:18" x14ac:dyDescent="0.3">
      <c r="A81" s="331" t="s">
        <v>358</v>
      </c>
      <c r="B81" s="332"/>
      <c r="C81" s="332"/>
      <c r="D81" s="332"/>
      <c r="E81" s="332"/>
      <c r="F81" s="332"/>
      <c r="G81" s="332"/>
      <c r="H81" s="333"/>
    </row>
    <row r="82" spans="1:18" s="107" customFormat="1" x14ac:dyDescent="0.3">
      <c r="A82" s="329" t="s">
        <v>46</v>
      </c>
      <c r="B82" s="326" t="s">
        <v>132</v>
      </c>
      <c r="C82" s="327"/>
      <c r="D82" s="328"/>
      <c r="E82" s="334" t="s">
        <v>341</v>
      </c>
      <c r="F82" s="336" t="s">
        <v>118</v>
      </c>
      <c r="G82" s="337"/>
      <c r="H82" s="338"/>
      <c r="I82" s="84"/>
      <c r="Q82" s="123"/>
      <c r="R82" s="123"/>
    </row>
    <row r="83" spans="1:18" s="107" customFormat="1" x14ac:dyDescent="0.3">
      <c r="A83" s="330"/>
      <c r="B83" s="114" t="s">
        <v>344</v>
      </c>
      <c r="C83" s="114" t="s">
        <v>345</v>
      </c>
      <c r="D83" s="114" t="s">
        <v>343</v>
      </c>
      <c r="E83" s="335"/>
      <c r="F83" s="114" t="s">
        <v>351</v>
      </c>
      <c r="G83" s="115" t="s">
        <v>342</v>
      </c>
      <c r="H83" s="115" t="s">
        <v>343</v>
      </c>
      <c r="I83" s="84"/>
      <c r="Q83" s="123"/>
      <c r="R83" s="123"/>
    </row>
    <row r="84" spans="1:18" x14ac:dyDescent="0.3">
      <c r="A84" s="48" t="s">
        <v>346</v>
      </c>
      <c r="B84" s="116">
        <f>B68*($R$2+$R$3)+B68</f>
        <v>3.1257065081077759</v>
      </c>
      <c r="C84" s="116">
        <f>B84*30</f>
        <v>93.771195243233279</v>
      </c>
      <c r="D84" s="116">
        <f>C84*12</f>
        <v>1125.2543429187995</v>
      </c>
      <c r="E84" s="96">
        <f>E68*$R$4+E68</f>
        <v>403.65334209552179</v>
      </c>
      <c r="F84" s="122">
        <f>B84*E84</f>
        <v>1261.7018784074269</v>
      </c>
      <c r="G84" s="122">
        <f>C84*E84</f>
        <v>37851.056352222811</v>
      </c>
      <c r="H84" s="122">
        <f>D84*E84</f>
        <v>454212.67622667376</v>
      </c>
    </row>
    <row r="85" spans="1:18" x14ac:dyDescent="0.3">
      <c r="A85" s="48" t="s">
        <v>347</v>
      </c>
      <c r="B85" s="116">
        <f t="shared" ref="B85:B89" si="42">B69*($R$2+$R$3)+B69</f>
        <v>3.1257065081077759</v>
      </c>
      <c r="C85" s="116">
        <f t="shared" ref="C85:C90" si="43">B85*30</f>
        <v>93.771195243233279</v>
      </c>
      <c r="D85" s="116">
        <f t="shared" ref="D85:D90" si="44">C85*12</f>
        <v>1125.2543429187995</v>
      </c>
      <c r="E85" s="122">
        <f t="shared" ref="E85:E90" si="45">E69*$R$4+E69</f>
        <v>536.80655404825313</v>
      </c>
      <c r="F85" s="122">
        <f>B85*E85</f>
        <v>1677.8997395835333</v>
      </c>
      <c r="G85" s="122">
        <f t="shared" ref="G85:G90" si="46">C85*E85</f>
        <v>50336.992187506003</v>
      </c>
      <c r="H85" s="122">
        <f t="shared" ref="H85:H90" si="47">D85*E85</f>
        <v>604043.90625007206</v>
      </c>
    </row>
    <row r="86" spans="1:18" x14ac:dyDescent="0.3">
      <c r="A86" s="48" t="s">
        <v>200</v>
      </c>
      <c r="B86" s="116">
        <f t="shared" si="42"/>
        <v>3.1257065081077759</v>
      </c>
      <c r="C86" s="116">
        <f t="shared" si="43"/>
        <v>93.771195243233279</v>
      </c>
      <c r="D86" s="116">
        <f t="shared" si="44"/>
        <v>1125.2543429187995</v>
      </c>
      <c r="E86" s="122">
        <f t="shared" si="45"/>
        <v>525.96369618246558</v>
      </c>
      <c r="F86" s="122">
        <f t="shared" ref="F86" si="48">B86*E86</f>
        <v>1644.0081481859536</v>
      </c>
      <c r="G86" s="122">
        <f t="shared" si="46"/>
        <v>49320.24444557861</v>
      </c>
      <c r="H86" s="122">
        <f t="shared" si="47"/>
        <v>591842.93334694335</v>
      </c>
    </row>
    <row r="87" spans="1:18" x14ac:dyDescent="0.3">
      <c r="A87" s="48" t="s">
        <v>348</v>
      </c>
      <c r="B87" s="116">
        <f t="shared" si="42"/>
        <v>2.488619831296</v>
      </c>
      <c r="C87" s="116">
        <f t="shared" si="43"/>
        <v>74.65859493888</v>
      </c>
      <c r="D87" s="116">
        <f t="shared" si="44"/>
        <v>895.90313926655995</v>
      </c>
      <c r="E87" s="122">
        <f t="shared" si="45"/>
        <v>600.24699709931247</v>
      </c>
      <c r="F87" s="122">
        <f>B87*E87</f>
        <v>1493.7865806572215</v>
      </c>
      <c r="G87" s="122">
        <f t="shared" si="46"/>
        <v>44813.597419716651</v>
      </c>
      <c r="H87" s="122">
        <f t="shared" si="47"/>
        <v>537763.16903659969</v>
      </c>
    </row>
    <row r="88" spans="1:18" x14ac:dyDescent="0.3">
      <c r="A88" s="48" t="s">
        <v>195</v>
      </c>
      <c r="B88" s="116">
        <f t="shared" si="42"/>
        <v>2.488619831296</v>
      </c>
      <c r="C88" s="116">
        <f t="shared" si="43"/>
        <v>74.65859493888</v>
      </c>
      <c r="D88" s="116">
        <f t="shared" si="44"/>
        <v>895.90313926655995</v>
      </c>
      <c r="E88" s="122">
        <f>E72*$R$4+E72</f>
        <v>518.13544453945315</v>
      </c>
      <c r="F88" s="122">
        <f t="shared" ref="F88" si="49">B88*E88</f>
        <v>1289.4421425782518</v>
      </c>
      <c r="G88" s="122">
        <f t="shared" si="46"/>
        <v>38683.264277347553</v>
      </c>
      <c r="H88" s="122">
        <f t="shared" si="47"/>
        <v>464199.17132817063</v>
      </c>
    </row>
    <row r="89" spans="1:18" x14ac:dyDescent="0.3">
      <c r="A89" s="48" t="s">
        <v>349</v>
      </c>
      <c r="B89" s="116">
        <f t="shared" si="42"/>
        <v>2.488619831296</v>
      </c>
      <c r="C89" s="116">
        <f t="shared" si="43"/>
        <v>74.65859493888</v>
      </c>
      <c r="D89" s="116">
        <f t="shared" si="44"/>
        <v>895.90313926655995</v>
      </c>
      <c r="E89" s="122">
        <f t="shared" si="45"/>
        <v>551.22317896845937</v>
      </c>
      <c r="F89" s="122">
        <f>B89*E89</f>
        <v>1371.7849346509322</v>
      </c>
      <c r="G89" s="122">
        <f t="shared" si="46"/>
        <v>41153.548039527966</v>
      </c>
      <c r="H89" s="122">
        <f t="shared" si="47"/>
        <v>493842.57647433557</v>
      </c>
    </row>
    <row r="90" spans="1:18" ht="15" thickBot="1" x14ac:dyDescent="0.35">
      <c r="A90" s="112" t="s">
        <v>350</v>
      </c>
      <c r="B90" s="117">
        <f>B74*($R$2+$R$3)+B74</f>
        <v>1.9813852160000001</v>
      </c>
      <c r="C90" s="117">
        <f t="shared" si="43"/>
        <v>59.441556480000003</v>
      </c>
      <c r="D90" s="117">
        <f t="shared" si="44"/>
        <v>713.29867776000003</v>
      </c>
      <c r="E90" s="113">
        <f t="shared" si="45"/>
        <v>253.34847941563126</v>
      </c>
      <c r="F90" s="113">
        <f>B90*E90</f>
        <v>501.98093161021211</v>
      </c>
      <c r="G90" s="113">
        <f t="shared" si="46"/>
        <v>15059.427948306364</v>
      </c>
      <c r="H90" s="113">
        <f t="shared" si="47"/>
        <v>180713.13537967636</v>
      </c>
    </row>
    <row r="91" spans="1:18" s="107" customFormat="1" ht="15" thickTop="1" x14ac:dyDescent="0.3">
      <c r="A91" s="110" t="s">
        <v>67</v>
      </c>
      <c r="B91" s="110">
        <f t="shared" ref="B91:H91" si="50">SUM(B84:B90)</f>
        <v>18.824364234211327</v>
      </c>
      <c r="C91" s="118">
        <f t="shared" si="50"/>
        <v>564.73092702633994</v>
      </c>
      <c r="D91" s="118">
        <f t="shared" si="50"/>
        <v>6776.7711243160784</v>
      </c>
      <c r="E91" s="111">
        <f t="shared" si="50"/>
        <v>3389.3776923490964</v>
      </c>
      <c r="F91" s="111">
        <f t="shared" si="50"/>
        <v>9240.6043556735331</v>
      </c>
      <c r="G91" s="111">
        <f t="shared" si="50"/>
        <v>277218.13067020598</v>
      </c>
      <c r="H91" s="111">
        <f t="shared" si="50"/>
        <v>3326617.5680424715</v>
      </c>
      <c r="I91" s="84"/>
      <c r="Q91" s="123"/>
      <c r="R91" s="123"/>
    </row>
    <row r="96" spans="1:18" s="107" customFormat="1" x14ac:dyDescent="0.3">
      <c r="A96" s="36"/>
      <c r="B96" s="36"/>
      <c r="C96" s="36"/>
      <c r="D96" s="36"/>
      <c r="E96" s="109"/>
      <c r="F96" s="109"/>
      <c r="G96" s="109"/>
      <c r="H96" s="109"/>
      <c r="I96" s="84"/>
      <c r="Q96" s="123"/>
      <c r="R96" s="123"/>
    </row>
    <row r="98" spans="1:18" x14ac:dyDescent="0.3">
      <c r="A98" s="331" t="s">
        <v>359</v>
      </c>
      <c r="B98" s="332"/>
      <c r="C98" s="332"/>
      <c r="D98" s="332"/>
      <c r="E98" s="332"/>
      <c r="F98" s="332"/>
      <c r="G98" s="332"/>
      <c r="H98" s="333"/>
    </row>
    <row r="99" spans="1:18" s="107" customFormat="1" x14ac:dyDescent="0.3">
      <c r="A99" s="329" t="s">
        <v>46</v>
      </c>
      <c r="B99" s="326" t="s">
        <v>132</v>
      </c>
      <c r="C99" s="327"/>
      <c r="D99" s="328"/>
      <c r="E99" s="334" t="s">
        <v>341</v>
      </c>
      <c r="F99" s="336" t="s">
        <v>118</v>
      </c>
      <c r="G99" s="337"/>
      <c r="H99" s="338"/>
      <c r="I99" s="84"/>
      <c r="Q99" s="123"/>
      <c r="R99" s="123"/>
    </row>
    <row r="100" spans="1:18" s="107" customFormat="1" x14ac:dyDescent="0.3">
      <c r="A100" s="330"/>
      <c r="B100" s="114" t="s">
        <v>344</v>
      </c>
      <c r="C100" s="114" t="s">
        <v>345</v>
      </c>
      <c r="D100" s="114" t="s">
        <v>343</v>
      </c>
      <c r="E100" s="335"/>
      <c r="F100" s="114" t="s">
        <v>351</v>
      </c>
      <c r="G100" s="115" t="s">
        <v>342</v>
      </c>
      <c r="H100" s="115" t="s">
        <v>343</v>
      </c>
      <c r="I100" s="84"/>
      <c r="Q100" s="123"/>
      <c r="R100" s="123"/>
    </row>
    <row r="101" spans="1:18" x14ac:dyDescent="0.3">
      <c r="A101" s="48" t="s">
        <v>346</v>
      </c>
      <c r="B101" s="116">
        <f>B84*($R$2+$R$3)+B84</f>
        <v>3.9258873741833664</v>
      </c>
      <c r="C101" s="116">
        <f>B101*30</f>
        <v>117.77662122550099</v>
      </c>
      <c r="D101" s="116">
        <f>C101*12</f>
        <v>1413.3194547060118</v>
      </c>
      <c r="E101" s="96">
        <f>E84*$R$4+E84</f>
        <v>423.83600920029789</v>
      </c>
      <c r="F101" s="122">
        <f>B101*E101</f>
        <v>1663.9324372437147</v>
      </c>
      <c r="G101" s="122">
        <f>C101*E101</f>
        <v>49917.973117311434</v>
      </c>
      <c r="H101" s="122">
        <f>D101*E101</f>
        <v>599015.67740773724</v>
      </c>
    </row>
    <row r="102" spans="1:18" x14ac:dyDescent="0.3">
      <c r="A102" s="48" t="s">
        <v>347</v>
      </c>
      <c r="B102" s="116">
        <f t="shared" ref="B102:B106" si="51">B85*($R$2+$R$3)+B85</f>
        <v>3.9258873741833664</v>
      </c>
      <c r="C102" s="116">
        <f t="shared" ref="C102:C107" si="52">B102*30</f>
        <v>117.77662122550099</v>
      </c>
      <c r="D102" s="116">
        <f t="shared" ref="D102:D107" si="53">C102*12</f>
        <v>1413.3194547060118</v>
      </c>
      <c r="E102" s="122">
        <f t="shared" ref="E102:E107" si="54">E85*$R$4+E85</f>
        <v>563.64688175066578</v>
      </c>
      <c r="F102" s="122">
        <f>B102*E102</f>
        <v>2212.8141765627638</v>
      </c>
      <c r="G102" s="122">
        <f t="shared" ref="G102:G107" si="55">C102*E102</f>
        <v>66384.42529688291</v>
      </c>
      <c r="H102" s="122">
        <f t="shared" ref="H102:H107" si="56">D102*E102</f>
        <v>796613.10356259486</v>
      </c>
    </row>
    <row r="103" spans="1:18" x14ac:dyDescent="0.3">
      <c r="A103" s="48" t="s">
        <v>200</v>
      </c>
      <c r="B103" s="116">
        <f t="shared" si="51"/>
        <v>3.9258873741833664</v>
      </c>
      <c r="C103" s="116">
        <f t="shared" si="52"/>
        <v>117.77662122550099</v>
      </c>
      <c r="D103" s="116">
        <f t="shared" si="53"/>
        <v>1413.3194547060118</v>
      </c>
      <c r="E103" s="122">
        <f t="shared" si="54"/>
        <v>552.2618809915889</v>
      </c>
      <c r="F103" s="122">
        <f t="shared" ref="F103" si="57">B103*E103</f>
        <v>2168.1179458276356</v>
      </c>
      <c r="G103" s="122">
        <f t="shared" si="55"/>
        <v>65043.53837482907</v>
      </c>
      <c r="H103" s="122">
        <f t="shared" si="56"/>
        <v>780522.46049794881</v>
      </c>
    </row>
    <row r="104" spans="1:18" x14ac:dyDescent="0.3">
      <c r="A104" s="48" t="s">
        <v>348</v>
      </c>
      <c r="B104" s="116">
        <f t="shared" si="51"/>
        <v>3.1257065081077759</v>
      </c>
      <c r="C104" s="116">
        <f t="shared" si="52"/>
        <v>93.771195243233279</v>
      </c>
      <c r="D104" s="116">
        <f t="shared" si="53"/>
        <v>1125.2543429187995</v>
      </c>
      <c r="E104" s="122">
        <f t="shared" si="54"/>
        <v>630.25934695427804</v>
      </c>
      <c r="F104" s="122">
        <f>B104*E104</f>
        <v>1970.0057425707437</v>
      </c>
      <c r="G104" s="122">
        <f t="shared" si="55"/>
        <v>59100.172277122314</v>
      </c>
      <c r="H104" s="122">
        <f t="shared" si="56"/>
        <v>709202.06732546783</v>
      </c>
    </row>
    <row r="105" spans="1:18" x14ac:dyDescent="0.3">
      <c r="A105" s="48" t="s">
        <v>195</v>
      </c>
      <c r="B105" s="116">
        <f>B88*($R$2+$R$3)+B88</f>
        <v>3.1257065081077759</v>
      </c>
      <c r="C105" s="116">
        <f t="shared" si="52"/>
        <v>93.771195243233279</v>
      </c>
      <c r="D105" s="116">
        <f t="shared" si="53"/>
        <v>1125.2543429187995</v>
      </c>
      <c r="E105" s="122">
        <f t="shared" si="54"/>
        <v>544.04221676642578</v>
      </c>
      <c r="F105" s="122">
        <f t="shared" ref="F105" si="58">B105*E105</f>
        <v>1700.5162976321985</v>
      </c>
      <c r="G105" s="122">
        <f t="shared" si="55"/>
        <v>51015.488928965955</v>
      </c>
      <c r="H105" s="122">
        <f t="shared" si="56"/>
        <v>612185.86714759155</v>
      </c>
    </row>
    <row r="106" spans="1:18" x14ac:dyDescent="0.3">
      <c r="A106" s="48" t="s">
        <v>349</v>
      </c>
      <c r="B106" s="116">
        <f t="shared" si="51"/>
        <v>3.1257065081077759</v>
      </c>
      <c r="C106" s="116">
        <f t="shared" si="52"/>
        <v>93.771195243233279</v>
      </c>
      <c r="D106" s="116">
        <f t="shared" si="53"/>
        <v>1125.2543429187995</v>
      </c>
      <c r="E106" s="122">
        <f t="shared" si="54"/>
        <v>578.78433791688235</v>
      </c>
      <c r="F106" s="122">
        <f>B106*E106</f>
        <v>1809.1099718176495</v>
      </c>
      <c r="G106" s="122">
        <f t="shared" si="55"/>
        <v>54273.299154529479</v>
      </c>
      <c r="H106" s="122">
        <f t="shared" si="56"/>
        <v>651279.58985435381</v>
      </c>
    </row>
    <row r="107" spans="1:18" ht="15" thickBot="1" x14ac:dyDescent="0.35">
      <c r="A107" s="112" t="s">
        <v>350</v>
      </c>
      <c r="B107" s="117">
        <f>B90*($R$2+$R$3)+B90</f>
        <v>2.488619831296</v>
      </c>
      <c r="C107" s="117">
        <f t="shared" si="52"/>
        <v>74.65859493888</v>
      </c>
      <c r="D107" s="117">
        <f t="shared" si="53"/>
        <v>895.90313926655995</v>
      </c>
      <c r="E107" s="113">
        <f t="shared" si="54"/>
        <v>266.01590338641284</v>
      </c>
      <c r="F107" s="113">
        <f>B107*E107</f>
        <v>662.01245260754774</v>
      </c>
      <c r="G107" s="113">
        <f t="shared" si="55"/>
        <v>19860.373578226434</v>
      </c>
      <c r="H107" s="113">
        <f t="shared" si="56"/>
        <v>238324.48293871718</v>
      </c>
    </row>
    <row r="108" spans="1:18" s="107" customFormat="1" ht="15" thickTop="1" x14ac:dyDescent="0.3">
      <c r="A108" s="110" t="s">
        <v>67</v>
      </c>
      <c r="B108" s="110">
        <f t="shared" ref="B108:H108" si="59">SUM(B101:B107)</f>
        <v>23.643401478169427</v>
      </c>
      <c r="C108" s="118">
        <f t="shared" si="59"/>
        <v>709.30204434508278</v>
      </c>
      <c r="D108" s="118">
        <f t="shared" si="59"/>
        <v>8511.6245321409933</v>
      </c>
      <c r="E108" s="111">
        <f t="shared" si="59"/>
        <v>3558.8465769665518</v>
      </c>
      <c r="F108" s="111">
        <f t="shared" si="59"/>
        <v>12186.509024262254</v>
      </c>
      <c r="G108" s="111">
        <f t="shared" si="59"/>
        <v>365595.27072786755</v>
      </c>
      <c r="H108" s="111">
        <f t="shared" si="59"/>
        <v>4387143.2487344109</v>
      </c>
      <c r="I108" s="84"/>
      <c r="Q108" s="123"/>
      <c r="R108" s="123"/>
    </row>
    <row r="113" spans="1:18" s="107" customFormat="1" x14ac:dyDescent="0.3">
      <c r="A113" s="36"/>
      <c r="B113" s="36"/>
      <c r="C113" s="36"/>
      <c r="D113" s="36"/>
      <c r="E113" s="109"/>
      <c r="F113" s="109"/>
      <c r="G113" s="109"/>
      <c r="H113" s="109"/>
      <c r="I113" s="84"/>
      <c r="Q113" s="123"/>
      <c r="R113" s="123"/>
    </row>
    <row r="115" spans="1:18" x14ac:dyDescent="0.3">
      <c r="A115" s="331" t="s">
        <v>354</v>
      </c>
      <c r="B115" s="332"/>
      <c r="C115" s="332"/>
      <c r="D115" s="332"/>
      <c r="E115" s="332"/>
      <c r="F115" s="332"/>
      <c r="G115" s="332"/>
      <c r="H115" s="333"/>
    </row>
    <row r="116" spans="1:18" s="107" customFormat="1" x14ac:dyDescent="0.3">
      <c r="A116" s="329" t="s">
        <v>46</v>
      </c>
      <c r="B116" s="326" t="s">
        <v>132</v>
      </c>
      <c r="C116" s="327"/>
      <c r="D116" s="328"/>
      <c r="E116" s="334" t="s">
        <v>341</v>
      </c>
      <c r="F116" s="336" t="s">
        <v>118</v>
      </c>
      <c r="G116" s="337"/>
      <c r="H116" s="338"/>
      <c r="I116" s="84"/>
      <c r="Q116" s="123"/>
      <c r="R116" s="123"/>
    </row>
    <row r="117" spans="1:18" s="107" customFormat="1" x14ac:dyDescent="0.3">
      <c r="A117" s="330"/>
      <c r="B117" s="114" t="s">
        <v>344</v>
      </c>
      <c r="C117" s="114" t="s">
        <v>345</v>
      </c>
      <c r="D117" s="114" t="s">
        <v>343</v>
      </c>
      <c r="E117" s="335"/>
      <c r="F117" s="114" t="s">
        <v>351</v>
      </c>
      <c r="G117" s="115" t="s">
        <v>342</v>
      </c>
      <c r="H117" s="115" t="s">
        <v>343</v>
      </c>
      <c r="I117" s="84"/>
      <c r="Q117" s="123"/>
      <c r="R117" s="123"/>
    </row>
    <row r="118" spans="1:18" x14ac:dyDescent="0.3">
      <c r="A118" s="48" t="s">
        <v>346</v>
      </c>
      <c r="B118" s="116">
        <f>B101*($R$2+$R$3)+B101</f>
        <v>4.9309145419743086</v>
      </c>
      <c r="C118" s="116">
        <f>B118*30</f>
        <v>147.92743625922927</v>
      </c>
      <c r="D118" s="116">
        <f>C118*12</f>
        <v>1775.1292351107513</v>
      </c>
      <c r="E118" s="96">
        <f>E101*$R$4+E101</f>
        <v>445.02780966031281</v>
      </c>
      <c r="F118" s="122">
        <f>B118*E118</f>
        <v>2194.3940982370109</v>
      </c>
      <c r="G118" s="122">
        <f>C118*E118</f>
        <v>65831.82294711034</v>
      </c>
      <c r="H118" s="122">
        <f>D118*E118</f>
        <v>789981.87536532409</v>
      </c>
    </row>
    <row r="119" spans="1:18" x14ac:dyDescent="0.3">
      <c r="A119" s="48" t="s">
        <v>347</v>
      </c>
      <c r="B119" s="116">
        <f t="shared" ref="B119:B124" si="60">B102*($R$2+$R$3)+B102</f>
        <v>4.9309145419743086</v>
      </c>
      <c r="C119" s="116">
        <f t="shared" ref="C119:C124" si="61">B119*30</f>
        <v>147.92743625922927</v>
      </c>
      <c r="D119" s="116">
        <f t="shared" ref="D119:D124" si="62">C119*12</f>
        <v>1775.1292351107513</v>
      </c>
      <c r="E119" s="122">
        <f t="shared" ref="E119:E124" si="63">E102*$R$4+E102</f>
        <v>591.82922583819902</v>
      </c>
      <c r="F119" s="122">
        <f>B119*E119</f>
        <v>2918.2593360509727</v>
      </c>
      <c r="G119" s="122">
        <f t="shared" ref="G119:G124" si="64">C119*E119</f>
        <v>87547.780081529185</v>
      </c>
      <c r="H119" s="122">
        <f t="shared" ref="H119:H124" si="65">D119*E119</f>
        <v>1050573.3609783503</v>
      </c>
    </row>
    <row r="120" spans="1:18" x14ac:dyDescent="0.3">
      <c r="A120" s="48" t="s">
        <v>200</v>
      </c>
      <c r="B120" s="116">
        <f t="shared" si="60"/>
        <v>4.9309145419743086</v>
      </c>
      <c r="C120" s="116">
        <f t="shared" si="61"/>
        <v>147.92743625922927</v>
      </c>
      <c r="D120" s="116">
        <f t="shared" si="62"/>
        <v>1775.1292351107513</v>
      </c>
      <c r="E120" s="122">
        <f t="shared" si="63"/>
        <v>579.87497504116834</v>
      </c>
      <c r="F120" s="122">
        <f t="shared" ref="F120" si="66">B120*E120</f>
        <v>2859.3139469574862</v>
      </c>
      <c r="G120" s="122">
        <f t="shared" si="64"/>
        <v>85779.418408724596</v>
      </c>
      <c r="H120" s="122">
        <f t="shared" si="65"/>
        <v>1029353.0209046951</v>
      </c>
    </row>
    <row r="121" spans="1:18" x14ac:dyDescent="0.3">
      <c r="A121" s="48" t="s">
        <v>348</v>
      </c>
      <c r="B121" s="116">
        <f t="shared" si="60"/>
        <v>3.9258873741833664</v>
      </c>
      <c r="C121" s="116">
        <f t="shared" si="61"/>
        <v>117.77662122550099</v>
      </c>
      <c r="D121" s="116">
        <f t="shared" si="62"/>
        <v>1413.3194547060118</v>
      </c>
      <c r="E121" s="122">
        <f t="shared" si="63"/>
        <v>661.77231430199197</v>
      </c>
      <c r="F121" s="122">
        <f>B121*E121</f>
        <v>2598.0435733022969</v>
      </c>
      <c r="G121" s="122">
        <f t="shared" si="64"/>
        <v>77941.307199068906</v>
      </c>
      <c r="H121" s="122">
        <f t="shared" si="65"/>
        <v>935295.6863888267</v>
      </c>
    </row>
    <row r="122" spans="1:18" x14ac:dyDescent="0.3">
      <c r="A122" s="48" t="s">
        <v>195</v>
      </c>
      <c r="B122" s="116">
        <f>B105*($R$2+$R$3)+B105</f>
        <v>3.9258873741833664</v>
      </c>
      <c r="C122" s="116">
        <f t="shared" si="61"/>
        <v>117.77662122550099</v>
      </c>
      <c r="D122" s="116">
        <f t="shared" si="62"/>
        <v>1413.3194547060118</v>
      </c>
      <c r="E122" s="122">
        <f t="shared" si="63"/>
        <v>571.24432760474701</v>
      </c>
      <c r="F122" s="122">
        <f t="shared" ref="F122" si="67">B122*E122</f>
        <v>2242.6408933173429</v>
      </c>
      <c r="G122" s="122">
        <f t="shared" si="64"/>
        <v>67279.226799520286</v>
      </c>
      <c r="H122" s="122">
        <f t="shared" si="65"/>
        <v>807350.72159424343</v>
      </c>
    </row>
    <row r="123" spans="1:18" x14ac:dyDescent="0.3">
      <c r="A123" s="48" t="s">
        <v>349</v>
      </c>
      <c r="B123" s="116">
        <f t="shared" si="60"/>
        <v>3.9258873741833664</v>
      </c>
      <c r="C123" s="116">
        <f t="shared" si="61"/>
        <v>117.77662122550099</v>
      </c>
      <c r="D123" s="116">
        <f t="shared" si="62"/>
        <v>1413.3194547060118</v>
      </c>
      <c r="E123" s="122">
        <f t="shared" si="63"/>
        <v>607.72355481272643</v>
      </c>
      <c r="F123" s="122">
        <f>B123*E123</f>
        <v>2385.8542308331157</v>
      </c>
      <c r="G123" s="122">
        <f t="shared" si="64"/>
        <v>71575.62692499347</v>
      </c>
      <c r="H123" s="122">
        <f t="shared" si="65"/>
        <v>858907.52309992164</v>
      </c>
    </row>
    <row r="124" spans="1:18" ht="15" thickBot="1" x14ac:dyDescent="0.35">
      <c r="A124" s="112" t="s">
        <v>350</v>
      </c>
      <c r="B124" s="117">
        <f t="shared" si="60"/>
        <v>3.1257065081077759</v>
      </c>
      <c r="C124" s="117">
        <f t="shared" si="61"/>
        <v>93.771195243233279</v>
      </c>
      <c r="D124" s="117">
        <f t="shared" si="62"/>
        <v>1125.2543429187995</v>
      </c>
      <c r="E124" s="113">
        <f t="shared" si="63"/>
        <v>279.31669855573347</v>
      </c>
      <c r="F124" s="113">
        <f>B124*E124</f>
        <v>873.06202249883393</v>
      </c>
      <c r="G124" s="113">
        <f t="shared" si="64"/>
        <v>26191.860674965017</v>
      </c>
      <c r="H124" s="113">
        <f t="shared" si="65"/>
        <v>314302.32809958025</v>
      </c>
    </row>
    <row r="125" spans="1:18" s="107" customFormat="1" ht="15" thickTop="1" x14ac:dyDescent="0.3">
      <c r="A125" s="110" t="s">
        <v>67</v>
      </c>
      <c r="B125" s="110">
        <f t="shared" ref="B125:H125" si="68">SUM(B118:B124)</f>
        <v>29.696112256580804</v>
      </c>
      <c r="C125" s="118">
        <f t="shared" si="68"/>
        <v>890.88336769742409</v>
      </c>
      <c r="D125" s="118">
        <f t="shared" si="68"/>
        <v>10690.600412369089</v>
      </c>
      <c r="E125" s="111">
        <f t="shared" si="68"/>
        <v>3736.7889058148794</v>
      </c>
      <c r="F125" s="111">
        <f t="shared" si="68"/>
        <v>16071.568101197061</v>
      </c>
      <c r="G125" s="111">
        <f t="shared" si="68"/>
        <v>482147.0430359118</v>
      </c>
      <c r="H125" s="111">
        <f t="shared" si="68"/>
        <v>5785764.5164309414</v>
      </c>
      <c r="I125" s="84"/>
      <c r="Q125" s="123"/>
      <c r="R125" s="123"/>
    </row>
    <row r="130" spans="1:18" s="107" customFormat="1" x14ac:dyDescent="0.3">
      <c r="A130" s="36"/>
      <c r="B130" s="36"/>
      <c r="C130" s="36"/>
      <c r="D130" s="36"/>
      <c r="E130" s="109"/>
      <c r="F130" s="109"/>
      <c r="G130" s="109"/>
      <c r="H130" s="109"/>
      <c r="I130" s="84"/>
      <c r="Q130" s="123"/>
      <c r="R130" s="123"/>
    </row>
    <row r="132" spans="1:18" x14ac:dyDescent="0.3">
      <c r="A132" s="331" t="s">
        <v>362</v>
      </c>
      <c r="B132" s="332"/>
      <c r="C132" s="332"/>
      <c r="D132" s="332"/>
      <c r="E132" s="332"/>
      <c r="F132" s="332"/>
      <c r="G132" s="332"/>
      <c r="H132" s="333"/>
    </row>
    <row r="133" spans="1:18" s="107" customFormat="1" x14ac:dyDescent="0.3">
      <c r="A133" s="329" t="s">
        <v>46</v>
      </c>
      <c r="B133" s="326" t="s">
        <v>132</v>
      </c>
      <c r="C133" s="327"/>
      <c r="D133" s="328"/>
      <c r="E133" s="334" t="s">
        <v>341</v>
      </c>
      <c r="F133" s="336" t="s">
        <v>118</v>
      </c>
      <c r="G133" s="337"/>
      <c r="H133" s="338"/>
      <c r="I133" s="84"/>
      <c r="Q133" s="123"/>
      <c r="R133" s="123"/>
    </row>
    <row r="134" spans="1:18" s="107" customFormat="1" x14ac:dyDescent="0.3">
      <c r="A134" s="330"/>
      <c r="B134" s="114" t="s">
        <v>344</v>
      </c>
      <c r="C134" s="114" t="s">
        <v>345</v>
      </c>
      <c r="D134" s="114" t="s">
        <v>343</v>
      </c>
      <c r="E134" s="335"/>
      <c r="F134" s="114" t="s">
        <v>351</v>
      </c>
      <c r="G134" s="115" t="s">
        <v>342</v>
      </c>
      <c r="H134" s="115" t="s">
        <v>343</v>
      </c>
      <c r="I134" s="84"/>
      <c r="Q134" s="123"/>
      <c r="R134" s="123"/>
    </row>
    <row r="135" spans="1:18" x14ac:dyDescent="0.3">
      <c r="A135" s="48" t="s">
        <v>346</v>
      </c>
      <c r="B135" s="116">
        <f>B118*($R$2+$R$3)+B118</f>
        <v>6.1932286647197312</v>
      </c>
      <c r="C135" s="116">
        <f>B135*30</f>
        <v>185.79685994159195</v>
      </c>
      <c r="D135" s="116">
        <f>C135*12</f>
        <v>2229.5623192991034</v>
      </c>
      <c r="E135" s="96">
        <f>E118*$R$4+E118</f>
        <v>467.27920014332847</v>
      </c>
      <c r="F135" s="122">
        <f>B135*E135</f>
        <v>2893.96693675497</v>
      </c>
      <c r="G135" s="122">
        <f>C135*E135</f>
        <v>86819.00810264911</v>
      </c>
      <c r="H135" s="122">
        <f>D135*E135</f>
        <v>1041828.0972317894</v>
      </c>
    </row>
    <row r="136" spans="1:18" x14ac:dyDescent="0.3">
      <c r="A136" s="48" t="s">
        <v>347</v>
      </c>
      <c r="B136" s="116">
        <f t="shared" ref="B136:B141" si="69">B119*($R$2+$R$3)+B119</f>
        <v>6.1932286647197312</v>
      </c>
      <c r="C136" s="116">
        <f t="shared" ref="C136:C141" si="70">B136*30</f>
        <v>185.79685994159195</v>
      </c>
      <c r="D136" s="116">
        <f t="shared" ref="D136:D141" si="71">C136*12</f>
        <v>2229.5623192991034</v>
      </c>
      <c r="E136" s="122">
        <f t="shared" ref="E136:E140" si="72">E119*$R$4+E119</f>
        <v>621.42068713010894</v>
      </c>
      <c r="F136" s="122">
        <f>B136*E136</f>
        <v>3848.6004123840225</v>
      </c>
      <c r="G136" s="122">
        <f t="shared" ref="G136:G141" si="73">C136*E136</f>
        <v>115458.01237152069</v>
      </c>
      <c r="H136" s="122">
        <f t="shared" ref="H136:H141" si="74">D136*E136</f>
        <v>1385496.1484582482</v>
      </c>
    </row>
    <row r="137" spans="1:18" x14ac:dyDescent="0.3">
      <c r="A137" s="48" t="s">
        <v>200</v>
      </c>
      <c r="B137" s="116">
        <f>B120*($R$2+$R$3)+B120</f>
        <v>6.1932286647197312</v>
      </c>
      <c r="C137" s="116">
        <f t="shared" si="70"/>
        <v>185.79685994159195</v>
      </c>
      <c r="D137" s="116">
        <f t="shared" si="71"/>
        <v>2229.5623192991034</v>
      </c>
      <c r="E137" s="122">
        <f t="shared" si="72"/>
        <v>608.86872379322676</v>
      </c>
      <c r="F137" s="122">
        <f t="shared" ref="F137" si="75">B137*E137</f>
        <v>3770.8632332475327</v>
      </c>
      <c r="G137" s="122">
        <f t="shared" si="73"/>
        <v>113125.89699742598</v>
      </c>
      <c r="H137" s="122">
        <f t="shared" si="74"/>
        <v>1357510.7639691117</v>
      </c>
    </row>
    <row r="138" spans="1:18" x14ac:dyDescent="0.3">
      <c r="A138" s="48" t="s">
        <v>348</v>
      </c>
      <c r="B138" s="116">
        <f t="shared" si="69"/>
        <v>4.9309145419743086</v>
      </c>
      <c r="C138" s="116">
        <f t="shared" si="70"/>
        <v>147.92743625922927</v>
      </c>
      <c r="D138" s="116">
        <f t="shared" si="71"/>
        <v>1775.1292351107513</v>
      </c>
      <c r="E138" s="122">
        <f t="shared" si="72"/>
        <v>694.86093001709162</v>
      </c>
      <c r="F138" s="122">
        <f>B138*E138</f>
        <v>3426.2998644710692</v>
      </c>
      <c r="G138" s="122">
        <f t="shared" si="73"/>
        <v>102788.99593413209</v>
      </c>
      <c r="H138" s="122">
        <f t="shared" si="74"/>
        <v>1233467.9512095852</v>
      </c>
    </row>
    <row r="139" spans="1:18" x14ac:dyDescent="0.3">
      <c r="A139" s="48" t="s">
        <v>195</v>
      </c>
      <c r="B139" s="116">
        <f t="shared" si="69"/>
        <v>4.9309145419743086</v>
      </c>
      <c r="C139" s="116">
        <f t="shared" si="70"/>
        <v>147.92743625922927</v>
      </c>
      <c r="D139" s="116">
        <f t="shared" si="71"/>
        <v>1775.1292351107513</v>
      </c>
      <c r="E139" s="122">
        <f t="shared" si="72"/>
        <v>599.80654398498439</v>
      </c>
      <c r="F139" s="122">
        <f t="shared" ref="F139" si="76">B139*E139</f>
        <v>2957.5948101069121</v>
      </c>
      <c r="G139" s="122">
        <f t="shared" si="73"/>
        <v>88727.84430320737</v>
      </c>
      <c r="H139" s="122">
        <f t="shared" si="74"/>
        <v>1064734.1316384885</v>
      </c>
    </row>
    <row r="140" spans="1:18" x14ac:dyDescent="0.3">
      <c r="A140" s="48" t="s">
        <v>349</v>
      </c>
      <c r="B140" s="116">
        <f t="shared" si="69"/>
        <v>4.9309145419743086</v>
      </c>
      <c r="C140" s="116">
        <f t="shared" si="70"/>
        <v>147.92743625922927</v>
      </c>
      <c r="D140" s="116">
        <f t="shared" si="71"/>
        <v>1775.1292351107513</v>
      </c>
      <c r="E140" s="122">
        <f t="shared" si="72"/>
        <v>638.10973255336273</v>
      </c>
      <c r="F140" s="122">
        <f>B140*E140</f>
        <v>3146.4645596227133</v>
      </c>
      <c r="G140" s="122">
        <f t="shared" si="73"/>
        <v>94393.9367886814</v>
      </c>
      <c r="H140" s="122">
        <f t="shared" si="74"/>
        <v>1132727.2414641769</v>
      </c>
    </row>
    <row r="141" spans="1:18" ht="15" thickBot="1" x14ac:dyDescent="0.35">
      <c r="A141" s="112" t="s">
        <v>350</v>
      </c>
      <c r="B141" s="117">
        <f t="shared" si="69"/>
        <v>3.9258873741833664</v>
      </c>
      <c r="C141" s="117">
        <f t="shared" si="70"/>
        <v>117.77662122550099</v>
      </c>
      <c r="D141" s="117">
        <f t="shared" si="71"/>
        <v>1413.3194547060118</v>
      </c>
      <c r="E141" s="113">
        <f>E124*$R$4+E124</f>
        <v>293.28253348352013</v>
      </c>
      <c r="F141" s="113">
        <f>B141*E141</f>
        <v>1151.394195271462</v>
      </c>
      <c r="G141" s="113">
        <f t="shared" si="73"/>
        <v>34541.825858143864</v>
      </c>
      <c r="H141" s="113">
        <f t="shared" si="74"/>
        <v>414501.91029772634</v>
      </c>
    </row>
    <row r="142" spans="1:18" s="107" customFormat="1" ht="15" thickTop="1" x14ac:dyDescent="0.3">
      <c r="A142" s="110" t="s">
        <v>67</v>
      </c>
      <c r="B142" s="110">
        <f t="shared" ref="B142:H142" si="77">SUM(B135:B141)</f>
        <v>37.298316994265491</v>
      </c>
      <c r="C142" s="118">
        <f t="shared" si="77"/>
        <v>1118.9495098279644</v>
      </c>
      <c r="D142" s="118">
        <f t="shared" si="77"/>
        <v>13427.394117935575</v>
      </c>
      <c r="E142" s="111">
        <f t="shared" si="77"/>
        <v>3923.6283511056231</v>
      </c>
      <c r="F142" s="111">
        <f t="shared" si="77"/>
        <v>21195.184011858684</v>
      </c>
      <c r="G142" s="111">
        <f t="shared" si="77"/>
        <v>635855.52035576047</v>
      </c>
      <c r="H142" s="111">
        <f t="shared" si="77"/>
        <v>7630266.244269127</v>
      </c>
      <c r="I142" s="84"/>
      <c r="Q142" s="123"/>
      <c r="R142" s="123"/>
    </row>
    <row r="147" spans="1:18" s="107" customFormat="1" x14ac:dyDescent="0.3">
      <c r="A147" s="36"/>
      <c r="B147" s="36"/>
      <c r="C147" s="36"/>
      <c r="D147" s="36"/>
      <c r="E147" s="109"/>
      <c r="F147" s="109"/>
      <c r="G147" s="109"/>
      <c r="H147" s="109"/>
      <c r="I147" s="84"/>
      <c r="Q147" s="123"/>
      <c r="R147" s="123"/>
    </row>
    <row r="149" spans="1:18" x14ac:dyDescent="0.3">
      <c r="A149" s="331" t="s">
        <v>363</v>
      </c>
      <c r="B149" s="332"/>
      <c r="C149" s="332"/>
      <c r="D149" s="332"/>
      <c r="E149" s="332"/>
      <c r="F149" s="332"/>
      <c r="G149" s="332"/>
      <c r="H149" s="333"/>
    </row>
    <row r="150" spans="1:18" s="107" customFormat="1" x14ac:dyDescent="0.3">
      <c r="A150" s="329" t="s">
        <v>46</v>
      </c>
      <c r="B150" s="326" t="s">
        <v>132</v>
      </c>
      <c r="C150" s="327"/>
      <c r="D150" s="328"/>
      <c r="E150" s="334" t="s">
        <v>341</v>
      </c>
      <c r="F150" s="336" t="s">
        <v>118</v>
      </c>
      <c r="G150" s="337"/>
      <c r="H150" s="338"/>
      <c r="I150" s="84"/>
      <c r="Q150" s="123"/>
      <c r="R150" s="123"/>
    </row>
    <row r="151" spans="1:18" s="107" customFormat="1" x14ac:dyDescent="0.3">
      <c r="A151" s="330"/>
      <c r="B151" s="114" t="s">
        <v>344</v>
      </c>
      <c r="C151" s="114" t="s">
        <v>345</v>
      </c>
      <c r="D151" s="114" t="s">
        <v>343</v>
      </c>
      <c r="E151" s="335"/>
      <c r="F151" s="114" t="s">
        <v>351</v>
      </c>
      <c r="G151" s="115" t="s">
        <v>342</v>
      </c>
      <c r="H151" s="115" t="s">
        <v>343</v>
      </c>
      <c r="I151" s="84"/>
      <c r="Q151" s="123"/>
      <c r="R151" s="123"/>
    </row>
    <row r="152" spans="1:18" x14ac:dyDescent="0.3">
      <c r="A152" s="48" t="s">
        <v>346</v>
      </c>
      <c r="B152" s="116">
        <f>B135*($R$2+$R$3)+B135</f>
        <v>7.7786952028879828</v>
      </c>
      <c r="C152" s="116">
        <f>B152*30</f>
        <v>233.36085608663947</v>
      </c>
      <c r="D152" s="116">
        <f>C152*12</f>
        <v>2800.3302730396736</v>
      </c>
      <c r="E152" s="96">
        <f>E135*$R$4+E135</f>
        <v>490.64316015049491</v>
      </c>
      <c r="F152" s="122">
        <f>B152*E152</f>
        <v>3816.563596192455</v>
      </c>
      <c r="G152" s="122">
        <f>C152*E152</f>
        <v>114496.90788577365</v>
      </c>
      <c r="H152" s="122">
        <f>D152*E152</f>
        <v>1373962.8946292836</v>
      </c>
    </row>
    <row r="153" spans="1:18" x14ac:dyDescent="0.3">
      <c r="A153" s="48" t="s">
        <v>347</v>
      </c>
      <c r="B153" s="116">
        <f t="shared" ref="B153:B158" si="78">B136*($R$2+$R$3)+B136</f>
        <v>7.7786952028879828</v>
      </c>
      <c r="C153" s="116">
        <f t="shared" ref="C153:C158" si="79">B153*30</f>
        <v>233.36085608663947</v>
      </c>
      <c r="D153" s="116">
        <f t="shared" ref="D153:D158" si="80">C153*12</f>
        <v>2800.3302730396736</v>
      </c>
      <c r="E153" s="122">
        <f t="shared" ref="E153:E158" si="81">E136*$R$4+E136</f>
        <v>652.49172148661444</v>
      </c>
      <c r="F153" s="122">
        <f>B153*E153</f>
        <v>5075.5342238520498</v>
      </c>
      <c r="G153" s="122">
        <f t="shared" ref="G153:G158" si="82">C153*E153</f>
        <v>152266.02671556149</v>
      </c>
      <c r="H153" s="122">
        <f t="shared" ref="H153:H158" si="83">D153*E153</f>
        <v>1827192.3205867377</v>
      </c>
    </row>
    <row r="154" spans="1:18" x14ac:dyDescent="0.3">
      <c r="A154" s="48" t="s">
        <v>200</v>
      </c>
      <c r="B154" s="116">
        <f t="shared" si="78"/>
        <v>7.7786952028879828</v>
      </c>
      <c r="C154" s="116">
        <f t="shared" si="79"/>
        <v>233.36085608663947</v>
      </c>
      <c r="D154" s="116">
        <f t="shared" si="80"/>
        <v>2800.3302730396736</v>
      </c>
      <c r="E154" s="122">
        <f t="shared" si="81"/>
        <v>639.31215998288815</v>
      </c>
      <c r="F154" s="122">
        <f t="shared" ref="F154" si="84">B154*E154</f>
        <v>4973.0144320068466</v>
      </c>
      <c r="G154" s="122">
        <f t="shared" si="82"/>
        <v>149190.43296020539</v>
      </c>
      <c r="H154" s="122">
        <f t="shared" si="83"/>
        <v>1790285.1955224646</v>
      </c>
    </row>
    <row r="155" spans="1:18" x14ac:dyDescent="0.3">
      <c r="A155" s="48" t="s">
        <v>348</v>
      </c>
      <c r="B155" s="116">
        <f t="shared" si="78"/>
        <v>6.1932286647197312</v>
      </c>
      <c r="C155" s="116">
        <f t="shared" si="79"/>
        <v>185.79685994159195</v>
      </c>
      <c r="D155" s="116">
        <f t="shared" si="80"/>
        <v>2229.5623192991034</v>
      </c>
      <c r="E155" s="122">
        <f t="shared" si="81"/>
        <v>729.60397651794619</v>
      </c>
      <c r="F155" s="122">
        <f>B155*E155</f>
        <v>4518.604261264446</v>
      </c>
      <c r="G155" s="122">
        <f t="shared" si="82"/>
        <v>135558.1278379334</v>
      </c>
      <c r="H155" s="122">
        <f t="shared" si="83"/>
        <v>1626697.5340552006</v>
      </c>
    </row>
    <row r="156" spans="1:18" x14ac:dyDescent="0.3">
      <c r="A156" s="48" t="s">
        <v>195</v>
      </c>
      <c r="B156" s="116">
        <f t="shared" si="78"/>
        <v>6.1932286647197312</v>
      </c>
      <c r="C156" s="116">
        <f t="shared" si="79"/>
        <v>185.79685994159195</v>
      </c>
      <c r="D156" s="116">
        <f t="shared" si="80"/>
        <v>2229.5623192991034</v>
      </c>
      <c r="E156" s="122">
        <f t="shared" si="81"/>
        <v>629.79687118423362</v>
      </c>
      <c r="F156" s="122">
        <f t="shared" ref="F156" si="85">B156*E156</f>
        <v>3900.4760355689959</v>
      </c>
      <c r="G156" s="122">
        <f t="shared" si="82"/>
        <v>117014.28106706988</v>
      </c>
      <c r="H156" s="122">
        <f t="shared" si="83"/>
        <v>1404171.3728048385</v>
      </c>
    </row>
    <row r="157" spans="1:18" x14ac:dyDescent="0.3">
      <c r="A157" s="48" t="s">
        <v>349</v>
      </c>
      <c r="B157" s="116">
        <f t="shared" si="78"/>
        <v>6.1932286647197312</v>
      </c>
      <c r="C157" s="116">
        <f t="shared" si="79"/>
        <v>185.79685994159195</v>
      </c>
      <c r="D157" s="116">
        <f t="shared" si="80"/>
        <v>2229.5623192991034</v>
      </c>
      <c r="E157" s="122">
        <f t="shared" si="81"/>
        <v>670.01521918103083</v>
      </c>
      <c r="F157" s="122">
        <f>B157*E157</f>
        <v>4149.5574612304335</v>
      </c>
      <c r="G157" s="122">
        <f t="shared" si="82"/>
        <v>124486.72383691302</v>
      </c>
      <c r="H157" s="122">
        <f t="shared" si="83"/>
        <v>1493840.6860429561</v>
      </c>
    </row>
    <row r="158" spans="1:18" ht="15" thickBot="1" x14ac:dyDescent="0.35">
      <c r="A158" s="112" t="s">
        <v>350</v>
      </c>
      <c r="B158" s="117">
        <f t="shared" si="78"/>
        <v>4.9309145419743086</v>
      </c>
      <c r="C158" s="117">
        <f t="shared" si="79"/>
        <v>147.92743625922927</v>
      </c>
      <c r="D158" s="117">
        <f t="shared" si="80"/>
        <v>1775.1292351107513</v>
      </c>
      <c r="E158" s="113">
        <f t="shared" si="81"/>
        <v>307.94666015769616</v>
      </c>
      <c r="F158" s="113">
        <f>B158*E158</f>
        <v>1518.4586647240044</v>
      </c>
      <c r="G158" s="113">
        <f t="shared" si="82"/>
        <v>45553.759941720135</v>
      </c>
      <c r="H158" s="113">
        <f t="shared" si="83"/>
        <v>546645.1193006417</v>
      </c>
    </row>
    <row r="159" spans="1:18" s="107" customFormat="1" ht="15" thickTop="1" x14ac:dyDescent="0.3">
      <c r="A159" s="110" t="s">
        <v>67</v>
      </c>
      <c r="B159" s="110">
        <f t="shared" ref="B159:H159" si="86">SUM(B152:B158)</f>
        <v>46.846686144797459</v>
      </c>
      <c r="C159" s="118">
        <f t="shared" si="86"/>
        <v>1405.4005843439236</v>
      </c>
      <c r="D159" s="118">
        <f t="shared" si="86"/>
        <v>16864.807012127083</v>
      </c>
      <c r="E159" s="111">
        <f t="shared" si="86"/>
        <v>4119.8097686609044</v>
      </c>
      <c r="F159" s="111">
        <f t="shared" si="86"/>
        <v>27952.208674839228</v>
      </c>
      <c r="G159" s="111">
        <f t="shared" si="86"/>
        <v>838566.26024517696</v>
      </c>
      <c r="H159" s="111">
        <f t="shared" si="86"/>
        <v>10062795.122942122</v>
      </c>
      <c r="I159" s="84"/>
      <c r="Q159" s="123"/>
      <c r="R159" s="123"/>
    </row>
    <row r="164" spans="1:18" s="107" customFormat="1" x14ac:dyDescent="0.3">
      <c r="A164" s="36"/>
      <c r="B164" s="36"/>
      <c r="C164" s="36"/>
      <c r="D164" s="36"/>
      <c r="E164" s="109"/>
      <c r="F164" s="109"/>
      <c r="G164" s="109"/>
      <c r="H164" s="109"/>
      <c r="I164" s="84"/>
      <c r="Q164" s="123"/>
      <c r="R164" s="123"/>
    </row>
    <row r="166" spans="1:18" x14ac:dyDescent="0.3">
      <c r="A166" s="340" t="s">
        <v>361</v>
      </c>
      <c r="B166" s="340"/>
    </row>
    <row r="167" spans="1:18" x14ac:dyDescent="0.3">
      <c r="A167" s="48" t="s">
        <v>360</v>
      </c>
      <c r="B167" s="48" t="s">
        <v>418</v>
      </c>
    </row>
    <row r="168" spans="1:18" x14ac:dyDescent="0.3">
      <c r="A168" s="48">
        <v>2021</v>
      </c>
      <c r="B168" s="122">
        <f>H11</f>
        <v>687092.39999999991</v>
      </c>
    </row>
    <row r="169" spans="1:18" x14ac:dyDescent="0.3">
      <c r="A169" s="48">
        <v>2022</v>
      </c>
      <c r="B169" s="122">
        <f>H27</f>
        <v>1016488.8763027199</v>
      </c>
      <c r="C169" s="121"/>
    </row>
    <row r="170" spans="1:18" x14ac:dyDescent="0.3">
      <c r="A170" s="48">
        <v>2023</v>
      </c>
      <c r="B170" s="122">
        <f>H43</f>
        <v>1450327.4315388997</v>
      </c>
      <c r="C170" s="121"/>
    </row>
    <row r="171" spans="1:18" x14ac:dyDescent="0.3">
      <c r="A171" s="48">
        <v>2024</v>
      </c>
      <c r="B171" s="122">
        <f>H59</f>
        <v>1912691.816713501</v>
      </c>
      <c r="C171" s="121"/>
    </row>
    <row r="172" spans="1:18" x14ac:dyDescent="0.3">
      <c r="A172" s="48">
        <v>2025</v>
      </c>
      <c r="B172" s="122">
        <f>H75</f>
        <v>2522457.9678817648</v>
      </c>
      <c r="C172" s="121"/>
    </row>
    <row r="181" spans="1:9" x14ac:dyDescent="0.3">
      <c r="A181" s="283" t="s">
        <v>477</v>
      </c>
      <c r="B181" s="283"/>
      <c r="C181" s="283"/>
      <c r="D181" s="283"/>
      <c r="E181" s="283"/>
      <c r="F181" s="283"/>
    </row>
    <row r="182" spans="1:9" x14ac:dyDescent="0.3">
      <c r="A182" s="128" t="s">
        <v>360</v>
      </c>
      <c r="B182" s="128">
        <v>2021</v>
      </c>
      <c r="C182" s="128">
        <v>2022</v>
      </c>
      <c r="D182" s="128">
        <v>2023</v>
      </c>
      <c r="E182" s="128">
        <v>2024</v>
      </c>
      <c r="F182" s="128">
        <v>2025</v>
      </c>
    </row>
    <row r="183" spans="1:9" x14ac:dyDescent="0.3">
      <c r="A183" s="281" t="s">
        <v>479</v>
      </c>
      <c r="B183" s="281"/>
      <c r="C183" s="281"/>
      <c r="D183" s="281"/>
      <c r="E183" s="281"/>
      <c r="F183" s="281"/>
      <c r="I183" s="131"/>
    </row>
    <row r="184" spans="1:9" x14ac:dyDescent="0.3">
      <c r="A184" s="87" t="s">
        <v>419</v>
      </c>
      <c r="B184" s="122">
        <v>1003791.5999999999</v>
      </c>
      <c r="C184" s="122">
        <v>1260825.2877124799</v>
      </c>
      <c r="D184" s="122">
        <v>1662776.3894352189</v>
      </c>
      <c r="E184" s="122">
        <v>2192869.5023871665</v>
      </c>
      <c r="F184" s="122">
        <v>2891956.2997481949</v>
      </c>
    </row>
    <row r="185" spans="1:9" x14ac:dyDescent="0.3">
      <c r="A185" s="87" t="s">
        <v>478</v>
      </c>
      <c r="B185" s="122"/>
      <c r="C185" s="122"/>
      <c r="D185" s="122"/>
      <c r="E185" s="122"/>
      <c r="F185" s="122"/>
    </row>
    <row r="186" spans="1:9" x14ac:dyDescent="0.3">
      <c r="A186" s="156" t="s">
        <v>421</v>
      </c>
      <c r="B186" s="122">
        <f>B184</f>
        <v>1003791.5999999999</v>
      </c>
      <c r="C186" s="122">
        <f t="shared" ref="C186:F186" si="87">C184</f>
        <v>1260825.2877124799</v>
      </c>
      <c r="D186" s="122">
        <f t="shared" si="87"/>
        <v>1662776.3894352189</v>
      </c>
      <c r="E186" s="122">
        <f t="shared" si="87"/>
        <v>2192869.5023871665</v>
      </c>
      <c r="F186" s="122">
        <f t="shared" si="87"/>
        <v>2891956.2997481949</v>
      </c>
    </row>
    <row r="201" spans="1:8" x14ac:dyDescent="0.3">
      <c r="A201" s="339"/>
      <c r="B201" s="339"/>
      <c r="C201" s="339"/>
      <c r="D201" s="339"/>
      <c r="E201" s="339"/>
      <c r="F201" s="339"/>
    </row>
    <row r="202" spans="1:8" x14ac:dyDescent="0.3">
      <c r="A202" s="131"/>
      <c r="B202" s="131"/>
      <c r="C202" s="131"/>
      <c r="D202" s="131"/>
      <c r="E202" s="131"/>
      <c r="F202" s="131"/>
      <c r="G202" s="131"/>
      <c r="H202" s="131"/>
    </row>
    <row r="203" spans="1:8" x14ac:dyDescent="0.3">
      <c r="A203" s="131"/>
      <c r="B203" s="131"/>
      <c r="C203" s="131"/>
      <c r="D203" s="131"/>
      <c r="E203" s="131"/>
      <c r="F203" s="131"/>
      <c r="G203" s="131"/>
      <c r="H203" s="131"/>
    </row>
    <row r="204" spans="1:8" x14ac:dyDescent="0.3">
      <c r="A204" s="131"/>
      <c r="B204" s="131"/>
      <c r="C204" s="131"/>
      <c r="D204" s="131"/>
      <c r="E204" s="131"/>
      <c r="F204" s="131"/>
      <c r="G204" s="131"/>
      <c r="H204" s="131"/>
    </row>
    <row r="205" spans="1:8" x14ac:dyDescent="0.3">
      <c r="A205" s="131"/>
      <c r="B205" s="131"/>
      <c r="C205" s="131"/>
      <c r="D205" s="131"/>
      <c r="E205" s="131"/>
      <c r="F205" s="131"/>
      <c r="G205" s="131"/>
      <c r="H205" s="131"/>
    </row>
    <row r="206" spans="1:8" x14ac:dyDescent="0.3">
      <c r="A206" s="131"/>
      <c r="B206" s="131"/>
      <c r="C206" s="131"/>
      <c r="D206" s="131"/>
      <c r="E206" s="131"/>
      <c r="F206" s="131"/>
      <c r="G206" s="131"/>
      <c r="H206" s="131"/>
    </row>
    <row r="207" spans="1:8" x14ac:dyDescent="0.3">
      <c r="A207" s="131"/>
      <c r="B207" s="131"/>
      <c r="C207" s="131"/>
      <c r="D207" s="131"/>
      <c r="E207" s="131"/>
      <c r="F207" s="131"/>
      <c r="G207" s="131"/>
      <c r="H207" s="131"/>
    </row>
    <row r="208" spans="1:8" x14ac:dyDescent="0.3">
      <c r="A208" s="131"/>
      <c r="B208" s="131"/>
      <c r="C208" s="131"/>
      <c r="D208" s="131"/>
      <c r="E208" s="131"/>
      <c r="F208" s="131"/>
      <c r="G208" s="131"/>
      <c r="H208" s="131"/>
    </row>
    <row r="209" spans="1:8" x14ac:dyDescent="0.3">
      <c r="A209" s="131"/>
      <c r="B209" s="131"/>
      <c r="C209" s="131"/>
      <c r="D209" s="131"/>
      <c r="E209" s="131"/>
      <c r="F209" s="131"/>
      <c r="G209" s="131"/>
      <c r="H209" s="131"/>
    </row>
    <row r="210" spans="1:8" x14ac:dyDescent="0.3">
      <c r="A210" s="131"/>
      <c r="B210" s="131"/>
      <c r="C210" s="131"/>
      <c r="D210" s="131"/>
      <c r="E210" s="131"/>
      <c r="F210" s="131"/>
      <c r="G210" s="131"/>
      <c r="H210" s="131"/>
    </row>
    <row r="211" spans="1:8" x14ac:dyDescent="0.3">
      <c r="A211" s="131"/>
      <c r="B211" s="131"/>
      <c r="C211" s="131"/>
      <c r="D211" s="131"/>
      <c r="E211" s="131"/>
      <c r="F211" s="131"/>
      <c r="G211" s="131"/>
      <c r="H211" s="131"/>
    </row>
    <row r="212" spans="1:8" x14ac:dyDescent="0.3">
      <c r="A212" s="131"/>
      <c r="B212" s="131"/>
      <c r="C212" s="131"/>
      <c r="D212" s="131"/>
      <c r="E212" s="131"/>
      <c r="F212" s="131"/>
      <c r="G212" s="131"/>
      <c r="H212" s="131"/>
    </row>
    <row r="213" spans="1:8" x14ac:dyDescent="0.3">
      <c r="A213" s="131"/>
      <c r="B213" s="131"/>
      <c r="C213" s="131"/>
      <c r="D213" s="131"/>
      <c r="E213" s="131"/>
      <c r="F213" s="131"/>
      <c r="G213" s="131"/>
      <c r="H213" s="131"/>
    </row>
    <row r="214" spans="1:8" x14ac:dyDescent="0.3">
      <c r="A214" s="131"/>
      <c r="B214" s="131"/>
      <c r="C214" s="131"/>
      <c r="D214" s="131"/>
      <c r="E214" s="131"/>
      <c r="F214" s="131"/>
      <c r="G214" s="131"/>
      <c r="H214" s="131"/>
    </row>
    <row r="215" spans="1:8" x14ac:dyDescent="0.3">
      <c r="A215" s="131"/>
      <c r="B215" s="131"/>
      <c r="C215" s="131"/>
      <c r="D215" s="131"/>
      <c r="E215" s="131"/>
      <c r="F215" s="131"/>
      <c r="G215" s="131"/>
      <c r="H215" s="131"/>
    </row>
    <row r="216" spans="1:8" x14ac:dyDescent="0.3">
      <c r="A216" s="131"/>
      <c r="B216" s="131"/>
      <c r="C216" s="131"/>
      <c r="D216" s="131"/>
      <c r="E216" s="131"/>
      <c r="F216" s="131"/>
      <c r="G216" s="131"/>
      <c r="H216" s="131"/>
    </row>
    <row r="217" spans="1:8" x14ac:dyDescent="0.3">
      <c r="A217" s="131"/>
      <c r="B217" s="131"/>
      <c r="C217" s="131"/>
      <c r="D217" s="131"/>
      <c r="E217" s="131"/>
      <c r="F217" s="131"/>
      <c r="G217" s="131"/>
      <c r="H217" s="131"/>
    </row>
    <row r="218" spans="1:8" x14ac:dyDescent="0.3">
      <c r="A218" s="131"/>
      <c r="B218" s="131"/>
      <c r="C218" s="131"/>
      <c r="D218" s="131"/>
      <c r="E218" s="131"/>
      <c r="F218" s="131"/>
      <c r="G218" s="131"/>
      <c r="H218" s="131"/>
    </row>
    <row r="219" spans="1:8" x14ac:dyDescent="0.3">
      <c r="A219" s="131"/>
      <c r="B219" s="131"/>
      <c r="C219" s="131"/>
      <c r="D219" s="131"/>
      <c r="E219" s="131"/>
      <c r="F219" s="131"/>
      <c r="G219" s="131"/>
      <c r="H219" s="131"/>
    </row>
    <row r="220" spans="1:8" x14ac:dyDescent="0.3">
      <c r="A220" s="131"/>
      <c r="B220" s="131"/>
      <c r="C220" s="131"/>
      <c r="D220" s="131"/>
      <c r="E220" s="131"/>
      <c r="F220" s="131"/>
      <c r="G220" s="131"/>
      <c r="H220" s="131"/>
    </row>
    <row r="221" spans="1:8" x14ac:dyDescent="0.3">
      <c r="A221" s="131"/>
      <c r="B221" s="131"/>
      <c r="C221" s="131"/>
      <c r="D221" s="131"/>
      <c r="E221" s="131"/>
      <c r="F221" s="131"/>
      <c r="G221" s="131"/>
      <c r="H221" s="131"/>
    </row>
    <row r="222" spans="1:8" x14ac:dyDescent="0.3">
      <c r="A222" s="131"/>
      <c r="B222" s="131"/>
      <c r="C222" s="131"/>
      <c r="D222" s="131"/>
      <c r="E222" s="131"/>
      <c r="F222" s="131"/>
      <c r="G222" s="131"/>
      <c r="H222" s="131"/>
    </row>
    <row r="223" spans="1:8" x14ac:dyDescent="0.3">
      <c r="F223" s="131"/>
      <c r="G223" s="131"/>
      <c r="H223" s="131"/>
    </row>
  </sheetData>
  <mergeCells count="55">
    <mergeCell ref="A132:H132"/>
    <mergeCell ref="F82:H82"/>
    <mergeCell ref="E82:E83"/>
    <mergeCell ref="B82:D82"/>
    <mergeCell ref="A82:A83"/>
    <mergeCell ref="A149:H149"/>
    <mergeCell ref="F133:H133"/>
    <mergeCell ref="E133:E134"/>
    <mergeCell ref="B133:D133"/>
    <mergeCell ref="A133:A134"/>
    <mergeCell ref="A166:B166"/>
    <mergeCell ref="F150:H150"/>
    <mergeCell ref="E150:E151"/>
    <mergeCell ref="B150:D150"/>
    <mergeCell ref="A150:A151"/>
    <mergeCell ref="A181:F181"/>
    <mergeCell ref="A183:F183"/>
    <mergeCell ref="A201:F201"/>
    <mergeCell ref="Q1:R1"/>
    <mergeCell ref="A98:H98"/>
    <mergeCell ref="A99:A100"/>
    <mergeCell ref="B99:D99"/>
    <mergeCell ref="E99:E100"/>
    <mergeCell ref="F99:H99"/>
    <mergeCell ref="A115:H115"/>
    <mergeCell ref="A116:A117"/>
    <mergeCell ref="B116:D116"/>
    <mergeCell ref="E116:E117"/>
    <mergeCell ref="F116:H116"/>
    <mergeCell ref="A17:H17"/>
    <mergeCell ref="A18:A19"/>
    <mergeCell ref="B18:D18"/>
    <mergeCell ref="E18:E19"/>
    <mergeCell ref="F18:H18"/>
    <mergeCell ref="A66:A67"/>
    <mergeCell ref="B66:D66"/>
    <mergeCell ref="E66:E67"/>
    <mergeCell ref="F66:H66"/>
    <mergeCell ref="A81:H81"/>
    <mergeCell ref="A65:H65"/>
    <mergeCell ref="A33:H33"/>
    <mergeCell ref="A34:A35"/>
    <mergeCell ref="B34:D34"/>
    <mergeCell ref="E34:E35"/>
    <mergeCell ref="F34:H34"/>
    <mergeCell ref="A49:H49"/>
    <mergeCell ref="A50:A51"/>
    <mergeCell ref="B50:D50"/>
    <mergeCell ref="E50:E51"/>
    <mergeCell ref="F50:H50"/>
    <mergeCell ref="B2:D2"/>
    <mergeCell ref="A2:A3"/>
    <mergeCell ref="A1:H1"/>
    <mergeCell ref="E2:E3"/>
    <mergeCell ref="F2:H2"/>
  </mergeCells>
  <phoneticPr fontId="1" type="noConversion"/>
  <pageMargins left="0.7" right="0.7" top="0.75" bottom="0.75" header="0.3" footer="0.3"/>
  <pageSetup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95200-2514-4342-978F-29645D488ED7}">
  <dimension ref="A2:J18"/>
  <sheetViews>
    <sheetView showGridLines="0" workbookViewId="0">
      <selection activeCell="I14" sqref="I14"/>
    </sheetView>
  </sheetViews>
  <sheetFormatPr baseColWidth="10" defaultRowHeight="14.4" x14ac:dyDescent="0.3"/>
  <cols>
    <col min="1" max="1" width="4" style="36" bestFit="1" customWidth="1"/>
    <col min="2" max="2" width="19.21875" style="36" bestFit="1" customWidth="1"/>
    <col min="3" max="3" width="11.77734375" style="36" bestFit="1" customWidth="1"/>
    <col min="4" max="4" width="12.77734375" style="36" bestFit="1" customWidth="1"/>
    <col min="5" max="5" width="10.5546875" style="36" bestFit="1" customWidth="1"/>
    <col min="6" max="6" width="15.5546875" style="36" bestFit="1" customWidth="1"/>
    <col min="7" max="7" width="12.44140625" style="36" bestFit="1" customWidth="1"/>
    <col min="8" max="8" width="8.88671875" style="36" bestFit="1" customWidth="1"/>
    <col min="9" max="9" width="15.5546875" style="36" bestFit="1" customWidth="1"/>
    <col min="10" max="10" width="44.44140625" style="36" bestFit="1" customWidth="1"/>
  </cols>
  <sheetData>
    <row r="2" spans="1:10" ht="15" thickBot="1" x14ac:dyDescent="0.35">
      <c r="A2" s="268" t="s">
        <v>49</v>
      </c>
      <c r="B2" s="268"/>
      <c r="C2" s="268"/>
      <c r="D2" s="268"/>
      <c r="E2" s="268"/>
      <c r="F2" s="268"/>
      <c r="G2" s="268"/>
      <c r="H2" s="268"/>
      <c r="I2" s="268"/>
      <c r="J2" s="268"/>
    </row>
    <row r="3" spans="1:10" ht="28.2" thickTop="1" x14ac:dyDescent="0.3">
      <c r="A3" s="39" t="s">
        <v>48</v>
      </c>
      <c r="B3" s="40" t="s">
        <v>47</v>
      </c>
      <c r="C3" s="39" t="s">
        <v>46</v>
      </c>
      <c r="D3" s="39" t="s">
        <v>45</v>
      </c>
      <c r="E3" s="39" t="s">
        <v>44</v>
      </c>
      <c r="F3" s="39" t="s">
        <v>43</v>
      </c>
      <c r="G3" s="46" t="s">
        <v>42</v>
      </c>
      <c r="H3" s="39" t="s">
        <v>41</v>
      </c>
      <c r="I3" s="39" t="s">
        <v>40</v>
      </c>
      <c r="J3" s="38" t="s">
        <v>39</v>
      </c>
    </row>
    <row r="4" spans="1:10" x14ac:dyDescent="0.3">
      <c r="A4" s="37">
        <v>1</v>
      </c>
      <c r="B4" s="43" t="s">
        <v>38</v>
      </c>
      <c r="C4" s="42" t="s">
        <v>20</v>
      </c>
      <c r="D4" s="42" t="s">
        <v>19</v>
      </c>
      <c r="E4" s="42" t="s">
        <v>28</v>
      </c>
      <c r="F4" s="45">
        <v>1898</v>
      </c>
      <c r="G4" s="44">
        <f>(30*100)*4</f>
        <v>12000</v>
      </c>
      <c r="H4" s="37" t="s">
        <v>17</v>
      </c>
      <c r="I4" s="42" t="s">
        <v>37</v>
      </c>
      <c r="J4" s="41" t="s">
        <v>36</v>
      </c>
    </row>
    <row r="5" spans="1:10" x14ac:dyDescent="0.3">
      <c r="A5" s="37">
        <v>2</v>
      </c>
      <c r="B5" s="43" t="s">
        <v>35</v>
      </c>
      <c r="C5" s="42" t="s">
        <v>20</v>
      </c>
      <c r="D5" s="42" t="s">
        <v>19</v>
      </c>
      <c r="E5" s="42" t="s">
        <v>28</v>
      </c>
      <c r="F5" s="45">
        <v>6598</v>
      </c>
      <c r="G5" s="44">
        <f>(38*100)*4</f>
        <v>15200</v>
      </c>
      <c r="H5" s="37" t="s">
        <v>17</v>
      </c>
      <c r="I5" s="42" t="s">
        <v>34</v>
      </c>
      <c r="J5" s="41" t="s">
        <v>33</v>
      </c>
    </row>
    <row r="6" spans="1:10" x14ac:dyDescent="0.3">
      <c r="A6" s="37">
        <v>3</v>
      </c>
      <c r="B6" s="43" t="s">
        <v>32</v>
      </c>
      <c r="C6" s="42" t="s">
        <v>20</v>
      </c>
      <c r="D6" s="42" t="s">
        <v>19</v>
      </c>
      <c r="E6" s="42" t="s">
        <v>28</v>
      </c>
      <c r="F6" s="45">
        <v>3620</v>
      </c>
      <c r="G6" s="44">
        <f>(40*100)*4</f>
        <v>16000</v>
      </c>
      <c r="H6" s="37" t="s">
        <v>17</v>
      </c>
      <c r="I6" s="42" t="s">
        <v>31</v>
      </c>
      <c r="J6" s="41" t="s">
        <v>30</v>
      </c>
    </row>
    <row r="7" spans="1:10" x14ac:dyDescent="0.3">
      <c r="A7" s="37">
        <v>4</v>
      </c>
      <c r="B7" s="43" t="s">
        <v>29</v>
      </c>
      <c r="C7" s="42" t="s">
        <v>20</v>
      </c>
      <c r="D7" s="42" t="s">
        <v>19</v>
      </c>
      <c r="E7" s="42" t="s">
        <v>28</v>
      </c>
      <c r="F7" s="45">
        <v>156</v>
      </c>
      <c r="G7" s="44">
        <f>(35*100)*4</f>
        <v>14000</v>
      </c>
      <c r="H7" s="37" t="s">
        <v>17</v>
      </c>
      <c r="I7" s="42" t="s">
        <v>27</v>
      </c>
      <c r="J7" s="41" t="s">
        <v>26</v>
      </c>
    </row>
    <row r="8" spans="1:10" x14ac:dyDescent="0.3">
      <c r="A8" s="37">
        <v>5</v>
      </c>
      <c r="B8" s="43" t="s">
        <v>25</v>
      </c>
      <c r="C8" s="42" t="s">
        <v>20</v>
      </c>
      <c r="D8" s="42" t="s">
        <v>19</v>
      </c>
      <c r="E8" s="42" t="s">
        <v>24</v>
      </c>
      <c r="F8" s="45">
        <v>7248</v>
      </c>
      <c r="G8" s="44">
        <f>(32*100)*4</f>
        <v>12800</v>
      </c>
      <c r="H8" s="37" t="s">
        <v>17</v>
      </c>
      <c r="I8" s="42" t="s">
        <v>23</v>
      </c>
      <c r="J8" s="41" t="s">
        <v>22</v>
      </c>
    </row>
    <row r="9" spans="1:10" x14ac:dyDescent="0.3">
      <c r="A9" s="37">
        <v>6</v>
      </c>
      <c r="B9" s="43" t="s">
        <v>21</v>
      </c>
      <c r="C9" s="42" t="s">
        <v>20</v>
      </c>
      <c r="D9" s="42" t="s">
        <v>19</v>
      </c>
      <c r="E9" s="42" t="s">
        <v>18</v>
      </c>
      <c r="F9" s="45">
        <v>688</v>
      </c>
      <c r="G9" s="44">
        <f>(40*100)*4</f>
        <v>16000</v>
      </c>
      <c r="H9" s="37" t="s">
        <v>17</v>
      </c>
      <c r="I9" s="42" t="s">
        <v>16</v>
      </c>
      <c r="J9" s="41" t="s">
        <v>15</v>
      </c>
    </row>
    <row r="11" spans="1:10" ht="15" thickBot="1" x14ac:dyDescent="0.35">
      <c r="A11" s="268" t="s">
        <v>49</v>
      </c>
      <c r="B11" s="268"/>
      <c r="C11" s="268"/>
      <c r="D11" s="268"/>
      <c r="E11" s="268"/>
      <c r="F11" s="268"/>
    </row>
    <row r="12" spans="1:10" ht="28.2" thickTop="1" x14ac:dyDescent="0.3">
      <c r="A12" s="39" t="s">
        <v>48</v>
      </c>
      <c r="B12" s="40" t="s">
        <v>47</v>
      </c>
      <c r="C12" s="39" t="s">
        <v>43</v>
      </c>
      <c r="D12" s="46" t="s">
        <v>42</v>
      </c>
      <c r="E12" s="39" t="s">
        <v>41</v>
      </c>
      <c r="F12" s="39" t="s">
        <v>40</v>
      </c>
    </row>
    <row r="13" spans="1:10" x14ac:dyDescent="0.3">
      <c r="A13" s="37">
        <v>1</v>
      </c>
      <c r="B13" s="43" t="s">
        <v>38</v>
      </c>
      <c r="C13" s="45">
        <v>1898</v>
      </c>
      <c r="D13" s="44">
        <f>(30*100)*4</f>
        <v>12000</v>
      </c>
      <c r="E13" s="37" t="s">
        <v>17</v>
      </c>
      <c r="F13" s="42" t="s">
        <v>37</v>
      </c>
    </row>
    <row r="14" spans="1:10" x14ac:dyDescent="0.3">
      <c r="A14" s="37">
        <v>2</v>
      </c>
      <c r="B14" s="43" t="s">
        <v>35</v>
      </c>
      <c r="C14" s="45">
        <v>6598</v>
      </c>
      <c r="D14" s="44">
        <f>(38*100)*4</f>
        <v>15200</v>
      </c>
      <c r="E14" s="37" t="s">
        <v>17</v>
      </c>
      <c r="F14" s="42" t="s">
        <v>34</v>
      </c>
    </row>
    <row r="15" spans="1:10" x14ac:dyDescent="0.3">
      <c r="A15" s="37">
        <v>3</v>
      </c>
      <c r="B15" s="43" t="s">
        <v>32</v>
      </c>
      <c r="C15" s="45">
        <v>3620</v>
      </c>
      <c r="D15" s="44">
        <f>(40*100)*4</f>
        <v>16000</v>
      </c>
      <c r="E15" s="37" t="s">
        <v>17</v>
      </c>
      <c r="F15" s="42" t="s">
        <v>31</v>
      </c>
    </row>
    <row r="16" spans="1:10" x14ac:dyDescent="0.3">
      <c r="A16" s="37">
        <v>4</v>
      </c>
      <c r="B16" s="43" t="s">
        <v>29</v>
      </c>
      <c r="C16" s="45">
        <v>156</v>
      </c>
      <c r="D16" s="44">
        <f>(35*100)*4</f>
        <v>14000</v>
      </c>
      <c r="E16" s="37" t="s">
        <v>17</v>
      </c>
      <c r="F16" s="42" t="s">
        <v>27</v>
      </c>
    </row>
    <row r="17" spans="1:6" x14ac:dyDescent="0.3">
      <c r="A17" s="37">
        <v>5</v>
      </c>
      <c r="B17" s="43" t="s">
        <v>25</v>
      </c>
      <c r="C17" s="45">
        <v>7248</v>
      </c>
      <c r="D17" s="44">
        <f>(32*100)*4</f>
        <v>12800</v>
      </c>
      <c r="E17" s="37" t="s">
        <v>17</v>
      </c>
      <c r="F17" s="42" t="s">
        <v>23</v>
      </c>
    </row>
    <row r="18" spans="1:6" x14ac:dyDescent="0.3">
      <c r="A18" s="37">
        <v>6</v>
      </c>
      <c r="B18" s="43" t="s">
        <v>21</v>
      </c>
      <c r="C18" s="45">
        <v>688</v>
      </c>
      <c r="D18" s="44">
        <f>(40*100)*4</f>
        <v>16000</v>
      </c>
      <c r="E18" s="37" t="s">
        <v>17</v>
      </c>
      <c r="F18" s="42" t="s">
        <v>16</v>
      </c>
    </row>
  </sheetData>
  <mergeCells count="2">
    <mergeCell ref="A2:J2"/>
    <mergeCell ref="A11:F11"/>
  </mergeCells>
  <pageMargins left="0.7" right="0.7" top="0.75" bottom="0.75" header="0.3" footer="0.3"/>
  <pageSetup orientation="portrait" horizontalDpi="360" verticalDpi="360"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1D8CA-3855-415F-85B3-F9EB9DC8A8D4}">
  <dimension ref="A1:AL25"/>
  <sheetViews>
    <sheetView showGridLines="0" tabSelected="1" topLeftCell="AC2" zoomScale="124" zoomScaleNormal="115" workbookViewId="0">
      <selection activeCell="AJ2" sqref="AJ2:AK14"/>
    </sheetView>
  </sheetViews>
  <sheetFormatPr baseColWidth="10" defaultRowHeight="14.4" x14ac:dyDescent="0.3"/>
  <cols>
    <col min="1" max="1" width="6.5546875" style="82" bestFit="1" customWidth="1"/>
    <col min="2" max="2" width="13.44140625" style="82" bestFit="1" customWidth="1"/>
    <col min="3" max="5" width="15.33203125" style="82" bestFit="1" customWidth="1"/>
    <col min="6" max="7" width="15" style="82" bestFit="1" customWidth="1"/>
    <col min="8" max="8" width="20.33203125" style="82" bestFit="1" customWidth="1"/>
    <col min="9" max="9" width="11.5546875" style="82"/>
    <col min="10" max="10" width="33.109375" style="82" bestFit="1" customWidth="1"/>
    <col min="11" max="11" width="30" style="82" customWidth="1"/>
    <col min="12" max="12" width="11.5546875" style="82"/>
    <col min="13" max="13" width="44.88671875" style="82" bestFit="1" customWidth="1"/>
    <col min="14" max="14" width="11.6640625" style="82" bestFit="1" customWidth="1"/>
    <col min="15" max="16" width="11.5546875" style="82"/>
    <col min="17" max="17" width="42.77734375" style="82" customWidth="1"/>
    <col min="18" max="18" width="32.44140625" style="82" bestFit="1" customWidth="1"/>
    <col min="19" max="19" width="15.21875" style="82" bestFit="1" customWidth="1"/>
    <col min="20" max="23" width="13.6640625" style="82" bestFit="1" customWidth="1"/>
    <col min="24" max="24" width="11.5546875" style="82"/>
    <col min="25" max="25" width="26.77734375" style="82" bestFit="1" customWidth="1"/>
    <col min="26" max="26" width="13.44140625" style="82" bestFit="1" customWidth="1"/>
    <col min="27" max="27" width="15" style="82" bestFit="1" customWidth="1"/>
    <col min="28" max="28" width="15.44140625" style="82" bestFit="1" customWidth="1"/>
    <col min="29" max="29" width="15" style="82" bestFit="1" customWidth="1"/>
    <col min="30" max="30" width="17.77734375" style="82" customWidth="1"/>
    <col min="31" max="31" width="16.44140625" style="82" customWidth="1"/>
    <col min="32" max="32" width="18.44140625" style="82" bestFit="1" customWidth="1"/>
    <col min="33" max="33" width="13.109375" bestFit="1" customWidth="1"/>
    <col min="34" max="34" width="7.21875" bestFit="1" customWidth="1"/>
    <col min="35" max="35" width="14.6640625" bestFit="1" customWidth="1"/>
    <col min="36" max="36" width="24.109375" customWidth="1"/>
    <col min="37" max="37" width="12.88671875" bestFit="1" customWidth="1"/>
    <col min="38" max="38" width="14.109375" bestFit="1" customWidth="1"/>
  </cols>
  <sheetData>
    <row r="1" spans="1:38" ht="15" thickBot="1" x14ac:dyDescent="0.35">
      <c r="A1" s="341" t="s">
        <v>542</v>
      </c>
      <c r="B1" s="342"/>
      <c r="C1" s="342"/>
      <c r="D1" s="342"/>
      <c r="E1" s="342"/>
      <c r="F1" s="342"/>
      <c r="G1" s="342"/>
      <c r="H1" s="343"/>
      <c r="J1" s="344" t="s">
        <v>53</v>
      </c>
      <c r="K1" s="345"/>
      <c r="M1" s="280" t="s">
        <v>569</v>
      </c>
      <c r="N1" s="280"/>
      <c r="Q1" s="280" t="s">
        <v>574</v>
      </c>
      <c r="R1" s="280"/>
      <c r="S1" s="280"/>
      <c r="T1" s="280"/>
      <c r="U1" s="280"/>
      <c r="V1" s="280"/>
      <c r="W1" s="280"/>
      <c r="Y1" s="280" t="s">
        <v>581</v>
      </c>
      <c r="Z1" s="280"/>
      <c r="AA1" s="280"/>
      <c r="AB1" s="280"/>
      <c r="AC1" s="280"/>
      <c r="AD1" s="280"/>
      <c r="AF1" s="280" t="s">
        <v>584</v>
      </c>
      <c r="AG1" s="280"/>
      <c r="AH1" s="280"/>
      <c r="AI1" s="280"/>
      <c r="AJ1" s="280"/>
      <c r="AK1" s="280"/>
    </row>
    <row r="2" spans="1:38" ht="16.8" thickBot="1" x14ac:dyDescent="0.4">
      <c r="A2" s="341" t="s">
        <v>568</v>
      </c>
      <c r="B2" s="342"/>
      <c r="C2" s="342"/>
      <c r="D2" s="342"/>
      <c r="E2" s="342"/>
      <c r="F2" s="342"/>
      <c r="G2" s="342"/>
      <c r="H2" s="343"/>
      <c r="J2" s="148" t="s">
        <v>558</v>
      </c>
      <c r="K2" s="148" t="s">
        <v>566</v>
      </c>
      <c r="M2" s="85" t="s">
        <v>570</v>
      </c>
      <c r="N2" s="124">
        <v>0.2</v>
      </c>
      <c r="O2" s="104"/>
      <c r="Q2" s="2" t="s">
        <v>97</v>
      </c>
      <c r="R2" s="2" t="s">
        <v>586</v>
      </c>
      <c r="S2" s="85" t="s">
        <v>469</v>
      </c>
      <c r="T2" s="85" t="s">
        <v>470</v>
      </c>
      <c r="U2" s="85" t="s">
        <v>471</v>
      </c>
      <c r="V2" s="85" t="s">
        <v>472</v>
      </c>
      <c r="W2" s="85" t="s">
        <v>473</v>
      </c>
      <c r="Y2" s="2" t="s">
        <v>97</v>
      </c>
      <c r="Z2" s="2" t="s">
        <v>469</v>
      </c>
      <c r="AA2" s="2" t="s">
        <v>470</v>
      </c>
      <c r="AB2" s="2" t="s">
        <v>471</v>
      </c>
      <c r="AC2" s="2" t="s">
        <v>472</v>
      </c>
      <c r="AD2" s="2" t="s">
        <v>473</v>
      </c>
      <c r="AF2" s="351" t="s">
        <v>642</v>
      </c>
      <c r="AG2" s="351"/>
      <c r="AH2" s="351"/>
      <c r="AJ2" s="350" t="s">
        <v>640</v>
      </c>
      <c r="AK2" s="350"/>
      <c r="AL2" s="349"/>
    </row>
    <row r="3" spans="1:38" x14ac:dyDescent="0.3">
      <c r="A3" s="209" t="s">
        <v>476</v>
      </c>
      <c r="B3" s="209" t="s">
        <v>559</v>
      </c>
      <c r="C3" s="209" t="s">
        <v>560</v>
      </c>
      <c r="D3" s="209" t="s">
        <v>425</v>
      </c>
      <c r="E3" s="209" t="s">
        <v>418</v>
      </c>
      <c r="F3" s="209" t="s">
        <v>557</v>
      </c>
      <c r="G3" s="209" t="s">
        <v>561</v>
      </c>
      <c r="H3" s="209" t="s">
        <v>562</v>
      </c>
      <c r="J3" s="2" t="s">
        <v>567</v>
      </c>
      <c r="K3" s="170">
        <f>IRR(F4:F9)</f>
        <v>0.2692354893179687</v>
      </c>
      <c r="M3" s="85" t="s">
        <v>573</v>
      </c>
      <c r="N3" s="176">
        <v>4.9500000000000002E-2</v>
      </c>
      <c r="Q3" s="2" t="s">
        <v>575</v>
      </c>
      <c r="R3" s="2" t="s">
        <v>578</v>
      </c>
      <c r="S3" s="101">
        <f>('Presupuesto Anual'!B24/((('Presupuesto Anual'!B21+'Presupuesto Anual'!B12+'Presupuesto Anual'!B22))/'Presupuesto Anual'!B5)-1)</f>
        <v>93081.237152227666</v>
      </c>
      <c r="T3" s="101">
        <f>('Presupuesto Anual'!C24/((('Presupuesto Anual'!C21+'Presupuesto Anual'!C12+'Presupuesto Anual'!C22))/'Presupuesto Anual'!C5)-1)</f>
        <v>128415.18602661436</v>
      </c>
      <c r="U3" s="101">
        <f>('Presupuesto Anual'!D24/((('Presupuesto Anual'!D21+'Presupuesto Anual'!D12+'Presupuesto Anual'!D22))/'Presupuesto Anual'!D5)-1)</f>
        <v>169354.05590002256</v>
      </c>
      <c r="V3" s="101">
        <f>('Presupuesto Anual'!E24/((('Presupuesto Anual'!E21+'Presupuesto Anual'!E12+'Presupuesto Anual'!E22))/'Presupuesto Anual'!E5)-1)</f>
        <v>204500.12394627312</v>
      </c>
      <c r="W3" s="101">
        <f>('Presupuesto Anual'!F24/((('Presupuesto Anual'!F21+'Presupuesto Anual'!F12+'Presupuesto Anual'!F22))/'Presupuesto Anual'!F5)-1)</f>
        <v>244515.35929529727</v>
      </c>
      <c r="Y3" s="2" t="s">
        <v>583</v>
      </c>
      <c r="Z3" s="100">
        <f>'Presupuesto Anual'!B8</f>
        <v>687092.4</v>
      </c>
      <c r="AA3" s="100">
        <f>'Presupuesto Anual'!C8</f>
        <v>860848.02314313233</v>
      </c>
      <c r="AB3" s="100">
        <f>'Presupuesto Anual'!D8</f>
        <v>1175663.2660955838</v>
      </c>
      <c r="AC3" s="100">
        <f>'Presupuesto Anual'!E8</f>
        <v>1830430.7979273165</v>
      </c>
      <c r="AD3" s="100">
        <f>'Presupuesto Anual'!F8</f>
        <v>2984041.9700496569</v>
      </c>
      <c r="AF3" s="262" t="s">
        <v>436</v>
      </c>
      <c r="AG3" s="258">
        <v>500000</v>
      </c>
      <c r="AH3" s="257">
        <f>(AG3*100)/$AG$5/100</f>
        <v>0.58823529411764708</v>
      </c>
      <c r="AJ3" s="82" t="s">
        <v>480</v>
      </c>
      <c r="AK3" s="104">
        <f>'Inversión Total'!D14</f>
        <v>830142.43623104761</v>
      </c>
    </row>
    <row r="4" spans="1:38" ht="15" thickBot="1" x14ac:dyDescent="0.35">
      <c r="A4" s="128">
        <v>0</v>
      </c>
      <c r="B4" s="127">
        <f>Amortización!D2</f>
        <v>500000</v>
      </c>
      <c r="C4" s="128"/>
      <c r="D4" s="128"/>
      <c r="E4" s="128"/>
      <c r="F4" s="122">
        <f>(B4*-1)</f>
        <v>-500000</v>
      </c>
      <c r="G4" s="122">
        <f>F4*-1</f>
        <v>500000</v>
      </c>
      <c r="H4" s="122"/>
      <c r="J4" s="2" t="s">
        <v>563</v>
      </c>
      <c r="K4" s="206">
        <f>NPV(18%,F5,F6,F7,F8,F9)+F4</f>
        <v>223996.192439017</v>
      </c>
      <c r="M4" s="85" t="s">
        <v>572</v>
      </c>
      <c r="N4" s="124">
        <v>0.05</v>
      </c>
      <c r="Q4" s="2" t="s">
        <v>576</v>
      </c>
      <c r="R4" s="2" t="s">
        <v>579</v>
      </c>
      <c r="S4" s="124">
        <f>'Presupuesto Anual'!B23/('Presupuesto Anual'!B14-'Presupuesto Anual'!B12+'Presupuesto Anual'!B21+'Presupuesto Anual'!B25+'Presupuesto Anual'!B28)</f>
        <v>1.2924553015097973</v>
      </c>
      <c r="T4" s="124">
        <f>'Presupuesto Anual'!C23/('Presupuesto Anual'!C14-'Presupuesto Anual'!C12+'Presupuesto Anual'!C21+'Presupuesto Anual'!C25+'Presupuesto Anual'!C28)</f>
        <v>1.1656576577783748</v>
      </c>
      <c r="U4" s="124">
        <f>'Presupuesto Anual'!D23/('Presupuesto Anual'!D14-'Presupuesto Anual'!D12+'Presupuesto Anual'!D21+'Presupuesto Anual'!D25+'Presupuesto Anual'!D28)</f>
        <v>1.0410971355960816</v>
      </c>
      <c r="V4" s="124">
        <f>'Presupuesto Anual'!E23/('Presupuesto Anual'!E14-'Presupuesto Anual'!E12+'Presupuesto Anual'!E21+'Presupuesto Anual'!E25+'Presupuesto Anual'!E28)</f>
        <v>0.92157393662915932</v>
      </c>
      <c r="W4" s="124">
        <f>'Presupuesto Anual'!F23/('Presupuesto Anual'!F14-'Presupuesto Anual'!F12+'Presupuesto Anual'!F21+'Presupuesto Anual'!F25+'Presupuesto Anual'!F28)</f>
        <v>0.8092257512394021</v>
      </c>
      <c r="Y4" s="2" t="s">
        <v>480</v>
      </c>
      <c r="Z4" s="100">
        <f>'Presupuesto Anual'!B31</f>
        <v>546563.96840895235</v>
      </c>
      <c r="AA4" s="100">
        <f>'Presupuesto Anual'!C31</f>
        <v>683633.903485224</v>
      </c>
      <c r="AB4" s="100">
        <f>'Presupuesto Anual'!D31</f>
        <v>952154.53689435555</v>
      </c>
      <c r="AC4" s="100">
        <f>'Presupuesto Anual'!E31</f>
        <v>1548492.1338969443</v>
      </c>
      <c r="AD4" s="100">
        <f>'Presupuesto Anual'!F31</f>
        <v>2628344.5276268697</v>
      </c>
      <c r="AF4" s="260" t="s">
        <v>545</v>
      </c>
      <c r="AG4" s="261">
        <v>350000</v>
      </c>
      <c r="AH4" s="257">
        <f>(AG4*100)/$AG$5/100</f>
        <v>0.41176470588235298</v>
      </c>
      <c r="AJ4" s="82" t="s">
        <v>641</v>
      </c>
      <c r="AK4" s="169">
        <f>AG7+AG8</f>
        <v>0.56557093425605542</v>
      </c>
    </row>
    <row r="5" spans="1:38" x14ac:dyDescent="0.3">
      <c r="A5" s="126">
        <v>1</v>
      </c>
      <c r="B5" s="85"/>
      <c r="C5" s="101">
        <f>'Presupuesto Anual'!B14+'Presupuesto Anual'!B12+'Presupuesto Anual'!B17+'Presupuesto Anual'!B21+'Presupuesto Anual'!B22+'Presupuesto Anual'!B23+'Presupuesto Anual'!B26+'Presupuesto Anual'!B27+'Presupuesto Anual'!B28</f>
        <v>800561.44475063542</v>
      </c>
      <c r="D5" s="101">
        <f>C5</f>
        <v>800561.44475063542</v>
      </c>
      <c r="E5" s="101">
        <f>Ventas_Ingresos!H11</f>
        <v>687092.39999999991</v>
      </c>
      <c r="F5" s="101">
        <f>(E5-D5)+'Presupuesto Anual'!$B$27</f>
        <v>-105739.04475063551</v>
      </c>
      <c r="G5" s="101">
        <f>F5+F4</f>
        <v>-605739.04475063551</v>
      </c>
      <c r="H5" s="122">
        <f>F5</f>
        <v>-105739.04475063551</v>
      </c>
      <c r="J5" s="2" t="s">
        <v>564</v>
      </c>
      <c r="K5" s="207">
        <f>(3+(B4-H8)/F9)</f>
        <v>2.9201997671889597</v>
      </c>
      <c r="M5" s="85" t="s">
        <v>571</v>
      </c>
      <c r="N5" s="176">
        <f>N3+N4</f>
        <v>9.9500000000000005E-2</v>
      </c>
      <c r="Q5" s="2" t="s">
        <v>577</v>
      </c>
      <c r="R5" s="2" t="s">
        <v>580</v>
      </c>
      <c r="S5" s="85"/>
      <c r="T5" s="85"/>
      <c r="U5" s="85"/>
      <c r="V5" s="85"/>
      <c r="W5" s="85"/>
      <c r="Y5" s="2" t="s">
        <v>582</v>
      </c>
      <c r="Z5" s="211">
        <f>(Z3-Z4)/Z4</f>
        <v>0.25711250597094043</v>
      </c>
      <c r="AA5" s="211">
        <f t="shared" ref="AA5:AC5" si="0">(AA3-AA4)/AA4</f>
        <v>0.25922371426351976</v>
      </c>
      <c r="AB5" s="211">
        <f t="shared" si="0"/>
        <v>0.23473997186449075</v>
      </c>
      <c r="AC5" s="211">
        <f t="shared" si="0"/>
        <v>0.18207303599330768</v>
      </c>
      <c r="AD5" s="211">
        <f>(AD3-AD4)/AD4</f>
        <v>0.13533136112256414</v>
      </c>
      <c r="AF5" s="259" t="s">
        <v>118</v>
      </c>
      <c r="AG5" s="104">
        <f>SUM(AG3:AG4)</f>
        <v>850000</v>
      </c>
      <c r="AH5" s="82"/>
    </row>
    <row r="6" spans="1:38" x14ac:dyDescent="0.3">
      <c r="A6" s="126">
        <v>2</v>
      </c>
      <c r="B6" s="85"/>
      <c r="C6" s="101">
        <f>'Presupuesto Anual'!C14+'Presupuesto Anual'!C12+'Presupuesto Anual'!C17+'Presupuesto Anual'!C21+'Presupuesto Anual'!C22+'Presupuesto Anual'!C23+'Presupuesto Anual'!C26+'Presupuesto Anual'!C27+'Presupuesto Anual'!C28</f>
        <v>1118599.2967582848</v>
      </c>
      <c r="D6" s="101">
        <f t="shared" ref="D6:D9" si="1">C6</f>
        <v>1118599.2967582848</v>
      </c>
      <c r="E6" s="101">
        <f>Ventas_Ingresos!H27</f>
        <v>1016488.8763027199</v>
      </c>
      <c r="F6" s="101">
        <f>(E6-D6)+'Presupuesto Anual'!$B$27</f>
        <v>-94380.420455564861</v>
      </c>
      <c r="G6" s="101">
        <f t="shared" ref="G6:G9" si="2">F6+F5</f>
        <v>-200119.46520620037</v>
      </c>
      <c r="H6" s="101">
        <f>H5+F6</f>
        <v>-200119.46520620037</v>
      </c>
      <c r="J6" s="2" t="s">
        <v>565</v>
      </c>
      <c r="K6" s="207">
        <f>0.92*12</f>
        <v>11.040000000000001</v>
      </c>
      <c r="M6" s="347" t="s">
        <v>585</v>
      </c>
      <c r="N6" s="347"/>
      <c r="Q6" s="2" t="s">
        <v>587</v>
      </c>
      <c r="R6" s="2" t="s">
        <v>133</v>
      </c>
      <c r="S6" s="85"/>
      <c r="T6" s="85"/>
      <c r="U6" s="85"/>
      <c r="V6" s="85"/>
      <c r="W6" s="85"/>
      <c r="AG6" s="82"/>
      <c r="AH6" s="82"/>
      <c r="AJ6" s="82" t="s">
        <v>638</v>
      </c>
      <c r="AK6" s="254">
        <f>NPV(AG10,Z3:AD3)</f>
        <v>7538076.4572156891</v>
      </c>
    </row>
    <row r="7" spans="1:38" x14ac:dyDescent="0.3">
      <c r="A7" s="126">
        <v>3</v>
      </c>
      <c r="B7" s="85"/>
      <c r="C7" s="101">
        <f>'Presupuesto Anual'!D14+'Presupuesto Anual'!D12+'Presupuesto Anual'!D17+'Presupuesto Anual'!D21+'Presupuesto Anual'!D22+'Presupuesto Anual'!D23+'Presupuesto Anual'!D26+'Presupuesto Anual'!D27+'Presupuesto Anual'!D28</f>
        <v>1241402.7389395216</v>
      </c>
      <c r="D7" s="101">
        <f t="shared" si="1"/>
        <v>1241402.7389395216</v>
      </c>
      <c r="E7" s="101">
        <f>Ventas_Ingresos!H43</f>
        <v>1450327.4315388997</v>
      </c>
      <c r="F7" s="101">
        <f>(E7-D7)+'Presupuesto Anual'!$B$27</f>
        <v>216654.69259937806</v>
      </c>
      <c r="G7" s="101">
        <f t="shared" si="2"/>
        <v>122274.2721438132</v>
      </c>
      <c r="H7" s="101">
        <f>H6+F7</f>
        <v>16535.227393177687</v>
      </c>
      <c r="J7" s="2" t="s">
        <v>442</v>
      </c>
      <c r="K7" s="208">
        <f>0.4*30</f>
        <v>12</v>
      </c>
      <c r="M7" s="347"/>
      <c r="N7" s="347"/>
      <c r="Q7" s="87" t="s">
        <v>346</v>
      </c>
      <c r="R7" s="122">
        <v>332.07</v>
      </c>
      <c r="S7" s="101">
        <f>Ventas_Ingresos!$H$11/Rentabilidad!R7</f>
        <v>2069.1191616225492</v>
      </c>
      <c r="T7" s="101">
        <f>Ventas_Ingresos!$H$27/Ventas_Ingresos!E20</f>
        <v>3060.9150311681274</v>
      </c>
      <c r="U7" s="101">
        <f>Ventas_Ingresos!$H$43/Ventas_Ingresos!E36</f>
        <v>4159.3494165543416</v>
      </c>
      <c r="V7" s="101">
        <f>Ventas_Ingresos!$H$59/Ventas_Ingresos!E52</f>
        <v>5224.1428671922531</v>
      </c>
      <c r="W7" s="101">
        <f>Ventas_Ingresos!$H$75/Ventas_Ingresos!E68</f>
        <v>6561.5234411934698</v>
      </c>
      <c r="AF7" s="82" t="s">
        <v>643</v>
      </c>
      <c r="AG7" s="257">
        <f>((AG3/AG5)*AH3)+((AG4/AG5)*AH4)</f>
        <v>0.51557093425605538</v>
      </c>
      <c r="AH7" s="82"/>
      <c r="AJ7" s="82" t="s">
        <v>639</v>
      </c>
      <c r="AK7" s="254">
        <f>NPV(AG10,Z4:AD4)</f>
        <v>6359189.0703123454</v>
      </c>
    </row>
    <row r="8" spans="1:38" ht="15" thickBot="1" x14ac:dyDescent="0.35">
      <c r="A8" s="126">
        <v>4</v>
      </c>
      <c r="B8" s="85"/>
      <c r="C8" s="101">
        <f>'Presupuesto Anual'!E14+'Presupuesto Anual'!E12+'Presupuesto Anual'!E17+'Presupuesto Anual'!E21+'Presupuesto Anual'!E22+'Presupuesto Anual'!E23+'Presupuesto Anual'!E26+'Presupuesto Anual'!E27+'Presupuesto Anual'!E28</f>
        <v>1353504.3644688632</v>
      </c>
      <c r="D8" s="101">
        <f t="shared" si="1"/>
        <v>1353504.3644688632</v>
      </c>
      <c r="E8" s="101">
        <f>Ventas_Ingresos!H59</f>
        <v>1912691.816713501</v>
      </c>
      <c r="F8" s="101">
        <f>(E8-D8)+'Presupuesto Anual'!$B$27</f>
        <v>566917.45224463777</v>
      </c>
      <c r="G8" s="101">
        <f t="shared" si="2"/>
        <v>783572.14484401583</v>
      </c>
      <c r="H8" s="101">
        <f>H7+F8</f>
        <v>583452.67963781545</v>
      </c>
      <c r="J8" s="346" t="s">
        <v>637</v>
      </c>
      <c r="K8" s="346"/>
      <c r="Q8" s="87" t="s">
        <v>347</v>
      </c>
      <c r="R8" s="122">
        <v>441.61</v>
      </c>
      <c r="S8" s="101">
        <f>Ventas_Ingresos!$H$11/Rentabilidad!R8</f>
        <v>1555.8805280677518</v>
      </c>
      <c r="T8" s="101">
        <f>Ventas_Ingresos!$H$27/Ventas_Ingresos!E21</f>
        <v>2301.6644876701157</v>
      </c>
      <c r="U8" s="101">
        <f>Ventas_Ingresos!$H$43/Ventas_Ingresos!E37</f>
        <v>3127.6356077878672</v>
      </c>
      <c r="V8" s="101">
        <f>Ventas_Ingresos!$H$59/Ventas_Ingresos!E53</f>
        <v>3928.3103233815614</v>
      </c>
      <c r="W8" s="101">
        <f>Ventas_Ingresos!$H$75/Ventas_Ingresos!E69</f>
        <v>4933.9577661672402</v>
      </c>
      <c r="AA8" s="253"/>
      <c r="AF8" s="82" t="s">
        <v>644</v>
      </c>
      <c r="AG8" s="255">
        <v>0.05</v>
      </c>
      <c r="AH8" s="82"/>
      <c r="AJ8" s="265" t="s">
        <v>645</v>
      </c>
      <c r="AK8" s="266">
        <f>AK7+AG5</f>
        <v>7209189.0703123454</v>
      </c>
    </row>
    <row r="9" spans="1:38" x14ac:dyDescent="0.3">
      <c r="A9" s="126">
        <v>5</v>
      </c>
      <c r="B9" s="85"/>
      <c r="C9" s="101">
        <f>'Presupuesto Anual'!F14+'Presupuesto Anual'!F12+'Presupuesto Anual'!F17+'Presupuesto Anual'!F21+'Presupuesto Anual'!F22+'Presupuesto Anual'!F23+'Presupuesto Anual'!F26+'Presupuesto Anual'!F27+'Presupuesto Anual'!F28</f>
        <v>1484418.0910516605</v>
      </c>
      <c r="D9" s="101">
        <f t="shared" si="1"/>
        <v>1484418.0910516605</v>
      </c>
      <c r="E9" s="101">
        <f>Ventas_Ingresos!H75</f>
        <v>2522457.9678817648</v>
      </c>
      <c r="F9" s="101">
        <f>(E9-D9)+'Presupuesto Anual'!$B$27</f>
        <v>1045769.8768301043</v>
      </c>
      <c r="G9" s="101">
        <f t="shared" si="2"/>
        <v>1612687.329074742</v>
      </c>
      <c r="H9" s="101">
        <f>H8+F9</f>
        <v>1629222.5564679196</v>
      </c>
      <c r="Q9" s="87" t="s">
        <v>200</v>
      </c>
      <c r="R9" s="122">
        <v>432.69</v>
      </c>
      <c r="S9" s="101">
        <f>Ventas_Ingresos!$H$11/Rentabilidad!R9</f>
        <v>1587.9553490951951</v>
      </c>
      <c r="T9" s="101">
        <f>Ventas_Ingresos!$H$27/Ventas_Ingresos!E22</f>
        <v>2349.113809886986</v>
      </c>
      <c r="U9" s="101">
        <f>Ventas_Ingresos!$H$43/Ventas_Ingresos!E38</f>
        <v>3192.1125072342784</v>
      </c>
      <c r="V9" s="101">
        <f>Ventas_Ingresos!$H$59/Ventas_Ingresos!E54</f>
        <v>4009.2933090862543</v>
      </c>
      <c r="W9" s="101">
        <f>Ventas_Ingresos!$H$75/Ventas_Ingresos!E70</f>
        <v>5035.6723962123342</v>
      </c>
      <c r="AB9" s="256"/>
      <c r="AJ9" s="264" t="s">
        <v>640</v>
      </c>
      <c r="AK9" s="263">
        <f>AK6/AK8</f>
        <v>1.0456205800258052</v>
      </c>
    </row>
    <row r="10" spans="1:38" x14ac:dyDescent="0.3">
      <c r="A10" s="172" t="s">
        <v>67</v>
      </c>
      <c r="B10" s="210">
        <f t="shared" ref="B10:G10" si="3">SUM(B4:B9)</f>
        <v>500000</v>
      </c>
      <c r="C10" s="210">
        <f>SUM(C4:C9)</f>
        <v>5998485.9359689653</v>
      </c>
      <c r="D10" s="210">
        <f t="shared" si="3"/>
        <v>5998485.9359689653</v>
      </c>
      <c r="E10" s="210">
        <f t="shared" si="3"/>
        <v>7589058.4924368858</v>
      </c>
      <c r="F10" s="210">
        <f t="shared" si="3"/>
        <v>1129222.5564679196</v>
      </c>
      <c r="G10" s="210">
        <f t="shared" si="3"/>
        <v>2212675.2361057354</v>
      </c>
      <c r="H10" s="210">
        <f>SUM(H4:H9)</f>
        <v>1923351.953542077</v>
      </c>
      <c r="Q10" s="87" t="s">
        <v>348</v>
      </c>
      <c r="R10" s="122">
        <v>493.8</v>
      </c>
      <c r="S10" s="101">
        <f>Ventas_Ingresos!$H$11/Rentabilidad!R10</f>
        <v>1391.4386391251517</v>
      </c>
      <c r="T10" s="101">
        <f>Ventas_Ingresos!$H$27/Ventas_Ingresos!E23</f>
        <v>2058.4002721749694</v>
      </c>
      <c r="U10" s="101">
        <f>Ventas_Ingresos!$H$43/Ventas_Ingresos!E39</f>
        <v>2797.074039601458</v>
      </c>
      <c r="V10" s="101">
        <f>Ventas_Ingresos!$H$59/Ventas_Ingresos!E55</f>
        <v>3513.1249937394318</v>
      </c>
      <c r="W10" s="101">
        <f>Ventas_Ingresos!$H$75/Ventas_Ingresos!E71</f>
        <v>4412.4849921367259</v>
      </c>
      <c r="AB10" s="169"/>
      <c r="AG10" s="82"/>
      <c r="AH10" s="82"/>
    </row>
    <row r="11" spans="1:38" x14ac:dyDescent="0.3">
      <c r="A11" s="64"/>
      <c r="Q11" s="87" t="s">
        <v>195</v>
      </c>
      <c r="R11" s="122">
        <v>426.25</v>
      </c>
      <c r="S11" s="101">
        <f>Ventas_Ingresos!$H$11/Rentabilidad!R11</f>
        <v>1611.9469794721406</v>
      </c>
      <c r="T11" s="101">
        <f>Ventas_Ingresos!$H$27/Ventas_Ingresos!E24</f>
        <v>2384.6054062170083</v>
      </c>
      <c r="U11" s="101">
        <f>Ventas_Ingresos!$H$43/Ventas_Ingresos!E40</f>
        <v>3240.3405530913778</v>
      </c>
      <c r="V11" s="101">
        <f>Ventas_Ingresos!$H$59/Ventas_Ingresos!E56</f>
        <v>4069.8677346827712</v>
      </c>
      <c r="W11" s="101">
        <f>Ventas_Ingresos!$H$75/Ventas_Ingresos!E72</f>
        <v>5111.7538747615599</v>
      </c>
      <c r="AB11" s="256"/>
      <c r="AG11" s="82"/>
      <c r="AH11" s="82"/>
      <c r="AJ11" s="348" t="s">
        <v>646</v>
      </c>
      <c r="AK11" s="348"/>
    </row>
    <row r="12" spans="1:38" x14ac:dyDescent="0.3">
      <c r="Q12" s="87" t="s">
        <v>349</v>
      </c>
      <c r="R12" s="122">
        <v>453.47</v>
      </c>
      <c r="S12" s="101">
        <f>Ventas_Ingresos!$H$11/Rentabilidad!R12</f>
        <v>1515.1882153174408</v>
      </c>
      <c r="T12" s="101">
        <f>Ventas_Ingresos!$H$27/Ventas_Ingresos!E25</f>
        <v>2241.4670306745757</v>
      </c>
      <c r="U12" s="101">
        <f>Ventas_Ingresos!$H$43/Ventas_Ingresos!E41</f>
        <v>3045.8358011670011</v>
      </c>
      <c r="V12" s="101">
        <f>Ventas_Ingresos!$H$59/Ventas_Ingresos!E57</f>
        <v>3825.5697662657535</v>
      </c>
      <c r="W12" s="101">
        <f>Ventas_Ingresos!$H$75/Ventas_Ingresos!E73</f>
        <v>4804.9156264297862</v>
      </c>
      <c r="AG12" s="82"/>
      <c r="AH12" s="82"/>
      <c r="AJ12" s="348"/>
      <c r="AK12" s="348"/>
    </row>
    <row r="13" spans="1:38" x14ac:dyDescent="0.3">
      <c r="H13" s="104"/>
      <c r="Q13" s="87" t="s">
        <v>350</v>
      </c>
      <c r="R13" s="122">
        <v>208.42</v>
      </c>
      <c r="S13" s="101">
        <f>Ventas_Ingresos!$H$11/Rentabilidad!R13</f>
        <v>3296.6721044045676</v>
      </c>
      <c r="T13" s="101">
        <f>Ventas_Ingresos!$H$27/Ventas_Ingresos!E26</f>
        <v>4876.8738815852603</v>
      </c>
      <c r="U13" s="101">
        <f>Ventas_Ingresos!$H$43/Ventas_Ingresos!E42</f>
        <v>6626.9799479666062</v>
      </c>
      <c r="V13" s="101">
        <f>Ventas_Ingresos!$H$59/Ventas_Ingresos!E58</f>
        <v>8323.4868146460576</v>
      </c>
      <c r="W13" s="101">
        <f>Ventas_Ingresos!$H$75/Ventas_Ingresos!E74</f>
        <v>10454.299439195447</v>
      </c>
      <c r="AB13" s="104"/>
      <c r="AG13" s="82"/>
      <c r="AH13" s="82"/>
      <c r="AJ13" s="348"/>
      <c r="AK13" s="348"/>
    </row>
    <row r="14" spans="1:38" x14ac:dyDescent="0.3">
      <c r="AG14" s="82"/>
      <c r="AH14" s="82"/>
      <c r="AJ14" s="348"/>
      <c r="AK14" s="348"/>
    </row>
    <row r="19" spans="29:37" ht="14.4" customHeight="1" x14ac:dyDescent="0.3">
      <c r="AJ19" s="267"/>
      <c r="AK19" s="267"/>
    </row>
    <row r="20" spans="29:37" x14ac:dyDescent="0.3">
      <c r="AJ20" s="267"/>
      <c r="AK20" s="267"/>
    </row>
    <row r="22" spans="29:37" x14ac:dyDescent="0.3">
      <c r="AC22" s="104"/>
    </row>
    <row r="23" spans="29:37" x14ac:dyDescent="0.3">
      <c r="AC23" s="104"/>
    </row>
    <row r="25" spans="29:37" x14ac:dyDescent="0.3">
      <c r="AC25" s="263"/>
    </row>
  </sheetData>
  <mergeCells count="12">
    <mergeCell ref="AJ11:AK14"/>
    <mergeCell ref="Q1:W1"/>
    <mergeCell ref="AF1:AK1"/>
    <mergeCell ref="Y1:AD1"/>
    <mergeCell ref="AJ2:AK2"/>
    <mergeCell ref="AF2:AH2"/>
    <mergeCell ref="A1:H1"/>
    <mergeCell ref="J1:K1"/>
    <mergeCell ref="A2:H2"/>
    <mergeCell ref="J8:K8"/>
    <mergeCell ref="M1:N1"/>
    <mergeCell ref="M6:N7"/>
  </mergeCells>
  <phoneticPr fontId="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AE07F-CB98-4EC3-A61B-4A54AD3CFF11}">
  <dimension ref="A2:N19"/>
  <sheetViews>
    <sheetView showGridLines="0" topLeftCell="A2" workbookViewId="0">
      <selection activeCell="M18" sqref="M18"/>
    </sheetView>
  </sheetViews>
  <sheetFormatPr baseColWidth="10" defaultRowHeight="14.4" x14ac:dyDescent="0.3"/>
  <cols>
    <col min="1" max="1" width="1.6640625" customWidth="1"/>
    <col min="2" max="2" width="4" style="36" bestFit="1" customWidth="1"/>
    <col min="3" max="3" width="27.44140625" style="36" bestFit="1" customWidth="1"/>
    <col min="4" max="5" width="5.5546875" style="51" bestFit="1" customWidth="1"/>
    <col min="6" max="6" width="4.77734375" style="59" bestFit="1" customWidth="1"/>
    <col min="7" max="7" width="4.6640625" style="59" bestFit="1" customWidth="1"/>
    <col min="8" max="9" width="5" style="59" bestFit="1" customWidth="1"/>
    <col min="10" max="10" width="4.77734375" style="59" bestFit="1" customWidth="1"/>
    <col min="12" max="12" width="13.5546875" bestFit="1" customWidth="1"/>
  </cols>
  <sheetData>
    <row r="2" spans="1:14" x14ac:dyDescent="0.3">
      <c r="B2" s="49"/>
      <c r="C2" s="49"/>
      <c r="D2" s="58"/>
      <c r="E2" s="58"/>
    </row>
    <row r="3" spans="1:14" ht="15" customHeight="1" thickBot="1" x14ac:dyDescent="0.35">
      <c r="A3" s="18"/>
      <c r="B3" s="52" t="s">
        <v>48</v>
      </c>
      <c r="C3" s="48" t="s">
        <v>50</v>
      </c>
      <c r="D3" s="271" t="s">
        <v>53</v>
      </c>
      <c r="E3" s="271" t="s">
        <v>38</v>
      </c>
      <c r="F3" s="271" t="s">
        <v>55</v>
      </c>
      <c r="G3" s="271" t="s">
        <v>56</v>
      </c>
      <c r="H3" s="271" t="s">
        <v>57</v>
      </c>
      <c r="I3" s="271" t="s">
        <v>59</v>
      </c>
      <c r="J3" s="274" t="s">
        <v>58</v>
      </c>
      <c r="K3" s="18"/>
      <c r="L3" s="273" t="s">
        <v>52</v>
      </c>
      <c r="M3" s="273"/>
      <c r="N3" s="18"/>
    </row>
    <row r="4" spans="1:14" ht="15.6" thickTop="1" thickBot="1" x14ac:dyDescent="0.35">
      <c r="B4" s="269" t="s">
        <v>66</v>
      </c>
      <c r="C4" s="270"/>
      <c r="D4" s="272"/>
      <c r="E4" s="272"/>
      <c r="F4" s="272"/>
      <c r="G4" s="272"/>
      <c r="H4" s="272"/>
      <c r="I4" s="272"/>
      <c r="J4" s="275"/>
      <c r="K4" s="18"/>
      <c r="L4" s="54" t="s">
        <v>51</v>
      </c>
      <c r="M4" s="56" t="s">
        <v>53</v>
      </c>
      <c r="N4" s="18"/>
    </row>
    <row r="5" spans="1:14" ht="15.6" customHeight="1" thickTop="1" x14ac:dyDescent="0.3">
      <c r="B5" s="37">
        <v>1</v>
      </c>
      <c r="C5" s="42" t="s">
        <v>60</v>
      </c>
      <c r="D5" s="50" t="s">
        <v>62</v>
      </c>
      <c r="E5" s="50" t="s">
        <v>62</v>
      </c>
      <c r="F5" s="60" t="s">
        <v>62</v>
      </c>
      <c r="G5" s="60" t="s">
        <v>62</v>
      </c>
      <c r="H5" s="60" t="s">
        <v>62</v>
      </c>
      <c r="I5" s="60" t="s">
        <v>62</v>
      </c>
      <c r="J5" s="59" t="s">
        <v>62</v>
      </c>
      <c r="K5" s="18"/>
      <c r="L5" s="55" t="s">
        <v>54</v>
      </c>
      <c r="M5" s="57" t="s">
        <v>38</v>
      </c>
      <c r="N5" s="18"/>
    </row>
    <row r="6" spans="1:14" ht="15.6" customHeight="1" x14ac:dyDescent="0.3">
      <c r="B6" s="37">
        <v>2</v>
      </c>
      <c r="C6" s="42" t="s">
        <v>65</v>
      </c>
      <c r="D6" s="50" t="s">
        <v>62</v>
      </c>
      <c r="E6" s="50" t="s">
        <v>62</v>
      </c>
      <c r="F6" s="60"/>
      <c r="G6" s="60" t="s">
        <v>62</v>
      </c>
      <c r="H6" s="60"/>
      <c r="I6" s="60" t="s">
        <v>62</v>
      </c>
      <c r="J6" s="59" t="s">
        <v>62</v>
      </c>
      <c r="K6" s="18"/>
      <c r="L6" s="55" t="s">
        <v>35</v>
      </c>
      <c r="M6" s="57" t="s">
        <v>55</v>
      </c>
      <c r="N6" s="18"/>
    </row>
    <row r="7" spans="1:14" ht="15.6" customHeight="1" x14ac:dyDescent="0.3">
      <c r="B7" s="37">
        <v>3</v>
      </c>
      <c r="C7" s="42" t="s">
        <v>61</v>
      </c>
      <c r="D7" s="50" t="s">
        <v>62</v>
      </c>
      <c r="E7" s="50" t="s">
        <v>62</v>
      </c>
      <c r="F7" s="60" t="s">
        <v>62</v>
      </c>
      <c r="G7" s="60" t="s">
        <v>62</v>
      </c>
      <c r="H7" s="60" t="s">
        <v>62</v>
      </c>
      <c r="I7" s="60" t="s">
        <v>62</v>
      </c>
      <c r="J7" s="59" t="s">
        <v>62</v>
      </c>
      <c r="K7" s="18"/>
      <c r="L7" s="55" t="s">
        <v>32</v>
      </c>
      <c r="M7" s="57" t="s">
        <v>56</v>
      </c>
      <c r="N7" s="18"/>
    </row>
    <row r="8" spans="1:14" ht="15.6" customHeight="1" x14ac:dyDescent="0.3">
      <c r="B8" s="37">
        <v>4</v>
      </c>
      <c r="C8" s="42" t="s">
        <v>64</v>
      </c>
      <c r="D8" s="50" t="s">
        <v>62</v>
      </c>
      <c r="E8" s="50"/>
      <c r="F8" s="60"/>
      <c r="G8" s="60"/>
      <c r="H8" s="60"/>
      <c r="I8" s="60"/>
      <c r="K8" s="18"/>
      <c r="L8" s="55" t="s">
        <v>29</v>
      </c>
      <c r="M8" s="57" t="s">
        <v>57</v>
      </c>
      <c r="N8" s="18"/>
    </row>
    <row r="9" spans="1:14" ht="15.6" customHeight="1" x14ac:dyDescent="0.3">
      <c r="B9" s="37">
        <v>5</v>
      </c>
      <c r="C9" s="42" t="s">
        <v>63</v>
      </c>
      <c r="D9" s="50" t="s">
        <v>62</v>
      </c>
      <c r="E9" s="50"/>
      <c r="F9" s="60"/>
      <c r="G9" s="60"/>
      <c r="H9" s="60"/>
      <c r="I9" s="60"/>
      <c r="K9" s="18"/>
      <c r="L9" s="55" t="s">
        <v>25</v>
      </c>
      <c r="M9" s="57" t="s">
        <v>59</v>
      </c>
      <c r="N9" s="18"/>
    </row>
    <row r="10" spans="1:14" x14ac:dyDescent="0.3">
      <c r="K10" s="18"/>
      <c r="L10" s="55" t="s">
        <v>21</v>
      </c>
      <c r="M10" s="57" t="s">
        <v>58</v>
      </c>
      <c r="N10" s="18"/>
    </row>
    <row r="12" spans="1:14" x14ac:dyDescent="0.3">
      <c r="C12" s="53"/>
      <c r="D12" s="47"/>
    </row>
    <row r="13" spans="1:14" x14ac:dyDescent="0.3">
      <c r="C13" s="53"/>
      <c r="D13" s="47"/>
    </row>
    <row r="14" spans="1:14" x14ac:dyDescent="0.3">
      <c r="C14" s="53"/>
      <c r="D14" s="47"/>
    </row>
    <row r="15" spans="1:14" x14ac:dyDescent="0.3">
      <c r="C15" s="53"/>
      <c r="D15" s="47"/>
    </row>
    <row r="16" spans="1:14" x14ac:dyDescent="0.3">
      <c r="C16" s="53"/>
      <c r="D16" s="47"/>
    </row>
    <row r="17" spans="3:4" x14ac:dyDescent="0.3">
      <c r="C17" s="53"/>
      <c r="D17" s="47"/>
    </row>
    <row r="18" spans="3:4" x14ac:dyDescent="0.3">
      <c r="C18" s="53"/>
      <c r="D18" s="47"/>
    </row>
    <row r="19" spans="3:4" x14ac:dyDescent="0.3">
      <c r="C19" s="53"/>
      <c r="D19" s="47"/>
    </row>
  </sheetData>
  <mergeCells count="9">
    <mergeCell ref="B4:C4"/>
    <mergeCell ref="D3:D4"/>
    <mergeCell ref="E3:E4"/>
    <mergeCell ref="F3:F4"/>
    <mergeCell ref="L3:M3"/>
    <mergeCell ref="G3:G4"/>
    <mergeCell ref="H3:H4"/>
    <mergeCell ref="I3:I4"/>
    <mergeCell ref="J3:J4"/>
  </mergeCell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399AA-E4E1-4B6D-A122-582BA16AD0E3}">
  <dimension ref="B1:F28"/>
  <sheetViews>
    <sheetView showGridLines="0" zoomScale="54" zoomScaleNormal="60" workbookViewId="0">
      <selection activeCell="B28" sqref="B28"/>
    </sheetView>
  </sheetViews>
  <sheetFormatPr baseColWidth="10" defaultRowHeight="14.4" x14ac:dyDescent="0.3"/>
  <cols>
    <col min="1" max="1" width="2.6640625" customWidth="1"/>
    <col min="2" max="2" width="27.21875" bestFit="1" customWidth="1"/>
    <col min="3" max="3" width="18.6640625" bestFit="1" customWidth="1"/>
    <col min="4" max="5" width="19" bestFit="1" customWidth="1"/>
  </cols>
  <sheetData>
    <row r="1" spans="2:5" ht="15" thickBot="1" x14ac:dyDescent="0.35">
      <c r="B1" s="276" t="s">
        <v>6</v>
      </c>
      <c r="C1" s="276"/>
      <c r="D1" s="276"/>
      <c r="E1" s="276"/>
    </row>
    <row r="2" spans="2:5" ht="15" thickTop="1" x14ac:dyDescent="0.3">
      <c r="B2" s="4"/>
      <c r="C2" s="4"/>
      <c r="D2" s="4"/>
      <c r="E2" s="4"/>
    </row>
    <row r="3" spans="2:5" x14ac:dyDescent="0.3">
      <c r="B3" s="6"/>
      <c r="C3" s="14" t="s">
        <v>2</v>
      </c>
      <c r="D3" s="2" t="s">
        <v>3</v>
      </c>
      <c r="E3" s="6" t="s">
        <v>4</v>
      </c>
    </row>
    <row r="4" spans="2:5" x14ac:dyDescent="0.3">
      <c r="B4" s="5" t="s">
        <v>5</v>
      </c>
      <c r="C4" s="11">
        <v>1313782</v>
      </c>
      <c r="D4" s="15">
        <v>1385211</v>
      </c>
      <c r="E4" s="9">
        <v>1468850</v>
      </c>
    </row>
    <row r="5" spans="2:5" x14ac:dyDescent="0.3">
      <c r="B5" s="3" t="s">
        <v>0</v>
      </c>
      <c r="C5" s="12">
        <v>699713</v>
      </c>
      <c r="D5" s="16">
        <v>738277</v>
      </c>
      <c r="E5" s="8">
        <v>783257</v>
      </c>
    </row>
    <row r="6" spans="2:5" ht="15" thickBot="1" x14ac:dyDescent="0.35">
      <c r="B6" s="7" t="s">
        <v>1</v>
      </c>
      <c r="C6" s="13">
        <v>614069</v>
      </c>
      <c r="D6" s="17">
        <v>646984</v>
      </c>
      <c r="E6" s="10">
        <v>685593</v>
      </c>
    </row>
    <row r="7" spans="2:5" ht="15" thickTop="1" x14ac:dyDescent="0.3">
      <c r="B7" s="277" t="s">
        <v>7</v>
      </c>
      <c r="C7" s="277"/>
      <c r="D7" s="277"/>
      <c r="E7" s="277"/>
    </row>
    <row r="8" spans="2:5" x14ac:dyDescent="0.3">
      <c r="C8" s="1"/>
    </row>
    <row r="17" spans="2:6" x14ac:dyDescent="0.3">
      <c r="B17" s="277"/>
      <c r="C17" s="277"/>
      <c r="D17" s="277"/>
      <c r="E17" s="277"/>
    </row>
    <row r="19" spans="2:6" x14ac:dyDescent="0.3">
      <c r="B19" s="6"/>
      <c r="C19" s="14" t="s">
        <v>2</v>
      </c>
      <c r="D19" s="2" t="s">
        <v>3</v>
      </c>
      <c r="E19" s="6" t="s">
        <v>4</v>
      </c>
    </row>
    <row r="20" spans="2:6" ht="15" thickBot="1" x14ac:dyDescent="0.35">
      <c r="B20" s="20" t="s">
        <v>5</v>
      </c>
      <c r="C20" s="21">
        <f>C4</f>
        <v>1313782</v>
      </c>
      <c r="D20" s="22">
        <f>D4</f>
        <v>1385211</v>
      </c>
      <c r="E20" s="23">
        <f>E4</f>
        <v>1468850</v>
      </c>
    </row>
    <row r="21" spans="2:6" ht="15" thickTop="1" x14ac:dyDescent="0.3">
      <c r="B21" s="18" t="s">
        <v>8</v>
      </c>
      <c r="C21" s="24">
        <f>C5+C6</f>
        <v>1313782</v>
      </c>
      <c r="D21" s="24">
        <f>D5+D6</f>
        <v>1385261</v>
      </c>
      <c r="E21" s="25">
        <f>E5+E6</f>
        <v>1468850</v>
      </c>
      <c r="F21" s="18"/>
    </row>
    <row r="22" spans="2:6" ht="15" thickBot="1" x14ac:dyDescent="0.35">
      <c r="B22" s="19" t="s">
        <v>10</v>
      </c>
      <c r="C22" s="26">
        <f>C21*30%</f>
        <v>394134.6</v>
      </c>
      <c r="D22" s="27">
        <f>D21*30%</f>
        <v>415578.3</v>
      </c>
      <c r="E22" s="28">
        <f>E21*30%</f>
        <v>440655</v>
      </c>
    </row>
    <row r="23" spans="2:6" ht="15.6" thickTop="1" thickBot="1" x14ac:dyDescent="0.35">
      <c r="B23" s="32" t="s">
        <v>12</v>
      </c>
      <c r="C23" s="24">
        <f>C21-C22</f>
        <v>919647.4</v>
      </c>
      <c r="D23" s="24">
        <f>D21-D22</f>
        <v>969682.7</v>
      </c>
      <c r="E23" s="25">
        <f>E21-E22</f>
        <v>1028195</v>
      </c>
      <c r="F23" s="18"/>
    </row>
    <row r="24" spans="2:6" ht="15" thickTop="1" x14ac:dyDescent="0.3">
      <c r="B24" s="29" t="s">
        <v>11</v>
      </c>
      <c r="C24" s="30">
        <f>C5/C20</f>
        <v>0.53259444869849026</v>
      </c>
      <c r="D24" s="30">
        <f>D5/D20</f>
        <v>0.53297078928769692</v>
      </c>
      <c r="E24" s="30">
        <f>E5/E20</f>
        <v>0.53324505565578517</v>
      </c>
    </row>
    <row r="25" spans="2:6" ht="15" thickBot="1" x14ac:dyDescent="0.35">
      <c r="B25" s="19" t="s">
        <v>9</v>
      </c>
      <c r="C25" s="31">
        <f>C6/C20</f>
        <v>0.46740555130150968</v>
      </c>
      <c r="D25" s="31">
        <f>D6/D20</f>
        <v>0.46706530629629711</v>
      </c>
      <c r="E25" s="31">
        <f>E6/E20</f>
        <v>0.46675494434421488</v>
      </c>
    </row>
    <row r="26" spans="2:6" ht="15" thickTop="1" x14ac:dyDescent="0.3">
      <c r="B26" s="33" t="s">
        <v>14</v>
      </c>
      <c r="C26" s="35">
        <f t="shared" ref="C26:E27" si="0">(C5-(C5*30%))</f>
        <v>489799.1</v>
      </c>
      <c r="D26" s="35">
        <f t="shared" si="0"/>
        <v>516793.9</v>
      </c>
      <c r="E26" s="35">
        <f t="shared" si="0"/>
        <v>548279.9</v>
      </c>
    </row>
    <row r="27" spans="2:6" ht="15" thickBot="1" x14ac:dyDescent="0.35">
      <c r="B27" s="34" t="s">
        <v>13</v>
      </c>
      <c r="C27" s="28">
        <f t="shared" si="0"/>
        <v>429848.30000000005</v>
      </c>
      <c r="D27" s="28">
        <f t="shared" si="0"/>
        <v>452888.80000000005</v>
      </c>
      <c r="E27" s="28">
        <f t="shared" si="0"/>
        <v>479915.1</v>
      </c>
    </row>
    <row r="28" spans="2:6" ht="15" thickTop="1" x14ac:dyDescent="0.3"/>
  </sheetData>
  <mergeCells count="3">
    <mergeCell ref="B1:E1"/>
    <mergeCell ref="B7:E7"/>
    <mergeCell ref="B17:E17"/>
  </mergeCells>
  <phoneticPr fontId="1" type="noConversion"/>
  <pageMargins left="0.7" right="0.7" top="0.75" bottom="0.75" header="0.3" footer="0.3"/>
  <pageSetup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341C1-00A9-446F-8B35-4E7CDE03568D}">
  <dimension ref="A1:DM24"/>
  <sheetViews>
    <sheetView showGridLines="0" workbookViewId="0">
      <selection activeCell="CQ25" sqref="CQ25"/>
    </sheetView>
  </sheetViews>
  <sheetFormatPr baseColWidth="10" defaultRowHeight="14.4" x14ac:dyDescent="0.3"/>
  <cols>
    <col min="1" max="1" width="26.88671875" style="82" bestFit="1" customWidth="1"/>
    <col min="2" max="7" width="5.21875" style="82" customWidth="1"/>
    <col min="8" max="8" width="12.6640625" style="75" bestFit="1" customWidth="1"/>
    <col min="9" max="9" width="11.5546875" style="82"/>
    <col min="10" max="10" width="8" style="82" customWidth="1"/>
    <col min="11" max="11" width="11.5546875" style="82"/>
    <col min="14" max="14" width="4.109375" style="153" bestFit="1" customWidth="1"/>
    <col min="15" max="15" width="29.88671875" style="153" customWidth="1"/>
    <col min="16" max="17" width="11.5546875" style="153"/>
    <col min="18" max="26" width="2.109375" style="123" bestFit="1" customWidth="1"/>
    <col min="27" max="49" width="3.109375" style="123" bestFit="1" customWidth="1"/>
    <col min="50" max="53" width="3.109375" bestFit="1" customWidth="1"/>
    <col min="57" max="57" width="40.6640625" bestFit="1" customWidth="1"/>
    <col min="60" max="71" width="3" style="123" bestFit="1" customWidth="1"/>
    <col min="72" max="85" width="3" bestFit="1" customWidth="1"/>
    <col min="88" max="88" width="4.109375" bestFit="1" customWidth="1"/>
    <col min="89" max="89" width="54.88671875" bestFit="1" customWidth="1"/>
    <col min="92" max="100" width="2" bestFit="1" customWidth="1"/>
    <col min="101" max="117" width="3" bestFit="1" customWidth="1"/>
  </cols>
  <sheetData>
    <row r="1" spans="1:117" x14ac:dyDescent="0.3">
      <c r="A1" s="2" t="s">
        <v>94</v>
      </c>
      <c r="B1" s="278" t="s">
        <v>96</v>
      </c>
      <c r="C1" s="278"/>
      <c r="D1" s="278"/>
      <c r="E1" s="278"/>
      <c r="F1" s="278"/>
      <c r="G1" s="278"/>
      <c r="H1" s="278"/>
      <c r="J1" s="280" t="s">
        <v>119</v>
      </c>
      <c r="K1" s="280"/>
      <c r="N1" s="280" t="s">
        <v>440</v>
      </c>
      <c r="O1" s="280"/>
      <c r="P1" s="280"/>
      <c r="Q1" s="280"/>
      <c r="R1" s="280"/>
      <c r="S1" s="280"/>
      <c r="T1" s="280"/>
      <c r="U1" s="280"/>
      <c r="V1" s="280"/>
      <c r="W1" s="280"/>
      <c r="X1" s="280"/>
      <c r="Y1" s="280"/>
      <c r="Z1" s="280"/>
      <c r="AA1" s="280"/>
      <c r="AB1" s="280"/>
      <c r="AC1" s="280"/>
      <c r="AD1" s="280"/>
      <c r="AE1" s="280"/>
      <c r="AF1" s="280"/>
      <c r="AG1" s="280"/>
      <c r="AH1" s="280"/>
      <c r="AI1" s="280"/>
      <c r="AJ1" s="280"/>
      <c r="AK1" s="280"/>
      <c r="AL1" s="280"/>
      <c r="AM1" s="280"/>
      <c r="AN1" s="280"/>
      <c r="AO1" s="280"/>
      <c r="AP1" s="280"/>
      <c r="AQ1" s="280"/>
      <c r="AR1" s="280"/>
      <c r="AS1" s="280"/>
      <c r="AT1" s="280"/>
      <c r="AU1" s="280"/>
      <c r="AV1" s="280"/>
      <c r="AW1" s="280"/>
      <c r="AX1" s="280"/>
      <c r="AY1" s="280"/>
      <c r="AZ1" s="280"/>
      <c r="BA1" s="280"/>
      <c r="BB1" s="280"/>
      <c r="BD1" s="280" t="s">
        <v>498</v>
      </c>
      <c r="BE1" s="280"/>
      <c r="BF1" s="280"/>
      <c r="BG1" s="280"/>
      <c r="BH1" s="280"/>
      <c r="BI1" s="280"/>
      <c r="BJ1" s="280"/>
      <c r="BK1" s="280"/>
      <c r="BL1" s="280"/>
      <c r="BM1" s="280"/>
      <c r="BN1" s="280"/>
      <c r="BO1" s="280"/>
      <c r="BP1" s="280"/>
      <c r="BQ1" s="280"/>
      <c r="BR1" s="280"/>
      <c r="BS1" s="280"/>
      <c r="BT1" s="280"/>
      <c r="BU1" s="280"/>
      <c r="BV1" s="280"/>
      <c r="BW1" s="280"/>
      <c r="BX1" s="280"/>
      <c r="BY1" s="280"/>
      <c r="BZ1" s="280"/>
      <c r="CA1" s="280"/>
      <c r="CB1" s="280"/>
      <c r="CC1" s="280"/>
      <c r="CD1" s="280"/>
      <c r="CE1" s="280"/>
      <c r="CF1" s="280"/>
      <c r="CG1" s="280"/>
      <c r="CJ1" s="280" t="s">
        <v>522</v>
      </c>
      <c r="CK1" s="280"/>
      <c r="CL1" s="280"/>
      <c r="CM1" s="280"/>
      <c r="CN1" s="280"/>
      <c r="CO1" s="280"/>
      <c r="CP1" s="280"/>
      <c r="CQ1" s="280"/>
      <c r="CR1" s="280"/>
      <c r="CS1" s="280"/>
      <c r="CT1" s="280"/>
      <c r="CU1" s="280"/>
      <c r="CV1" s="280"/>
      <c r="CW1" s="280"/>
      <c r="CX1" s="280"/>
      <c r="CY1" s="280"/>
      <c r="CZ1" s="280"/>
      <c r="DA1" s="280"/>
      <c r="DB1" s="280"/>
      <c r="DC1" s="280"/>
      <c r="DD1" s="280"/>
      <c r="DE1" s="280"/>
      <c r="DF1" s="280"/>
      <c r="DG1" s="280"/>
      <c r="DH1" s="280"/>
      <c r="DI1" s="280"/>
      <c r="DJ1" s="280"/>
      <c r="DK1" s="280"/>
      <c r="DL1" s="280"/>
      <c r="DM1" s="280"/>
    </row>
    <row r="2" spans="1:117" x14ac:dyDescent="0.3">
      <c r="A2" s="2" t="s">
        <v>89</v>
      </c>
      <c r="B2" s="278" t="s">
        <v>90</v>
      </c>
      <c r="C2" s="278"/>
      <c r="D2" s="278"/>
      <c r="E2" s="278"/>
      <c r="F2" s="278"/>
      <c r="G2" s="278"/>
      <c r="H2" s="278"/>
      <c r="J2" s="48" t="s">
        <v>120</v>
      </c>
      <c r="K2" s="48" t="s">
        <v>121</v>
      </c>
      <c r="N2" s="281" t="s">
        <v>48</v>
      </c>
      <c r="O2" s="281" t="s">
        <v>441</v>
      </c>
      <c r="P2" s="282" t="s">
        <v>442</v>
      </c>
      <c r="Q2" s="282"/>
      <c r="R2" s="280">
        <v>1</v>
      </c>
      <c r="S2" s="280">
        <v>2</v>
      </c>
      <c r="T2" s="280">
        <v>3</v>
      </c>
      <c r="U2" s="280">
        <v>4</v>
      </c>
      <c r="V2" s="280">
        <v>5</v>
      </c>
      <c r="W2" s="280">
        <v>6</v>
      </c>
      <c r="X2" s="280">
        <v>7</v>
      </c>
      <c r="Y2" s="280">
        <v>8</v>
      </c>
      <c r="Z2" s="280">
        <v>9</v>
      </c>
      <c r="AA2" s="280">
        <v>10</v>
      </c>
      <c r="AB2" s="280">
        <v>11</v>
      </c>
      <c r="AC2" s="280">
        <v>12</v>
      </c>
      <c r="AD2" s="280">
        <v>13</v>
      </c>
      <c r="AE2" s="280">
        <v>14</v>
      </c>
      <c r="AF2" s="280">
        <v>15</v>
      </c>
      <c r="AG2" s="280">
        <v>16</v>
      </c>
      <c r="AH2" s="280">
        <v>17</v>
      </c>
      <c r="AI2" s="280">
        <v>18</v>
      </c>
      <c r="AJ2" s="280">
        <v>19</v>
      </c>
      <c r="AK2" s="280">
        <v>20</v>
      </c>
      <c r="AL2" s="280">
        <v>21</v>
      </c>
      <c r="AM2" s="280">
        <v>22</v>
      </c>
      <c r="AN2" s="280">
        <v>23</v>
      </c>
      <c r="AO2" s="280">
        <v>24</v>
      </c>
      <c r="AP2" s="280">
        <v>25</v>
      </c>
      <c r="AQ2" s="280">
        <v>26</v>
      </c>
      <c r="AR2" s="280">
        <v>27</v>
      </c>
      <c r="AS2" s="280">
        <v>28</v>
      </c>
      <c r="AT2" s="280">
        <v>29</v>
      </c>
      <c r="AU2" s="280">
        <v>30</v>
      </c>
      <c r="AV2" s="280">
        <v>31</v>
      </c>
      <c r="AW2" s="280">
        <v>32</v>
      </c>
      <c r="AX2" s="280">
        <v>33</v>
      </c>
      <c r="AY2" s="280">
        <v>34</v>
      </c>
      <c r="AZ2" s="280">
        <v>35</v>
      </c>
      <c r="BA2" s="280">
        <v>36</v>
      </c>
      <c r="BB2" s="280">
        <v>37</v>
      </c>
      <c r="BD2" s="283" t="s">
        <v>48</v>
      </c>
      <c r="BE2" s="283" t="s">
        <v>499</v>
      </c>
      <c r="BF2" s="280" t="s">
        <v>515</v>
      </c>
      <c r="BG2" s="280"/>
      <c r="BH2" s="284">
        <v>1</v>
      </c>
      <c r="BI2" s="284">
        <v>2</v>
      </c>
      <c r="BJ2" s="284">
        <v>3</v>
      </c>
      <c r="BK2" s="284">
        <v>4</v>
      </c>
      <c r="BL2" s="284">
        <v>5</v>
      </c>
      <c r="BM2" s="284">
        <v>6</v>
      </c>
      <c r="BN2" s="284">
        <v>7</v>
      </c>
      <c r="BO2" s="284">
        <v>8</v>
      </c>
      <c r="BP2" s="284">
        <v>9</v>
      </c>
      <c r="BQ2" s="284">
        <v>10</v>
      </c>
      <c r="BR2" s="284">
        <v>11</v>
      </c>
      <c r="BS2" s="284">
        <v>12</v>
      </c>
      <c r="BT2" s="284">
        <v>13</v>
      </c>
      <c r="BU2" s="284">
        <v>14</v>
      </c>
      <c r="BV2" s="284">
        <v>15</v>
      </c>
      <c r="BW2" s="284">
        <v>16</v>
      </c>
      <c r="BX2" s="284">
        <v>17</v>
      </c>
      <c r="BY2" s="284">
        <v>18</v>
      </c>
      <c r="BZ2" s="284">
        <v>19</v>
      </c>
      <c r="CA2" s="284">
        <v>20</v>
      </c>
      <c r="CB2" s="284">
        <v>21</v>
      </c>
      <c r="CC2" s="284">
        <v>22</v>
      </c>
      <c r="CD2" s="284">
        <v>23</v>
      </c>
      <c r="CE2" s="283">
        <v>24</v>
      </c>
      <c r="CF2" s="283">
        <v>25</v>
      </c>
      <c r="CG2" s="283">
        <v>26</v>
      </c>
      <c r="CJ2" s="283" t="s">
        <v>48</v>
      </c>
      <c r="CK2" s="283" t="s">
        <v>499</v>
      </c>
      <c r="CL2" s="280" t="s">
        <v>515</v>
      </c>
      <c r="CM2" s="280"/>
      <c r="CN2" s="284">
        <v>1</v>
      </c>
      <c r="CO2" s="284">
        <v>2</v>
      </c>
      <c r="CP2" s="284">
        <v>3</v>
      </c>
      <c r="CQ2" s="284">
        <v>4</v>
      </c>
      <c r="CR2" s="284">
        <v>5</v>
      </c>
      <c r="CS2" s="284">
        <v>6</v>
      </c>
      <c r="CT2" s="284">
        <v>7</v>
      </c>
      <c r="CU2" s="284">
        <v>8</v>
      </c>
      <c r="CV2" s="284">
        <v>9</v>
      </c>
      <c r="CW2" s="284">
        <v>10</v>
      </c>
      <c r="CX2" s="284">
        <v>11</v>
      </c>
      <c r="CY2" s="284">
        <v>12</v>
      </c>
      <c r="CZ2" s="284">
        <v>13</v>
      </c>
      <c r="DA2" s="284">
        <v>14</v>
      </c>
      <c r="DB2" s="284">
        <v>15</v>
      </c>
      <c r="DC2" s="284">
        <v>16</v>
      </c>
      <c r="DD2" s="284">
        <v>17</v>
      </c>
      <c r="DE2" s="284">
        <v>18</v>
      </c>
      <c r="DF2" s="284">
        <v>19</v>
      </c>
      <c r="DG2" s="284">
        <v>20</v>
      </c>
      <c r="DH2" s="284">
        <v>21</v>
      </c>
      <c r="DI2" s="284">
        <v>22</v>
      </c>
      <c r="DJ2" s="284">
        <v>23</v>
      </c>
      <c r="DK2" s="283">
        <v>24</v>
      </c>
      <c r="DL2" s="283">
        <v>25</v>
      </c>
      <c r="DM2" s="283">
        <v>26</v>
      </c>
    </row>
    <row r="3" spans="1:117" x14ac:dyDescent="0.3">
      <c r="A3" s="2" t="s">
        <v>100</v>
      </c>
      <c r="B3" s="278" t="s">
        <v>101</v>
      </c>
      <c r="C3" s="278"/>
      <c r="D3" s="278"/>
      <c r="E3" s="278"/>
      <c r="F3" s="278"/>
      <c r="G3" s="278"/>
      <c r="H3" s="278"/>
      <c r="J3" s="85"/>
      <c r="K3" s="85" t="s">
        <v>122</v>
      </c>
      <c r="N3" s="281"/>
      <c r="O3" s="281"/>
      <c r="P3" s="154" t="s">
        <v>443</v>
      </c>
      <c r="Q3" s="154" t="s">
        <v>444</v>
      </c>
      <c r="R3" s="280"/>
      <c r="S3" s="280"/>
      <c r="T3" s="280"/>
      <c r="U3" s="280"/>
      <c r="V3" s="280"/>
      <c r="W3" s="280"/>
      <c r="X3" s="280"/>
      <c r="Y3" s="280"/>
      <c r="Z3" s="280"/>
      <c r="AA3" s="280"/>
      <c r="AB3" s="280"/>
      <c r="AC3" s="280"/>
      <c r="AD3" s="280"/>
      <c r="AE3" s="280"/>
      <c r="AF3" s="280"/>
      <c r="AG3" s="280"/>
      <c r="AH3" s="280"/>
      <c r="AI3" s="280"/>
      <c r="AJ3" s="280"/>
      <c r="AK3" s="280"/>
      <c r="AL3" s="280"/>
      <c r="AM3" s="280"/>
      <c r="AN3" s="280"/>
      <c r="AO3" s="280"/>
      <c r="AP3" s="280"/>
      <c r="AQ3" s="280"/>
      <c r="AR3" s="280"/>
      <c r="AS3" s="280"/>
      <c r="AT3" s="280"/>
      <c r="AU3" s="280"/>
      <c r="AV3" s="280"/>
      <c r="AW3" s="280"/>
      <c r="AX3" s="280"/>
      <c r="AY3" s="280"/>
      <c r="AZ3" s="280"/>
      <c r="BA3" s="280"/>
      <c r="BB3" s="280"/>
      <c r="BD3" s="283"/>
      <c r="BE3" s="283"/>
      <c r="BF3" s="154" t="s">
        <v>443</v>
      </c>
      <c r="BG3" s="154" t="s">
        <v>444</v>
      </c>
      <c r="BH3" s="285"/>
      <c r="BI3" s="285"/>
      <c r="BJ3" s="285"/>
      <c r="BK3" s="285"/>
      <c r="BL3" s="285"/>
      <c r="BM3" s="285"/>
      <c r="BN3" s="285"/>
      <c r="BO3" s="285"/>
      <c r="BP3" s="285"/>
      <c r="BQ3" s="285"/>
      <c r="BR3" s="285"/>
      <c r="BS3" s="285"/>
      <c r="BT3" s="285"/>
      <c r="BU3" s="285"/>
      <c r="BV3" s="285"/>
      <c r="BW3" s="285"/>
      <c r="BX3" s="285"/>
      <c r="BY3" s="285"/>
      <c r="BZ3" s="285"/>
      <c r="CA3" s="285"/>
      <c r="CB3" s="285"/>
      <c r="CC3" s="285"/>
      <c r="CD3" s="285"/>
      <c r="CE3" s="283"/>
      <c r="CF3" s="283"/>
      <c r="CG3" s="283"/>
      <c r="CJ3" s="283"/>
      <c r="CK3" s="283"/>
      <c r="CL3" s="154" t="s">
        <v>443</v>
      </c>
      <c r="CM3" s="154" t="s">
        <v>444</v>
      </c>
      <c r="CN3" s="285"/>
      <c r="CO3" s="285"/>
      <c r="CP3" s="285"/>
      <c r="CQ3" s="285"/>
      <c r="CR3" s="285"/>
      <c r="CS3" s="285"/>
      <c r="CT3" s="285"/>
      <c r="CU3" s="285"/>
      <c r="CV3" s="285"/>
      <c r="CW3" s="285"/>
      <c r="CX3" s="285"/>
      <c r="CY3" s="285"/>
      <c r="CZ3" s="285"/>
      <c r="DA3" s="285"/>
      <c r="DB3" s="285"/>
      <c r="DC3" s="285"/>
      <c r="DD3" s="285"/>
      <c r="DE3" s="285"/>
      <c r="DF3" s="285"/>
      <c r="DG3" s="285"/>
      <c r="DH3" s="285"/>
      <c r="DI3" s="285"/>
      <c r="DJ3" s="285"/>
      <c r="DK3" s="283"/>
      <c r="DL3" s="283"/>
      <c r="DM3" s="283"/>
    </row>
    <row r="4" spans="1:117" x14ac:dyDescent="0.3">
      <c r="A4" s="2" t="s">
        <v>91</v>
      </c>
      <c r="B4" s="278" t="s">
        <v>114</v>
      </c>
      <c r="C4" s="278"/>
      <c r="D4" s="278"/>
      <c r="E4" s="278"/>
      <c r="F4" s="278"/>
      <c r="G4" s="278"/>
      <c r="H4" s="278"/>
      <c r="J4" s="85"/>
      <c r="K4" s="85" t="s">
        <v>91</v>
      </c>
      <c r="N4" s="154">
        <v>1</v>
      </c>
      <c r="O4" s="154" t="s">
        <v>445</v>
      </c>
      <c r="P4" s="154">
        <v>1</v>
      </c>
      <c r="Q4" s="155" t="s">
        <v>452</v>
      </c>
      <c r="R4" s="136"/>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D4" s="154">
        <v>1</v>
      </c>
      <c r="BE4" s="154" t="s">
        <v>501</v>
      </c>
      <c r="BF4" s="154">
        <v>1</v>
      </c>
      <c r="BG4" s="155" t="s">
        <v>516</v>
      </c>
      <c r="BH4" s="136"/>
      <c r="BI4" s="2"/>
      <c r="BJ4" s="2"/>
      <c r="BK4" s="2"/>
      <c r="BL4" s="2"/>
      <c r="BM4" s="2"/>
      <c r="BN4" s="2"/>
      <c r="BO4" s="2"/>
      <c r="BP4" s="2"/>
      <c r="BQ4" s="2"/>
      <c r="BR4" s="2"/>
      <c r="BS4" s="2"/>
      <c r="BT4" s="137"/>
      <c r="BU4" s="137"/>
      <c r="BV4" s="137"/>
      <c r="BW4" s="137"/>
      <c r="BX4" s="137"/>
      <c r="BY4" s="137"/>
      <c r="BZ4" s="137"/>
      <c r="CA4" s="137"/>
      <c r="CB4" s="137"/>
      <c r="CC4" s="137"/>
      <c r="CD4" s="137"/>
      <c r="CE4" s="137"/>
      <c r="CF4" s="137"/>
      <c r="CG4" s="137"/>
      <c r="CJ4" s="154">
        <v>1</v>
      </c>
      <c r="CK4" s="154" t="s">
        <v>501</v>
      </c>
      <c r="CL4" s="154">
        <v>1</v>
      </c>
      <c r="CM4" s="155" t="s">
        <v>516</v>
      </c>
      <c r="CN4" s="136"/>
      <c r="CO4" s="2"/>
      <c r="CP4" s="2"/>
      <c r="CQ4" s="2"/>
      <c r="CR4" s="2"/>
      <c r="CS4" s="2"/>
      <c r="CT4" s="2"/>
      <c r="CU4" s="2"/>
      <c r="CV4" s="2"/>
      <c r="CW4" s="2"/>
      <c r="CX4" s="2"/>
      <c r="CY4" s="2"/>
      <c r="CZ4" s="137"/>
      <c r="DA4" s="137"/>
      <c r="DB4" s="137"/>
      <c r="DC4" s="137"/>
      <c r="DD4" s="137"/>
      <c r="DE4" s="137"/>
      <c r="DF4" s="137"/>
      <c r="DG4" s="137"/>
      <c r="DH4" s="137"/>
      <c r="DI4" s="137"/>
      <c r="DJ4" s="137"/>
      <c r="DK4" s="137"/>
      <c r="DL4" s="137"/>
      <c r="DM4" s="137"/>
    </row>
    <row r="5" spans="1:117" x14ac:dyDescent="0.3">
      <c r="A5" s="2" t="s">
        <v>92</v>
      </c>
      <c r="B5" s="278" t="s">
        <v>51</v>
      </c>
      <c r="C5" s="278"/>
      <c r="D5" s="278"/>
      <c r="E5" s="278"/>
      <c r="F5" s="278"/>
      <c r="G5" s="278"/>
      <c r="H5" s="278"/>
      <c r="J5" s="83"/>
      <c r="K5" s="85" t="s">
        <v>125</v>
      </c>
      <c r="N5" s="154">
        <v>2</v>
      </c>
      <c r="O5" s="154" t="s">
        <v>446</v>
      </c>
      <c r="P5" s="154">
        <v>1</v>
      </c>
      <c r="Q5" s="154" t="s">
        <v>453</v>
      </c>
      <c r="R5" s="2"/>
      <c r="S5" s="158"/>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D5" s="154">
        <v>2</v>
      </c>
      <c r="BE5" s="154" t="s">
        <v>502</v>
      </c>
      <c r="BF5" s="154">
        <v>1</v>
      </c>
      <c r="BG5" s="154" t="s">
        <v>453</v>
      </c>
      <c r="BH5" s="2"/>
      <c r="BI5" s="158"/>
      <c r="BJ5" s="2"/>
      <c r="BK5" s="2"/>
      <c r="BL5" s="2"/>
      <c r="BM5" s="2"/>
      <c r="BN5" s="2"/>
      <c r="BO5" s="2"/>
      <c r="BP5" s="2"/>
      <c r="BQ5" s="2"/>
      <c r="BR5" s="2"/>
      <c r="BS5" s="2"/>
      <c r="BT5" s="137"/>
      <c r="BU5" s="137"/>
      <c r="BV5" s="137"/>
      <c r="BW5" s="137"/>
      <c r="BX5" s="137"/>
      <c r="BY5" s="137"/>
      <c r="BZ5" s="137"/>
      <c r="CA5" s="137"/>
      <c r="CB5" s="137"/>
      <c r="CC5" s="137"/>
      <c r="CD5" s="137"/>
      <c r="CE5" s="137"/>
      <c r="CF5" s="137"/>
      <c r="CG5" s="137"/>
      <c r="CJ5" s="154">
        <v>2</v>
      </c>
      <c r="CK5" s="154" t="s">
        <v>502</v>
      </c>
      <c r="CL5" s="154">
        <v>1</v>
      </c>
      <c r="CM5" s="154" t="s">
        <v>453</v>
      </c>
      <c r="CN5" s="2"/>
      <c r="CO5" s="158"/>
      <c r="CP5" s="2"/>
      <c r="CQ5" s="2"/>
      <c r="CR5" s="2"/>
      <c r="CS5" s="2"/>
      <c r="CT5" s="2"/>
      <c r="CU5" s="2"/>
      <c r="CV5" s="2"/>
      <c r="CW5" s="2"/>
      <c r="CX5" s="2"/>
      <c r="CY5" s="2"/>
      <c r="CZ5" s="137"/>
      <c r="DA5" s="137"/>
      <c r="DB5" s="137"/>
      <c r="DC5" s="137"/>
      <c r="DD5" s="137"/>
      <c r="DE5" s="137"/>
      <c r="DF5" s="137"/>
      <c r="DG5" s="137"/>
      <c r="DH5" s="137"/>
      <c r="DI5" s="137"/>
      <c r="DJ5" s="137"/>
      <c r="DK5" s="137"/>
      <c r="DL5" s="137"/>
      <c r="DM5" s="137"/>
    </row>
    <row r="6" spans="1:117" x14ac:dyDescent="0.3">
      <c r="A6" s="2" t="s">
        <v>95</v>
      </c>
      <c r="B6" s="278" t="s">
        <v>98</v>
      </c>
      <c r="C6" s="278"/>
      <c r="D6" s="278"/>
      <c r="E6" s="278"/>
      <c r="F6" s="278"/>
      <c r="G6" s="278"/>
      <c r="H6" s="278"/>
      <c r="J6" s="83"/>
      <c r="K6" s="85" t="s">
        <v>124</v>
      </c>
      <c r="N6" s="154">
        <v>3</v>
      </c>
      <c r="O6" s="154" t="s">
        <v>447</v>
      </c>
      <c r="P6" s="154">
        <v>1</v>
      </c>
      <c r="Q6" s="154" t="s">
        <v>454</v>
      </c>
      <c r="R6" s="2"/>
      <c r="S6" s="2"/>
      <c r="T6" s="136"/>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D6" s="154">
        <v>3</v>
      </c>
      <c r="BE6" s="154" t="s">
        <v>503</v>
      </c>
      <c r="BF6" s="154">
        <v>1</v>
      </c>
      <c r="BG6" s="154" t="s">
        <v>454</v>
      </c>
      <c r="BH6" s="2"/>
      <c r="BI6" s="2"/>
      <c r="BJ6" s="136"/>
      <c r="BK6" s="2"/>
      <c r="BL6" s="2"/>
      <c r="BM6" s="2"/>
      <c r="BN6" s="2"/>
      <c r="BO6" s="2"/>
      <c r="BP6" s="2"/>
      <c r="BQ6" s="2"/>
      <c r="BR6" s="2"/>
      <c r="BS6" s="2"/>
      <c r="BT6" s="137"/>
      <c r="BU6" s="137"/>
      <c r="BV6" s="137"/>
      <c r="BW6" s="137"/>
      <c r="BX6" s="137"/>
      <c r="BY6" s="137"/>
      <c r="BZ6" s="137"/>
      <c r="CA6" s="137"/>
      <c r="CB6" s="137"/>
      <c r="CC6" s="137"/>
      <c r="CD6" s="137"/>
      <c r="CE6" s="137"/>
      <c r="CF6" s="137"/>
      <c r="CG6" s="137"/>
      <c r="CJ6" s="154">
        <v>3</v>
      </c>
      <c r="CK6" s="154" t="s">
        <v>503</v>
      </c>
      <c r="CL6" s="154">
        <v>1</v>
      </c>
      <c r="CM6" s="154" t="s">
        <v>454</v>
      </c>
      <c r="CN6" s="2"/>
      <c r="CO6" s="2"/>
      <c r="CP6" s="136"/>
      <c r="CQ6" s="2"/>
      <c r="CR6" s="2"/>
      <c r="CS6" s="2"/>
      <c r="CT6" s="2"/>
      <c r="CU6" s="2"/>
      <c r="CV6" s="2"/>
      <c r="CW6" s="2"/>
      <c r="CX6" s="2"/>
      <c r="CY6" s="2"/>
      <c r="CZ6" s="137"/>
      <c r="DA6" s="137"/>
      <c r="DB6" s="137"/>
      <c r="DC6" s="137"/>
      <c r="DD6" s="137"/>
      <c r="DE6" s="137"/>
      <c r="DF6" s="137"/>
      <c r="DG6" s="137"/>
      <c r="DH6" s="137"/>
      <c r="DI6" s="137"/>
      <c r="DJ6" s="137"/>
      <c r="DK6" s="137"/>
      <c r="DL6" s="137"/>
      <c r="DM6" s="137"/>
    </row>
    <row r="7" spans="1:117" x14ac:dyDescent="0.3">
      <c r="A7" s="2" t="s">
        <v>93</v>
      </c>
      <c r="B7" s="278" t="s">
        <v>99</v>
      </c>
      <c r="C7" s="278"/>
      <c r="D7" s="278"/>
      <c r="E7" s="278"/>
      <c r="F7" s="278"/>
      <c r="G7" s="278"/>
      <c r="H7" s="278"/>
      <c r="J7" s="85"/>
      <c r="K7" s="85" t="s">
        <v>126</v>
      </c>
      <c r="N7" s="154">
        <v>4</v>
      </c>
      <c r="O7" s="154" t="s">
        <v>448</v>
      </c>
      <c r="P7" s="154">
        <v>1</v>
      </c>
      <c r="Q7" s="154" t="s">
        <v>455</v>
      </c>
      <c r="R7" s="2"/>
      <c r="S7" s="2"/>
      <c r="T7" s="2"/>
      <c r="U7" s="158"/>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D7" s="154">
        <v>4</v>
      </c>
      <c r="BE7" s="154" t="s">
        <v>504</v>
      </c>
      <c r="BF7" s="154">
        <v>3</v>
      </c>
      <c r="BG7" s="154" t="s">
        <v>455</v>
      </c>
      <c r="BH7" s="2"/>
      <c r="BI7" s="2"/>
      <c r="BJ7" s="2"/>
      <c r="BK7" s="158"/>
      <c r="BL7" s="158"/>
      <c r="BM7" s="158"/>
      <c r="BN7" s="2"/>
      <c r="BO7" s="2"/>
      <c r="BP7" s="2"/>
      <c r="BQ7" s="2"/>
      <c r="BR7" s="2"/>
      <c r="BS7" s="2"/>
      <c r="BT7" s="137"/>
      <c r="BU7" s="137"/>
      <c r="BV7" s="137"/>
      <c r="BW7" s="137"/>
      <c r="BX7" s="137"/>
      <c r="BY7" s="137"/>
      <c r="BZ7" s="137"/>
      <c r="CA7" s="137"/>
      <c r="CB7" s="137"/>
      <c r="CC7" s="137"/>
      <c r="CD7" s="137"/>
      <c r="CE7" s="137"/>
      <c r="CF7" s="137"/>
      <c r="CG7" s="137"/>
      <c r="CJ7" s="154">
        <v>4</v>
      </c>
      <c r="CK7" s="154" t="s">
        <v>504</v>
      </c>
      <c r="CL7" s="154">
        <v>3</v>
      </c>
      <c r="CM7" s="154" t="s">
        <v>455</v>
      </c>
      <c r="CN7" s="2"/>
      <c r="CO7" s="2"/>
      <c r="CP7" s="2"/>
      <c r="CQ7" s="158"/>
      <c r="CR7" s="158"/>
      <c r="CS7" s="158"/>
      <c r="CT7" s="2"/>
      <c r="CU7" s="2"/>
      <c r="CV7" s="2"/>
      <c r="CW7" s="2"/>
      <c r="CX7" s="2"/>
      <c r="CY7" s="2"/>
      <c r="CZ7" s="137"/>
      <c r="DA7" s="137"/>
      <c r="DB7" s="137"/>
      <c r="DC7" s="137"/>
      <c r="DD7" s="137"/>
      <c r="DE7" s="137"/>
      <c r="DF7" s="137"/>
      <c r="DG7" s="137"/>
      <c r="DH7" s="137"/>
      <c r="DI7" s="137"/>
      <c r="DJ7" s="137"/>
      <c r="DK7" s="137"/>
      <c r="DL7" s="137"/>
      <c r="DM7" s="137"/>
    </row>
    <row r="8" spans="1:117" s="81" customFormat="1" x14ac:dyDescent="0.25">
      <c r="A8" s="83" t="s">
        <v>97</v>
      </c>
      <c r="B8" s="83"/>
      <c r="C8" s="83"/>
      <c r="D8" s="83"/>
      <c r="E8" s="83"/>
      <c r="F8" s="83"/>
      <c r="G8" s="83"/>
      <c r="H8" s="83" t="s">
        <v>102</v>
      </c>
      <c r="I8" s="84"/>
      <c r="J8" s="83"/>
      <c r="K8" s="87" t="s">
        <v>127</v>
      </c>
      <c r="N8" s="156">
        <v>4</v>
      </c>
      <c r="O8" s="156" t="s">
        <v>449</v>
      </c>
      <c r="P8" s="156">
        <v>1</v>
      </c>
      <c r="Q8" s="156" t="s">
        <v>456</v>
      </c>
      <c r="R8" s="128"/>
      <c r="S8" s="128"/>
      <c r="T8" s="128"/>
      <c r="U8" s="128"/>
      <c r="V8" s="135"/>
      <c r="W8" s="128"/>
      <c r="X8" s="128"/>
      <c r="Y8" s="128"/>
      <c r="Z8" s="128"/>
      <c r="AA8" s="128"/>
      <c r="AB8" s="128"/>
      <c r="AC8" s="128"/>
      <c r="AD8" s="128"/>
      <c r="AE8" s="128"/>
      <c r="AF8" s="128"/>
      <c r="AG8" s="128"/>
      <c r="AH8" s="128"/>
      <c r="AI8" s="128"/>
      <c r="AJ8" s="128"/>
      <c r="AK8" s="128"/>
      <c r="AL8" s="128"/>
      <c r="AM8" s="128"/>
      <c r="AN8" s="128"/>
      <c r="AO8" s="128"/>
      <c r="AP8" s="128"/>
      <c r="AQ8" s="128"/>
      <c r="AR8" s="128"/>
      <c r="AS8" s="128"/>
      <c r="AT8" s="128"/>
      <c r="AU8" s="128"/>
      <c r="AV8" s="128"/>
      <c r="AW8" s="128"/>
      <c r="AX8" s="128"/>
      <c r="AY8" s="128"/>
      <c r="AZ8" s="128"/>
      <c r="BA8" s="128"/>
      <c r="BB8" s="128"/>
      <c r="BD8" s="154">
        <v>5</v>
      </c>
      <c r="BE8" s="154" t="s">
        <v>505</v>
      </c>
      <c r="BF8" s="154">
        <v>2</v>
      </c>
      <c r="BG8" s="154" t="s">
        <v>456</v>
      </c>
      <c r="BH8" s="128"/>
      <c r="BI8" s="128"/>
      <c r="BJ8" s="128"/>
      <c r="BK8" s="128"/>
      <c r="BL8" s="128"/>
      <c r="BM8" s="128"/>
      <c r="BN8" s="136"/>
      <c r="BO8" s="136"/>
      <c r="BP8" s="128"/>
      <c r="BQ8" s="128"/>
      <c r="BR8" s="128"/>
      <c r="BS8" s="128"/>
      <c r="BT8" s="157"/>
      <c r="BU8" s="157"/>
      <c r="BV8" s="157"/>
      <c r="BW8" s="157"/>
      <c r="BX8" s="157"/>
      <c r="BY8" s="157"/>
      <c r="BZ8" s="157"/>
      <c r="CA8" s="157"/>
      <c r="CB8" s="157"/>
      <c r="CC8" s="157"/>
      <c r="CD8" s="157"/>
      <c r="CE8" s="157"/>
      <c r="CF8" s="157"/>
      <c r="CG8" s="157"/>
      <c r="CJ8" s="154">
        <v>5</v>
      </c>
      <c r="CK8" s="154" t="s">
        <v>505</v>
      </c>
      <c r="CL8" s="154">
        <v>2</v>
      </c>
      <c r="CM8" s="154" t="s">
        <v>456</v>
      </c>
      <c r="CN8" s="128"/>
      <c r="CO8" s="128"/>
      <c r="CP8" s="128"/>
      <c r="CQ8" s="128"/>
      <c r="CR8" s="128"/>
      <c r="CS8" s="128"/>
      <c r="CT8" s="136"/>
      <c r="CU8" s="136"/>
      <c r="CV8" s="128"/>
      <c r="CW8" s="128"/>
      <c r="CX8" s="128"/>
      <c r="CY8" s="128"/>
      <c r="CZ8" s="157"/>
      <c r="DA8" s="157"/>
      <c r="DB8" s="157"/>
      <c r="DC8" s="157"/>
      <c r="DD8" s="157"/>
      <c r="DE8" s="157"/>
      <c r="DF8" s="157"/>
      <c r="DG8" s="157"/>
      <c r="DH8" s="157"/>
      <c r="DI8" s="157"/>
      <c r="DJ8" s="157"/>
      <c r="DK8" s="157"/>
      <c r="DL8" s="157"/>
      <c r="DM8" s="157"/>
    </row>
    <row r="9" spans="1:117" x14ac:dyDescent="0.3">
      <c r="A9" s="85" t="s">
        <v>103</v>
      </c>
      <c r="B9" s="85"/>
      <c r="C9" s="85"/>
      <c r="D9" s="85"/>
      <c r="E9" s="85"/>
      <c r="F9" s="85"/>
      <c r="G9" s="85"/>
      <c r="H9" s="86">
        <v>20</v>
      </c>
      <c r="N9" s="154">
        <v>5</v>
      </c>
      <c r="O9" s="154" t="s">
        <v>450</v>
      </c>
      <c r="P9" s="154">
        <v>30</v>
      </c>
      <c r="Q9" s="154" t="s">
        <v>457</v>
      </c>
      <c r="R9" s="2"/>
      <c r="S9" s="2"/>
      <c r="T9" s="2"/>
      <c r="U9" s="2"/>
      <c r="V9" s="159"/>
      <c r="W9" s="158"/>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28"/>
      <c r="AW9" s="128"/>
      <c r="AX9" s="128"/>
      <c r="AY9" s="128"/>
      <c r="AZ9" s="128"/>
      <c r="BA9" s="128"/>
      <c r="BB9" s="128"/>
      <c r="BD9" s="154">
        <v>6</v>
      </c>
      <c r="BE9" s="154" t="s">
        <v>506</v>
      </c>
      <c r="BF9" s="154">
        <v>2</v>
      </c>
      <c r="BG9" s="154" t="s">
        <v>457</v>
      </c>
      <c r="BH9" s="2"/>
      <c r="BI9" s="2"/>
      <c r="BJ9" s="2"/>
      <c r="BK9" s="2"/>
      <c r="BL9" s="2"/>
      <c r="BM9" s="2"/>
      <c r="BN9" s="2"/>
      <c r="BO9" s="2"/>
      <c r="BP9" s="158"/>
      <c r="BQ9" s="158"/>
      <c r="BR9" s="2"/>
      <c r="BS9" s="2"/>
      <c r="BT9" s="137"/>
      <c r="BU9" s="137"/>
      <c r="BV9" s="137"/>
      <c r="BW9" s="137"/>
      <c r="BX9" s="137"/>
      <c r="BY9" s="137"/>
      <c r="BZ9" s="137"/>
      <c r="CA9" s="137"/>
      <c r="CB9" s="137"/>
      <c r="CC9" s="137"/>
      <c r="CD9" s="137"/>
      <c r="CE9" s="137"/>
      <c r="CF9" s="137"/>
      <c r="CG9" s="137"/>
      <c r="CJ9" s="154">
        <v>6</v>
      </c>
      <c r="CK9" s="154" t="s">
        <v>506</v>
      </c>
      <c r="CL9" s="154">
        <v>2</v>
      </c>
      <c r="CM9" s="154" t="s">
        <v>457</v>
      </c>
      <c r="CN9" s="2"/>
      <c r="CO9" s="2"/>
      <c r="CP9" s="2"/>
      <c r="CQ9" s="2"/>
      <c r="CR9" s="2"/>
      <c r="CS9" s="2"/>
      <c r="CT9" s="2"/>
      <c r="CU9" s="2"/>
      <c r="CV9" s="158"/>
      <c r="CW9" s="158"/>
      <c r="CX9" s="2"/>
      <c r="CY9" s="2"/>
      <c r="CZ9" s="137"/>
      <c r="DA9" s="137"/>
      <c r="DB9" s="137"/>
      <c r="DC9" s="137"/>
      <c r="DD9" s="137"/>
      <c r="DE9" s="137"/>
      <c r="DF9" s="137"/>
      <c r="DG9" s="137"/>
      <c r="DH9" s="137"/>
      <c r="DI9" s="137"/>
      <c r="DJ9" s="137"/>
      <c r="DK9" s="137"/>
      <c r="DL9" s="137"/>
      <c r="DM9" s="137"/>
    </row>
    <row r="10" spans="1:117" x14ac:dyDescent="0.3">
      <c r="A10" s="85" t="s">
        <v>104</v>
      </c>
      <c r="B10" s="85"/>
      <c r="C10" s="85"/>
      <c r="D10" s="85"/>
      <c r="E10" s="85"/>
      <c r="F10" s="85"/>
      <c r="G10" s="85"/>
      <c r="H10" s="86">
        <v>120</v>
      </c>
      <c r="N10" s="154">
        <v>5</v>
      </c>
      <c r="O10" s="154" t="s">
        <v>459</v>
      </c>
      <c r="P10" s="154">
        <v>7</v>
      </c>
      <c r="Q10" s="154" t="s">
        <v>462</v>
      </c>
      <c r="R10" s="2"/>
      <c r="S10" s="2"/>
      <c r="T10" s="2"/>
      <c r="U10" s="2"/>
      <c r="V10" s="159"/>
      <c r="W10" s="136"/>
      <c r="X10" s="136"/>
      <c r="Y10" s="136"/>
      <c r="Z10" s="136"/>
      <c r="AA10" s="136"/>
      <c r="AB10" s="136"/>
      <c r="AC10" s="136"/>
      <c r="AD10" s="2"/>
      <c r="AE10" s="2"/>
      <c r="AF10" s="2"/>
      <c r="AG10" s="2"/>
      <c r="AH10" s="2"/>
      <c r="AI10" s="2"/>
      <c r="AJ10" s="2"/>
      <c r="AK10" s="2"/>
      <c r="AL10" s="2"/>
      <c r="AM10" s="2"/>
      <c r="AN10" s="2"/>
      <c r="AO10" s="2"/>
      <c r="AP10" s="2"/>
      <c r="AQ10" s="2"/>
      <c r="AR10" s="2"/>
      <c r="AS10" s="2"/>
      <c r="AT10" s="2"/>
      <c r="AU10" s="2"/>
      <c r="AV10" s="128"/>
      <c r="AW10" s="128"/>
      <c r="AX10" s="128"/>
      <c r="AY10" s="128"/>
      <c r="AZ10" s="128"/>
      <c r="BA10" s="128"/>
      <c r="BB10" s="128"/>
      <c r="BD10" s="154">
        <v>7</v>
      </c>
      <c r="BE10" s="154" t="s">
        <v>507</v>
      </c>
      <c r="BF10" s="154">
        <v>5</v>
      </c>
      <c r="BG10" s="154" t="s">
        <v>458</v>
      </c>
      <c r="BH10" s="2"/>
      <c r="BI10" s="2"/>
      <c r="BJ10" s="2"/>
      <c r="BK10" s="2"/>
      <c r="BL10" s="2"/>
      <c r="BM10" s="2"/>
      <c r="BN10" s="2"/>
      <c r="BO10" s="2"/>
      <c r="BP10" s="2"/>
      <c r="BQ10" s="2"/>
      <c r="BR10" s="136"/>
      <c r="BS10" s="136"/>
      <c r="BT10" s="136"/>
      <c r="BU10" s="136"/>
      <c r="BV10" s="136"/>
      <c r="BW10" s="137"/>
      <c r="BX10" s="137"/>
      <c r="BY10" s="137"/>
      <c r="BZ10" s="137"/>
      <c r="CA10" s="137"/>
      <c r="CB10" s="137"/>
      <c r="CC10" s="137"/>
      <c r="CD10" s="137"/>
      <c r="CE10" s="137"/>
      <c r="CF10" s="137"/>
      <c r="CG10" s="137"/>
      <c r="CJ10" s="154">
        <v>7</v>
      </c>
      <c r="CK10" s="154" t="s">
        <v>523</v>
      </c>
      <c r="CL10" s="154">
        <v>5</v>
      </c>
      <c r="CM10" s="154" t="s">
        <v>458</v>
      </c>
      <c r="CN10" s="2"/>
      <c r="CO10" s="2"/>
      <c r="CP10" s="2"/>
      <c r="CQ10" s="2"/>
      <c r="CR10" s="2"/>
      <c r="CS10" s="2"/>
      <c r="CT10" s="2"/>
      <c r="CU10" s="2"/>
      <c r="CV10" s="2"/>
      <c r="CW10" s="2"/>
      <c r="CX10" s="136"/>
      <c r="CY10" s="136"/>
      <c r="CZ10" s="136"/>
      <c r="DA10" s="136"/>
      <c r="DB10" s="136"/>
      <c r="DC10" s="137"/>
      <c r="DD10" s="137"/>
      <c r="DE10" s="137"/>
      <c r="DF10" s="137"/>
      <c r="DG10" s="137"/>
      <c r="DH10" s="137"/>
      <c r="DI10" s="137"/>
      <c r="DJ10" s="137"/>
      <c r="DK10" s="137"/>
      <c r="DL10" s="137"/>
      <c r="DM10" s="137"/>
    </row>
    <row r="11" spans="1:117" x14ac:dyDescent="0.3">
      <c r="A11" s="85" t="s">
        <v>105</v>
      </c>
      <c r="B11" s="85"/>
      <c r="C11" s="85"/>
      <c r="D11" s="85"/>
      <c r="E11" s="85"/>
      <c r="F11" s="85"/>
      <c r="G11" s="85"/>
      <c r="H11" s="86">
        <v>300</v>
      </c>
      <c r="N11" s="154">
        <v>6</v>
      </c>
      <c r="O11" s="154" t="s">
        <v>451</v>
      </c>
      <c r="P11" s="154">
        <v>1</v>
      </c>
      <c r="Q11" s="154" t="s">
        <v>458</v>
      </c>
      <c r="R11" s="2"/>
      <c r="S11" s="2"/>
      <c r="T11" s="2"/>
      <c r="U11" s="2"/>
      <c r="V11" s="159"/>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158"/>
      <c r="AW11" s="2"/>
      <c r="AX11" s="2"/>
      <c r="AY11" s="2"/>
      <c r="AZ11" s="2"/>
      <c r="BA11" s="2"/>
      <c r="BB11" s="2"/>
      <c r="BD11" s="154">
        <v>8</v>
      </c>
      <c r="BE11" s="154" t="s">
        <v>508</v>
      </c>
      <c r="BF11" s="154">
        <v>5</v>
      </c>
      <c r="BG11" s="154" t="s">
        <v>461</v>
      </c>
      <c r="BH11" s="2"/>
      <c r="BI11" s="2"/>
      <c r="BJ11" s="2"/>
      <c r="BK11" s="2"/>
      <c r="BL11" s="2"/>
      <c r="BM11" s="2"/>
      <c r="BN11" s="2"/>
      <c r="BO11" s="2"/>
      <c r="BP11" s="2"/>
      <c r="BQ11" s="2"/>
      <c r="BR11" s="2"/>
      <c r="BS11" s="2"/>
      <c r="BT11" s="137"/>
      <c r="BU11" s="137"/>
      <c r="BV11" s="137"/>
      <c r="BW11" s="158"/>
      <c r="BX11" s="158"/>
      <c r="BY11" s="158"/>
      <c r="BZ11" s="158"/>
      <c r="CA11" s="158"/>
      <c r="CB11" s="137"/>
      <c r="CC11" s="137"/>
      <c r="CD11" s="137"/>
      <c r="CE11" s="137"/>
      <c r="CF11" s="137"/>
      <c r="CG11" s="137"/>
      <c r="CJ11" s="154">
        <v>8</v>
      </c>
      <c r="CK11" s="154" t="s">
        <v>524</v>
      </c>
      <c r="CL11" s="154">
        <v>5</v>
      </c>
      <c r="CM11" s="154" t="s">
        <v>461</v>
      </c>
      <c r="CN11" s="2"/>
      <c r="CO11" s="2"/>
      <c r="CP11" s="2"/>
      <c r="CQ11" s="2"/>
      <c r="CR11" s="2"/>
      <c r="CS11" s="2"/>
      <c r="CT11" s="2"/>
      <c r="CU11" s="2"/>
      <c r="CV11" s="2"/>
      <c r="CW11" s="2"/>
      <c r="CX11" s="2"/>
      <c r="CY11" s="2"/>
      <c r="CZ11" s="137"/>
      <c r="DA11" s="137"/>
      <c r="DB11" s="137"/>
      <c r="DC11" s="158"/>
      <c r="DD11" s="158"/>
      <c r="DE11" s="158"/>
      <c r="DF11" s="158"/>
      <c r="DG11" s="158"/>
      <c r="DH11" s="137"/>
      <c r="DI11" s="137"/>
      <c r="DJ11" s="137"/>
      <c r="DK11" s="137"/>
      <c r="DL11" s="137"/>
      <c r="DM11" s="137"/>
    </row>
    <row r="12" spans="1:117" x14ac:dyDescent="0.3">
      <c r="A12" s="85" t="s">
        <v>106</v>
      </c>
      <c r="B12" s="85"/>
      <c r="C12" s="85"/>
      <c r="D12" s="85"/>
      <c r="E12" s="85"/>
      <c r="F12" s="85"/>
      <c r="G12" s="85"/>
      <c r="H12" s="86">
        <v>60</v>
      </c>
      <c r="N12" s="154">
        <v>7</v>
      </c>
      <c r="O12" s="154" t="s">
        <v>460</v>
      </c>
      <c r="P12" s="154">
        <v>7</v>
      </c>
      <c r="Q12" s="154" t="s">
        <v>463</v>
      </c>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136"/>
      <c r="AW12" s="136"/>
      <c r="AX12" s="136"/>
      <c r="AY12" s="136"/>
      <c r="AZ12" s="136"/>
      <c r="BA12" s="136"/>
      <c r="BB12" s="136"/>
      <c r="BD12" s="154">
        <v>9</v>
      </c>
      <c r="BE12" s="154" t="s">
        <v>509</v>
      </c>
      <c r="BF12" s="154">
        <v>1</v>
      </c>
      <c r="BG12" s="154" t="s">
        <v>500</v>
      </c>
      <c r="BH12" s="2"/>
      <c r="BI12" s="2"/>
      <c r="BJ12" s="2"/>
      <c r="BK12" s="2"/>
      <c r="BL12" s="2"/>
      <c r="BM12" s="2"/>
      <c r="BN12" s="2"/>
      <c r="BO12" s="2"/>
      <c r="BP12" s="2"/>
      <c r="BQ12" s="2"/>
      <c r="BR12" s="2"/>
      <c r="BS12" s="2"/>
      <c r="BT12" s="137"/>
      <c r="BU12" s="137"/>
      <c r="BV12" s="137"/>
      <c r="BW12" s="137"/>
      <c r="BX12" s="137"/>
      <c r="BY12" s="137"/>
      <c r="BZ12" s="137"/>
      <c r="CA12" s="137"/>
      <c r="CB12" s="136"/>
      <c r="CC12" s="137"/>
      <c r="CD12" s="137"/>
      <c r="CE12" s="137"/>
      <c r="CF12" s="137"/>
      <c r="CG12" s="137"/>
      <c r="CJ12" s="154">
        <v>9</v>
      </c>
      <c r="CK12" s="154" t="s">
        <v>509</v>
      </c>
      <c r="CL12" s="154">
        <v>1</v>
      </c>
      <c r="CM12" s="154" t="s">
        <v>500</v>
      </c>
      <c r="CN12" s="2"/>
      <c r="CO12" s="2"/>
      <c r="CP12" s="2"/>
      <c r="CQ12" s="2"/>
      <c r="CR12" s="2"/>
      <c r="CS12" s="2"/>
      <c r="CT12" s="2"/>
      <c r="CU12" s="2"/>
      <c r="CV12" s="2"/>
      <c r="CW12" s="2"/>
      <c r="CX12" s="2"/>
      <c r="CY12" s="2"/>
      <c r="CZ12" s="137"/>
      <c r="DA12" s="137"/>
      <c r="DB12" s="137"/>
      <c r="DC12" s="137"/>
      <c r="DD12" s="137"/>
      <c r="DE12" s="137"/>
      <c r="DF12" s="137"/>
      <c r="DG12" s="137"/>
      <c r="DH12" s="136"/>
      <c r="DI12" s="137"/>
      <c r="DJ12" s="137"/>
      <c r="DK12" s="137"/>
      <c r="DL12" s="137"/>
      <c r="DM12" s="137"/>
    </row>
    <row r="13" spans="1:117" x14ac:dyDescent="0.3">
      <c r="A13" s="85" t="s">
        <v>107</v>
      </c>
      <c r="B13" s="85"/>
      <c r="C13" s="85"/>
      <c r="D13" s="85"/>
      <c r="E13" s="85"/>
      <c r="F13" s="85"/>
      <c r="G13" s="85"/>
      <c r="H13" s="86">
        <v>30</v>
      </c>
      <c r="BD13" s="154">
        <v>10</v>
      </c>
      <c r="BE13" s="154" t="s">
        <v>510</v>
      </c>
      <c r="BF13" s="154">
        <v>2</v>
      </c>
      <c r="BG13" s="154" t="s">
        <v>517</v>
      </c>
      <c r="BH13" s="2"/>
      <c r="BI13" s="2"/>
      <c r="BJ13" s="2"/>
      <c r="BK13" s="2"/>
      <c r="BL13" s="2"/>
      <c r="BM13" s="2"/>
      <c r="BN13" s="2"/>
      <c r="BO13" s="2"/>
      <c r="BP13" s="2"/>
      <c r="BQ13" s="2"/>
      <c r="BR13" s="2"/>
      <c r="BS13" s="2"/>
      <c r="BT13" s="137"/>
      <c r="BU13" s="137"/>
      <c r="BV13" s="137"/>
      <c r="BW13" s="137"/>
      <c r="BX13" s="137"/>
      <c r="BY13" s="137"/>
      <c r="BZ13" s="137"/>
      <c r="CA13" s="137"/>
      <c r="CB13" s="137"/>
      <c r="CC13" s="158"/>
      <c r="CD13" s="158"/>
      <c r="CE13" s="137"/>
      <c r="CF13" s="137"/>
      <c r="CG13" s="137"/>
      <c r="CJ13" s="154">
        <v>10</v>
      </c>
      <c r="CK13" s="154" t="s">
        <v>510</v>
      </c>
      <c r="CL13" s="154">
        <v>2</v>
      </c>
      <c r="CM13" s="154" t="s">
        <v>517</v>
      </c>
      <c r="CN13" s="2"/>
      <c r="CO13" s="2"/>
      <c r="CP13" s="2"/>
      <c r="CQ13" s="2"/>
      <c r="CR13" s="2"/>
      <c r="CS13" s="2"/>
      <c r="CT13" s="2"/>
      <c r="CU13" s="2"/>
      <c r="CV13" s="2"/>
      <c r="CW13" s="2"/>
      <c r="CX13" s="2"/>
      <c r="CY13" s="2"/>
      <c r="CZ13" s="137"/>
      <c r="DA13" s="137"/>
      <c r="DB13" s="137"/>
      <c r="DC13" s="137"/>
      <c r="DD13" s="137"/>
      <c r="DE13" s="137"/>
      <c r="DF13" s="137"/>
      <c r="DG13" s="137"/>
      <c r="DH13" s="137"/>
      <c r="DI13" s="158"/>
      <c r="DJ13" s="158"/>
      <c r="DK13" s="137"/>
      <c r="DL13" s="137"/>
      <c r="DM13" s="137"/>
    </row>
    <row r="14" spans="1:117" x14ac:dyDescent="0.3">
      <c r="A14" s="85" t="s">
        <v>108</v>
      </c>
      <c r="B14" s="85"/>
      <c r="C14" s="85"/>
      <c r="D14" s="85"/>
      <c r="E14" s="85"/>
      <c r="F14" s="85"/>
      <c r="G14" s="85"/>
      <c r="H14" s="86">
        <v>60</v>
      </c>
      <c r="BD14" s="154">
        <v>11</v>
      </c>
      <c r="BE14" s="154" t="s">
        <v>511</v>
      </c>
      <c r="BF14" s="154">
        <v>1</v>
      </c>
      <c r="BG14" s="154" t="s">
        <v>518</v>
      </c>
      <c r="BH14" s="2"/>
      <c r="BI14" s="2"/>
      <c r="BJ14" s="2"/>
      <c r="BK14" s="2"/>
      <c r="BL14" s="2"/>
      <c r="BM14" s="2"/>
      <c r="BN14" s="2"/>
      <c r="BO14" s="2"/>
      <c r="BP14" s="2"/>
      <c r="BQ14" s="2"/>
      <c r="BR14" s="2"/>
      <c r="BS14" s="2"/>
      <c r="BT14" s="137"/>
      <c r="BU14" s="137"/>
      <c r="BV14" s="137"/>
      <c r="BW14" s="137"/>
      <c r="BX14" s="137"/>
      <c r="BY14" s="137"/>
      <c r="BZ14" s="137"/>
      <c r="CA14" s="137"/>
      <c r="CB14" s="137"/>
      <c r="CC14" s="137"/>
      <c r="CD14" s="137"/>
      <c r="CE14" s="136"/>
      <c r="CF14" s="137"/>
      <c r="CG14" s="137"/>
      <c r="CJ14" s="154">
        <v>11</v>
      </c>
      <c r="CK14" s="154" t="s">
        <v>525</v>
      </c>
      <c r="CL14" s="154">
        <v>1</v>
      </c>
      <c r="CM14" s="154" t="s">
        <v>518</v>
      </c>
      <c r="CN14" s="2"/>
      <c r="CO14" s="2"/>
      <c r="CP14" s="2"/>
      <c r="CQ14" s="2"/>
      <c r="CR14" s="2"/>
      <c r="CS14" s="2"/>
      <c r="CT14" s="2"/>
      <c r="CU14" s="2"/>
      <c r="CV14" s="2"/>
      <c r="CW14" s="2"/>
      <c r="CX14" s="2"/>
      <c r="CY14" s="2"/>
      <c r="CZ14" s="137"/>
      <c r="DA14" s="137"/>
      <c r="DB14" s="137"/>
      <c r="DC14" s="137"/>
      <c r="DD14" s="137"/>
      <c r="DE14" s="137"/>
      <c r="DF14" s="137"/>
      <c r="DG14" s="137"/>
      <c r="DH14" s="137"/>
      <c r="DI14" s="137"/>
      <c r="DJ14" s="137"/>
      <c r="DK14" s="136"/>
      <c r="DL14" s="137"/>
      <c r="DM14" s="137"/>
    </row>
    <row r="15" spans="1:117" x14ac:dyDescent="0.3">
      <c r="A15" s="85" t="s">
        <v>109</v>
      </c>
      <c r="B15" s="85"/>
      <c r="C15" s="85"/>
      <c r="D15" s="85"/>
      <c r="E15" s="85"/>
      <c r="F15" s="85"/>
      <c r="G15" s="85"/>
      <c r="H15" s="86">
        <v>10</v>
      </c>
      <c r="BD15" s="154">
        <v>12</v>
      </c>
      <c r="BE15" s="154" t="s">
        <v>512</v>
      </c>
      <c r="BF15" s="154">
        <v>1</v>
      </c>
      <c r="BG15" s="154" t="s">
        <v>519</v>
      </c>
      <c r="BH15" s="2"/>
      <c r="BI15" s="2"/>
      <c r="BJ15" s="2"/>
      <c r="BK15" s="2"/>
      <c r="BL15" s="2"/>
      <c r="BM15" s="2"/>
      <c r="BN15" s="2"/>
      <c r="BO15" s="2"/>
      <c r="BP15" s="2"/>
      <c r="BQ15" s="2"/>
      <c r="BR15" s="2"/>
      <c r="BS15" s="2"/>
      <c r="BT15" s="137"/>
      <c r="BU15" s="137"/>
      <c r="BV15" s="137"/>
      <c r="BW15" s="137"/>
      <c r="BX15" s="137"/>
      <c r="BY15" s="137"/>
      <c r="BZ15" s="137"/>
      <c r="CA15" s="137"/>
      <c r="CB15" s="137"/>
      <c r="CC15" s="137"/>
      <c r="CD15" s="137"/>
      <c r="CE15" s="158"/>
      <c r="CF15" s="137"/>
      <c r="CG15" s="137"/>
      <c r="CJ15" s="154">
        <v>12</v>
      </c>
      <c r="CK15" s="154" t="s">
        <v>512</v>
      </c>
      <c r="CL15" s="154">
        <v>1</v>
      </c>
      <c r="CM15" s="154" t="s">
        <v>519</v>
      </c>
      <c r="CN15" s="2"/>
      <c r="CO15" s="2"/>
      <c r="CP15" s="2"/>
      <c r="CQ15" s="2"/>
      <c r="CR15" s="2"/>
      <c r="CS15" s="2"/>
      <c r="CT15" s="2"/>
      <c r="CU15" s="2"/>
      <c r="CV15" s="2"/>
      <c r="CW15" s="2"/>
      <c r="CX15" s="2"/>
      <c r="CY15" s="2"/>
      <c r="CZ15" s="137"/>
      <c r="DA15" s="137"/>
      <c r="DB15" s="137"/>
      <c r="DC15" s="137"/>
      <c r="DD15" s="137"/>
      <c r="DE15" s="137"/>
      <c r="DF15" s="137"/>
      <c r="DG15" s="137"/>
      <c r="DH15" s="137"/>
      <c r="DI15" s="137"/>
      <c r="DJ15" s="137"/>
      <c r="DK15" s="158"/>
      <c r="DL15" s="137"/>
      <c r="DM15" s="137"/>
    </row>
    <row r="16" spans="1:117" x14ac:dyDescent="0.3">
      <c r="A16" s="85" t="s">
        <v>110</v>
      </c>
      <c r="B16" s="85"/>
      <c r="C16" s="85"/>
      <c r="D16" s="85"/>
      <c r="E16" s="85"/>
      <c r="F16" s="85"/>
      <c r="G16" s="85"/>
      <c r="H16" s="86">
        <v>10</v>
      </c>
      <c r="M16">
        <v>0</v>
      </c>
      <c r="BD16" s="154">
        <v>13</v>
      </c>
      <c r="BE16" s="154" t="s">
        <v>513</v>
      </c>
      <c r="BF16" s="154">
        <v>1</v>
      </c>
      <c r="BG16" s="154" t="s">
        <v>520</v>
      </c>
      <c r="BH16" s="2"/>
      <c r="BI16" s="2"/>
      <c r="BJ16" s="2"/>
      <c r="BK16" s="2"/>
      <c r="BL16" s="2"/>
      <c r="BM16" s="2"/>
      <c r="BN16" s="2"/>
      <c r="BO16" s="2"/>
      <c r="BP16" s="2"/>
      <c r="BQ16" s="2"/>
      <c r="BR16" s="2"/>
      <c r="BS16" s="2"/>
      <c r="BT16" s="137"/>
      <c r="BU16" s="137"/>
      <c r="BV16" s="137"/>
      <c r="BW16" s="137"/>
      <c r="BX16" s="137"/>
      <c r="BY16" s="137"/>
      <c r="BZ16" s="137"/>
      <c r="CA16" s="137"/>
      <c r="CB16" s="137"/>
      <c r="CC16" s="137"/>
      <c r="CD16" s="137"/>
      <c r="CE16" s="137"/>
      <c r="CF16" s="136"/>
      <c r="CG16" s="137"/>
      <c r="CJ16" s="154">
        <v>13</v>
      </c>
      <c r="CK16" s="154" t="s">
        <v>526</v>
      </c>
      <c r="CL16" s="154">
        <v>1</v>
      </c>
      <c r="CM16" s="154" t="s">
        <v>520</v>
      </c>
      <c r="CN16" s="2"/>
      <c r="CO16" s="2"/>
      <c r="CP16" s="2"/>
      <c r="CQ16" s="2"/>
      <c r="CR16" s="2"/>
      <c r="CS16" s="2"/>
      <c r="CT16" s="2"/>
      <c r="CU16" s="2"/>
      <c r="CV16" s="2"/>
      <c r="CW16" s="2"/>
      <c r="CX16" s="2"/>
      <c r="CY16" s="2"/>
      <c r="CZ16" s="137"/>
      <c r="DA16" s="137"/>
      <c r="DB16" s="137"/>
      <c r="DC16" s="137"/>
      <c r="DD16" s="137"/>
      <c r="DE16" s="137"/>
      <c r="DF16" s="137"/>
      <c r="DG16" s="137"/>
      <c r="DH16" s="137"/>
      <c r="DI16" s="137"/>
      <c r="DJ16" s="137"/>
      <c r="DK16" s="137"/>
      <c r="DL16" s="136"/>
      <c r="DM16" s="137"/>
    </row>
    <row r="17" spans="1:117" x14ac:dyDescent="0.3">
      <c r="A17" s="85" t="s">
        <v>111</v>
      </c>
      <c r="B17" s="85"/>
      <c r="C17" s="85"/>
      <c r="D17" s="85"/>
      <c r="E17" s="85"/>
      <c r="F17" s="85"/>
      <c r="G17" s="85"/>
      <c r="H17" s="86">
        <v>10</v>
      </c>
      <c r="BD17" s="154">
        <v>14</v>
      </c>
      <c r="BE17" s="154" t="s">
        <v>514</v>
      </c>
      <c r="BF17" s="154">
        <v>1</v>
      </c>
      <c r="BG17" s="154" t="s">
        <v>521</v>
      </c>
      <c r="BH17" s="2"/>
      <c r="BI17" s="2"/>
      <c r="BJ17" s="2"/>
      <c r="BK17" s="2"/>
      <c r="BL17" s="2"/>
      <c r="BM17" s="2"/>
      <c r="BN17" s="2"/>
      <c r="BO17" s="2"/>
      <c r="BP17" s="2"/>
      <c r="BQ17" s="2"/>
      <c r="BR17" s="2"/>
      <c r="BS17" s="2"/>
      <c r="BT17" s="137"/>
      <c r="BU17" s="137"/>
      <c r="BV17" s="137"/>
      <c r="BW17" s="137"/>
      <c r="BX17" s="137"/>
      <c r="BY17" s="137"/>
      <c r="BZ17" s="137"/>
      <c r="CA17" s="137"/>
      <c r="CB17" s="137"/>
      <c r="CC17" s="137"/>
      <c r="CD17" s="137"/>
      <c r="CE17" s="137"/>
      <c r="CF17" s="137"/>
      <c r="CG17" s="158"/>
      <c r="CJ17" s="154">
        <v>14</v>
      </c>
      <c r="CK17" s="154" t="s">
        <v>527</v>
      </c>
      <c r="CL17" s="154">
        <v>1</v>
      </c>
      <c r="CM17" s="154" t="s">
        <v>521</v>
      </c>
      <c r="CN17" s="2"/>
      <c r="CO17" s="2"/>
      <c r="CP17" s="2"/>
      <c r="CQ17" s="2"/>
      <c r="CR17" s="2"/>
      <c r="CS17" s="2"/>
      <c r="CT17" s="2"/>
      <c r="CU17" s="2"/>
      <c r="CV17" s="2"/>
      <c r="CW17" s="2"/>
      <c r="CX17" s="2"/>
      <c r="CY17" s="2"/>
      <c r="CZ17" s="137"/>
      <c r="DA17" s="137"/>
      <c r="DB17" s="137"/>
      <c r="DC17" s="137"/>
      <c r="DD17" s="137"/>
      <c r="DE17" s="137"/>
      <c r="DF17" s="137"/>
      <c r="DG17" s="137"/>
      <c r="DH17" s="137"/>
      <c r="DI17" s="137"/>
      <c r="DJ17" s="137"/>
      <c r="DK17" s="137"/>
      <c r="DL17" s="137"/>
      <c r="DM17" s="158"/>
    </row>
    <row r="18" spans="1:117" x14ac:dyDescent="0.3">
      <c r="A18" s="85" t="s">
        <v>112</v>
      </c>
      <c r="B18" s="85"/>
      <c r="C18" s="85"/>
      <c r="D18" s="85"/>
      <c r="E18" s="85"/>
      <c r="F18" s="85"/>
      <c r="G18" s="85"/>
      <c r="H18" s="86">
        <v>30</v>
      </c>
    </row>
    <row r="19" spans="1:117" x14ac:dyDescent="0.3">
      <c r="A19" s="85" t="s">
        <v>113</v>
      </c>
      <c r="B19" s="85"/>
      <c r="C19" s="85"/>
      <c r="D19" s="85"/>
      <c r="E19" s="85"/>
      <c r="F19" s="85"/>
      <c r="G19" s="85"/>
      <c r="H19" s="86">
        <v>250</v>
      </c>
    </row>
    <row r="20" spans="1:117" x14ac:dyDescent="0.3">
      <c r="A20" s="85" t="s">
        <v>123</v>
      </c>
      <c r="B20" s="85"/>
      <c r="C20" s="85"/>
      <c r="D20" s="85"/>
      <c r="E20" s="85"/>
      <c r="F20" s="85"/>
      <c r="G20" s="85"/>
      <c r="H20" s="86">
        <v>20</v>
      </c>
    </row>
    <row r="21" spans="1:117" x14ac:dyDescent="0.3">
      <c r="A21" s="85" t="s">
        <v>115</v>
      </c>
      <c r="B21" s="85"/>
      <c r="C21" s="85"/>
      <c r="D21" s="85"/>
      <c r="E21" s="85"/>
      <c r="F21" s="85"/>
      <c r="G21" s="85"/>
      <c r="H21" s="86">
        <v>250</v>
      </c>
    </row>
    <row r="22" spans="1:117" x14ac:dyDescent="0.3">
      <c r="A22" s="85" t="s">
        <v>116</v>
      </c>
      <c r="B22" s="85"/>
      <c r="C22" s="85"/>
      <c r="D22" s="85"/>
      <c r="E22" s="85"/>
      <c r="F22" s="85"/>
      <c r="G22" s="85"/>
      <c r="H22" s="86">
        <v>60</v>
      </c>
    </row>
    <row r="23" spans="1:117" x14ac:dyDescent="0.3">
      <c r="A23" s="85" t="s">
        <v>117</v>
      </c>
      <c r="B23" s="85"/>
      <c r="C23" s="85"/>
      <c r="D23" s="85"/>
      <c r="E23" s="85"/>
      <c r="F23" s="85"/>
      <c r="G23" s="85"/>
      <c r="H23" s="86">
        <v>20</v>
      </c>
    </row>
    <row r="24" spans="1:117" x14ac:dyDescent="0.3">
      <c r="A24" s="279" t="s">
        <v>118</v>
      </c>
      <c r="B24" s="279"/>
      <c r="C24" s="279"/>
      <c r="D24" s="279"/>
      <c r="E24" s="279"/>
      <c r="F24" s="279"/>
      <c r="G24" s="279"/>
      <c r="H24" s="86">
        <f>SUM(H9:H23)</f>
        <v>1250</v>
      </c>
    </row>
  </sheetData>
  <mergeCells count="110">
    <mergeCell ref="DM2:DM3"/>
    <mergeCell ref="DH2:DH3"/>
    <mergeCell ref="DI2:DI3"/>
    <mergeCell ref="DJ2:DJ3"/>
    <mergeCell ref="DK2:DK3"/>
    <mergeCell ref="DL2:DL3"/>
    <mergeCell ref="DC2:DC3"/>
    <mergeCell ref="DD2:DD3"/>
    <mergeCell ref="DE2:DE3"/>
    <mergeCell ref="DF2:DF3"/>
    <mergeCell ref="DG2:DG3"/>
    <mergeCell ref="CX2:CX3"/>
    <mergeCell ref="CY2:CY3"/>
    <mergeCell ref="CZ2:CZ3"/>
    <mergeCell ref="DA2:DA3"/>
    <mergeCell ref="DB2:DB3"/>
    <mergeCell ref="BD1:CG1"/>
    <mergeCell ref="CJ1:DM1"/>
    <mergeCell ref="CJ2:CJ3"/>
    <mergeCell ref="CK2:CK3"/>
    <mergeCell ref="CL2:CM2"/>
    <mergeCell ref="CN2:CN3"/>
    <mergeCell ref="CO2:CO3"/>
    <mergeCell ref="CP2:CP3"/>
    <mergeCell ref="CQ2:CQ3"/>
    <mergeCell ref="CR2:CR3"/>
    <mergeCell ref="CS2:CS3"/>
    <mergeCell ref="CT2:CT3"/>
    <mergeCell ref="CU2:CU3"/>
    <mergeCell ref="CV2:CV3"/>
    <mergeCell ref="CW2:CW3"/>
    <mergeCell ref="CC2:CC3"/>
    <mergeCell ref="CD2:CD3"/>
    <mergeCell ref="CE2:CE3"/>
    <mergeCell ref="CF2:CF3"/>
    <mergeCell ref="CG2:CG3"/>
    <mergeCell ref="BX2:BX3"/>
    <mergeCell ref="BY2:BY3"/>
    <mergeCell ref="BZ2:BZ3"/>
    <mergeCell ref="CA2:CA3"/>
    <mergeCell ref="CB2:CB3"/>
    <mergeCell ref="BS2:BS3"/>
    <mergeCell ref="BT2:BT3"/>
    <mergeCell ref="BU2:BU3"/>
    <mergeCell ref="BV2:BV3"/>
    <mergeCell ref="BW2:BW3"/>
    <mergeCell ref="BN2:BN3"/>
    <mergeCell ref="BO2:BO3"/>
    <mergeCell ref="BP2:BP3"/>
    <mergeCell ref="BQ2:BQ3"/>
    <mergeCell ref="BR2:BR3"/>
    <mergeCell ref="BI2:BI3"/>
    <mergeCell ref="BJ2:BJ3"/>
    <mergeCell ref="BK2:BK3"/>
    <mergeCell ref="BL2:BL3"/>
    <mergeCell ref="BM2:BM3"/>
    <mergeCell ref="BD2:BD3"/>
    <mergeCell ref="BE2:BE3"/>
    <mergeCell ref="BF2:BG2"/>
    <mergeCell ref="BH2:BH3"/>
    <mergeCell ref="BA2:BA3"/>
    <mergeCell ref="BB2:BB3"/>
    <mergeCell ref="N1:BB1"/>
    <mergeCell ref="AV2:AV3"/>
    <mergeCell ref="AW2:AW3"/>
    <mergeCell ref="AX2:AX3"/>
    <mergeCell ref="AY2:AY3"/>
    <mergeCell ref="AZ2:AZ3"/>
    <mergeCell ref="AR2:AR3"/>
    <mergeCell ref="AS2:AS3"/>
    <mergeCell ref="AT2:AT3"/>
    <mergeCell ref="AU2:AU3"/>
    <mergeCell ref="AM2:AM3"/>
    <mergeCell ref="AN2:AN3"/>
    <mergeCell ref="AO2:AO3"/>
    <mergeCell ref="AP2:AP3"/>
    <mergeCell ref="AQ2:AQ3"/>
    <mergeCell ref="AH2:AH3"/>
    <mergeCell ref="AI2:AI3"/>
    <mergeCell ref="AJ2:AJ3"/>
    <mergeCell ref="AK2:AK3"/>
    <mergeCell ref="AL2:AL3"/>
    <mergeCell ref="AC2:AC3"/>
    <mergeCell ref="AD2:AD3"/>
    <mergeCell ref="AE2:AE3"/>
    <mergeCell ref="AF2:AF3"/>
    <mergeCell ref="AG2:AG3"/>
    <mergeCell ref="X2:X3"/>
    <mergeCell ref="Y2:Y3"/>
    <mergeCell ref="Z2:Z3"/>
    <mergeCell ref="AA2:AA3"/>
    <mergeCell ref="AB2:AB3"/>
    <mergeCell ref="S2:S3"/>
    <mergeCell ref="T2:T3"/>
    <mergeCell ref="U2:U3"/>
    <mergeCell ref="V2:V3"/>
    <mergeCell ref="W2:W3"/>
    <mergeCell ref="N2:N3"/>
    <mergeCell ref="P2:Q2"/>
    <mergeCell ref="O2:O3"/>
    <mergeCell ref="R2:R3"/>
    <mergeCell ref="B7:H7"/>
    <mergeCell ref="A24:G24"/>
    <mergeCell ref="J1:K1"/>
    <mergeCell ref="B1:H1"/>
    <mergeCell ref="B2:H2"/>
    <mergeCell ref="B3:H3"/>
    <mergeCell ref="B4:H4"/>
    <mergeCell ref="B5:H5"/>
    <mergeCell ref="B6:H6"/>
  </mergeCells>
  <pageMargins left="0.7" right="0.7" top="0.75" bottom="0.75" header="0.3" footer="0.3"/>
  <pageSetup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8851B-7C75-4727-ADCD-78A1BE0B2946}">
  <dimension ref="B3:R30"/>
  <sheetViews>
    <sheetView showGridLines="0" zoomScale="75" zoomScaleNormal="120" workbookViewId="0">
      <selection activeCell="Q29" sqref="Q29"/>
    </sheetView>
  </sheetViews>
  <sheetFormatPr baseColWidth="10" defaultRowHeight="14.4" x14ac:dyDescent="0.3"/>
  <cols>
    <col min="1" max="1" width="4" customWidth="1"/>
    <col min="2" max="2" width="16.5546875" customWidth="1"/>
    <col min="3" max="3" width="11.6640625" hidden="1" customWidth="1"/>
    <col min="4" max="4" width="16.44140625" hidden="1" customWidth="1"/>
    <col min="5" max="5" width="12.88671875" hidden="1" customWidth="1"/>
    <col min="6" max="6" width="10.6640625" hidden="1" customWidth="1"/>
    <col min="7" max="7" width="21.33203125" hidden="1" customWidth="1"/>
    <col min="8" max="8" width="12.33203125" customWidth="1"/>
    <col min="9" max="9" width="16.44140625" hidden="1" customWidth="1"/>
    <col min="10" max="10" width="15.5546875" hidden="1" customWidth="1"/>
    <col min="11" max="11" width="11.6640625" hidden="1" customWidth="1"/>
    <col min="12" max="12" width="11.6640625" customWidth="1"/>
    <col min="13" max="13" width="12.33203125" bestFit="1" customWidth="1"/>
    <col min="14" max="14" width="13.44140625" bestFit="1" customWidth="1"/>
    <col min="15" max="16" width="13.44140625" customWidth="1"/>
    <col min="17" max="17" width="14.88671875" bestFit="1" customWidth="1"/>
    <col min="18" max="18" width="15" customWidth="1"/>
  </cols>
  <sheetData>
    <row r="3" spans="2:18" ht="15" thickBot="1" x14ac:dyDescent="0.35">
      <c r="B3" s="289" t="s">
        <v>88</v>
      </c>
      <c r="C3" s="289"/>
      <c r="D3" s="289"/>
      <c r="E3" s="289"/>
      <c r="F3" s="289"/>
      <c r="G3" s="289"/>
      <c r="H3" s="289"/>
      <c r="I3" s="289"/>
      <c r="J3" s="289"/>
      <c r="K3" s="289"/>
      <c r="L3" s="289"/>
      <c r="M3" s="289"/>
      <c r="N3" s="289"/>
      <c r="O3" s="199"/>
      <c r="P3" s="199"/>
      <c r="Q3" s="199"/>
    </row>
    <row r="4" spans="2:18" ht="15" thickTop="1" x14ac:dyDescent="0.3"/>
    <row r="5" spans="2:18" x14ac:dyDescent="0.3">
      <c r="B5" s="290" t="s">
        <v>85</v>
      </c>
      <c r="C5" s="286" t="s">
        <v>84</v>
      </c>
      <c r="D5" s="287"/>
      <c r="E5" s="287"/>
      <c r="F5" s="287"/>
      <c r="G5" s="287"/>
      <c r="H5" s="288"/>
      <c r="I5" s="286" t="s">
        <v>83</v>
      </c>
      <c r="J5" s="287"/>
      <c r="K5" s="287"/>
      <c r="L5" s="288"/>
      <c r="M5" s="292" t="s">
        <v>82</v>
      </c>
      <c r="N5" s="292" t="s">
        <v>87</v>
      </c>
      <c r="O5" s="200"/>
      <c r="P5" s="200"/>
      <c r="Q5" s="200"/>
    </row>
    <row r="6" spans="2:18" ht="42" thickBot="1" x14ac:dyDescent="0.35">
      <c r="B6" s="291"/>
      <c r="C6" s="80" t="s">
        <v>81</v>
      </c>
      <c r="D6" s="78" t="s">
        <v>80</v>
      </c>
      <c r="E6" s="78" t="s">
        <v>79</v>
      </c>
      <c r="F6" s="78" t="s">
        <v>78</v>
      </c>
      <c r="G6" s="78" t="s">
        <v>77</v>
      </c>
      <c r="H6" s="79" t="s">
        <v>67</v>
      </c>
      <c r="I6" s="78" t="s">
        <v>76</v>
      </c>
      <c r="J6" s="78" t="s">
        <v>75</v>
      </c>
      <c r="K6" s="78" t="s">
        <v>74</v>
      </c>
      <c r="L6" s="77" t="s">
        <v>73</v>
      </c>
      <c r="M6" s="293"/>
      <c r="N6" s="293"/>
      <c r="O6" s="200"/>
      <c r="P6" s="200"/>
      <c r="Q6" s="200"/>
    </row>
    <row r="7" spans="2:18" ht="15" thickTop="1" x14ac:dyDescent="0.3">
      <c r="B7" s="75" t="s">
        <v>72</v>
      </c>
      <c r="C7" s="76">
        <v>30</v>
      </c>
      <c r="D7" s="75">
        <v>8</v>
      </c>
      <c r="E7" s="75">
        <v>6</v>
      </c>
      <c r="F7" s="75">
        <v>4</v>
      </c>
      <c r="G7" s="75">
        <v>3</v>
      </c>
      <c r="H7" s="74">
        <f>(((C7*D7)*(E7*F7)+G7))</f>
        <v>5763</v>
      </c>
      <c r="I7" s="73">
        <f>H7*2.5%</f>
        <v>144.07500000000002</v>
      </c>
      <c r="J7" s="73">
        <f>H7*1.45%</f>
        <v>83.563499999999991</v>
      </c>
      <c r="K7" s="73">
        <f>H7*0.45%</f>
        <v>25.933500000000002</v>
      </c>
      <c r="L7" s="72">
        <f>(I7+J7+K7)</f>
        <v>253.57200000000003</v>
      </c>
      <c r="M7" s="71">
        <f>H7-L7</f>
        <v>5509.4279999999999</v>
      </c>
      <c r="N7" s="71">
        <f>M7*14</f>
        <v>77131.991999999998</v>
      </c>
      <c r="O7" s="201"/>
      <c r="P7" s="201"/>
      <c r="Q7" s="201"/>
    </row>
    <row r="8" spans="2:18" x14ac:dyDescent="0.3">
      <c r="B8" s="75" t="s">
        <v>71</v>
      </c>
      <c r="C8" s="76">
        <v>30</v>
      </c>
      <c r="D8" s="75">
        <v>8</v>
      </c>
      <c r="E8" s="75">
        <v>6</v>
      </c>
      <c r="F8" s="75">
        <v>4</v>
      </c>
      <c r="G8" s="75">
        <v>3</v>
      </c>
      <c r="H8" s="74">
        <f>(((C8*D8)*(E8*F8)+G8))</f>
        <v>5763</v>
      </c>
      <c r="I8" s="73">
        <f>H8*2.5%</f>
        <v>144.07500000000002</v>
      </c>
      <c r="J8" s="73">
        <f>H8*1.45%</f>
        <v>83.563499999999991</v>
      </c>
      <c r="K8" s="73">
        <f>H8*0.45%</f>
        <v>25.933500000000002</v>
      </c>
      <c r="L8" s="72">
        <f>(I8+J8+K8)</f>
        <v>253.57200000000003</v>
      </c>
      <c r="M8" s="71">
        <f>H8-L8</f>
        <v>5509.4279999999999</v>
      </c>
      <c r="N8" s="71">
        <f>M8*14</f>
        <v>77131.991999999998</v>
      </c>
      <c r="O8" s="201"/>
      <c r="P8" s="201"/>
      <c r="Q8" s="201"/>
    </row>
    <row r="9" spans="2:18" ht="15" thickBot="1" x14ac:dyDescent="0.35">
      <c r="B9" s="69" t="s">
        <v>69</v>
      </c>
      <c r="C9" s="70">
        <v>39.380000000000003</v>
      </c>
      <c r="D9" s="69">
        <v>8</v>
      </c>
      <c r="E9" s="69">
        <v>6</v>
      </c>
      <c r="F9" s="69">
        <v>4</v>
      </c>
      <c r="G9" s="69">
        <v>3</v>
      </c>
      <c r="H9" s="68">
        <f>(((C9*D9)*(E9*F9)+G9))</f>
        <v>7563.9600000000009</v>
      </c>
      <c r="I9" s="67">
        <f>H9*2.5%</f>
        <v>189.09900000000005</v>
      </c>
      <c r="J9" s="67">
        <f>H9*1.45%</f>
        <v>109.67742000000001</v>
      </c>
      <c r="K9" s="67">
        <f>H9*0.45%</f>
        <v>34.037820000000011</v>
      </c>
      <c r="L9" s="66">
        <f>(I9+J9+K9)</f>
        <v>332.81424000000004</v>
      </c>
      <c r="M9" s="65">
        <f>H9-L9</f>
        <v>7231.1457600000012</v>
      </c>
      <c r="N9" s="65">
        <f>M9*14</f>
        <v>101236.04064000002</v>
      </c>
      <c r="O9" s="201"/>
      <c r="P9" s="201"/>
      <c r="Q9" s="201"/>
    </row>
    <row r="10" spans="2:18" x14ac:dyDescent="0.3">
      <c r="B10" s="64" t="s">
        <v>67</v>
      </c>
      <c r="C10" s="61">
        <f t="shared" ref="C10:N10" si="0">SUM(C7:C9)</f>
        <v>99.38</v>
      </c>
      <c r="D10" s="63">
        <f t="shared" si="0"/>
        <v>24</v>
      </c>
      <c r="E10" s="63">
        <f t="shared" si="0"/>
        <v>18</v>
      </c>
      <c r="F10" s="63">
        <f t="shared" si="0"/>
        <v>12</v>
      </c>
      <c r="G10" s="63">
        <f t="shared" si="0"/>
        <v>9</v>
      </c>
      <c r="H10" s="63">
        <f t="shared" si="0"/>
        <v>19089.96</v>
      </c>
      <c r="I10" s="63">
        <f t="shared" si="0"/>
        <v>477.24900000000008</v>
      </c>
      <c r="J10" s="63">
        <f t="shared" si="0"/>
        <v>276.80441999999999</v>
      </c>
      <c r="K10" s="63">
        <f t="shared" si="0"/>
        <v>85.904820000000015</v>
      </c>
      <c r="L10" s="62">
        <f t="shared" si="0"/>
        <v>839.95824000000016</v>
      </c>
      <c r="M10" s="61">
        <f t="shared" si="0"/>
        <v>18250.001759999999</v>
      </c>
      <c r="N10" s="61">
        <f t="shared" si="0"/>
        <v>255500.02464000002</v>
      </c>
      <c r="O10" s="202"/>
      <c r="P10" s="202"/>
      <c r="Q10" s="202"/>
    </row>
    <row r="12" spans="2:18" ht="15" thickBot="1" x14ac:dyDescent="0.35">
      <c r="B12" s="289" t="s">
        <v>86</v>
      </c>
      <c r="C12" s="289"/>
      <c r="D12" s="289"/>
      <c r="E12" s="289"/>
      <c r="F12" s="289"/>
      <c r="G12" s="289"/>
      <c r="H12" s="289"/>
      <c r="I12" s="289"/>
      <c r="J12" s="289"/>
      <c r="K12" s="289"/>
      <c r="L12" s="289"/>
      <c r="M12" s="289"/>
      <c r="N12" s="289"/>
      <c r="O12" s="289"/>
      <c r="P12" s="289"/>
      <c r="Q12" s="289"/>
      <c r="R12" s="289"/>
    </row>
    <row r="13" spans="2:18" ht="15" thickTop="1" x14ac:dyDescent="0.3"/>
    <row r="14" spans="2:18" x14ac:dyDescent="0.3">
      <c r="B14" s="290" t="s">
        <v>85</v>
      </c>
      <c r="C14" s="286" t="s">
        <v>84</v>
      </c>
      <c r="D14" s="287"/>
      <c r="E14" s="287"/>
      <c r="F14" s="287"/>
      <c r="G14" s="287"/>
      <c r="H14" s="288"/>
      <c r="I14" s="286" t="s">
        <v>83</v>
      </c>
      <c r="J14" s="287"/>
      <c r="K14" s="287"/>
      <c r="L14" s="288"/>
      <c r="M14" s="292" t="s">
        <v>82</v>
      </c>
      <c r="N14" s="292" t="s">
        <v>588</v>
      </c>
      <c r="O14" s="292" t="s">
        <v>589</v>
      </c>
      <c r="P14" s="292" t="s">
        <v>590</v>
      </c>
      <c r="Q14" s="292" t="s">
        <v>591</v>
      </c>
      <c r="R14" s="292" t="s">
        <v>592</v>
      </c>
    </row>
    <row r="15" spans="2:18" ht="42" thickBot="1" x14ac:dyDescent="0.35">
      <c r="B15" s="291"/>
      <c r="C15" s="80" t="s">
        <v>81</v>
      </c>
      <c r="D15" s="78" t="s">
        <v>80</v>
      </c>
      <c r="E15" s="78" t="s">
        <v>79</v>
      </c>
      <c r="F15" s="78" t="s">
        <v>78</v>
      </c>
      <c r="G15" s="78" t="s">
        <v>77</v>
      </c>
      <c r="H15" s="79" t="s">
        <v>67</v>
      </c>
      <c r="I15" s="78" t="s">
        <v>76</v>
      </c>
      <c r="J15" s="78" t="s">
        <v>75</v>
      </c>
      <c r="K15" s="78" t="s">
        <v>74</v>
      </c>
      <c r="L15" s="77" t="s">
        <v>73</v>
      </c>
      <c r="M15" s="293"/>
      <c r="N15" s="293"/>
      <c r="O15" s="293"/>
      <c r="P15" s="293"/>
      <c r="Q15" s="293"/>
      <c r="R15" s="293"/>
    </row>
    <row r="16" spans="2:18" ht="15" thickTop="1" x14ac:dyDescent="0.3">
      <c r="B16" s="75" t="s">
        <v>72</v>
      </c>
      <c r="C16" s="76">
        <v>50</v>
      </c>
      <c r="D16" s="75">
        <v>8</v>
      </c>
      <c r="E16" s="75">
        <v>6</v>
      </c>
      <c r="F16" s="75">
        <v>4</v>
      </c>
      <c r="G16" s="75">
        <v>3</v>
      </c>
      <c r="H16" s="74">
        <f>(((C16*D16)*(E16*F16)+G16))</f>
        <v>9603</v>
      </c>
      <c r="I16" s="73">
        <f>H16*2.5%</f>
        <v>240.07500000000002</v>
      </c>
      <c r="J16" s="73">
        <f>H16*1.45%</f>
        <v>139.24349999999998</v>
      </c>
      <c r="K16" s="73">
        <f>H16*0.45%</f>
        <v>43.213500000000003</v>
      </c>
      <c r="L16" s="72">
        <f>(I16+J16+K16)</f>
        <v>422.53199999999998</v>
      </c>
      <c r="M16" s="216">
        <f>M7</f>
        <v>5509.4279999999999</v>
      </c>
      <c r="N16" s="71">
        <f>M16*14</f>
        <v>77131.991999999998</v>
      </c>
      <c r="O16" s="71">
        <f>N16*2*5%+N16</f>
        <v>84845.191200000001</v>
      </c>
      <c r="P16" s="71">
        <f>N16*3*5%+N16</f>
        <v>88701.790800000002</v>
      </c>
      <c r="Q16" s="71">
        <f>(N16*4)*5%+N16</f>
        <v>92558.390400000004</v>
      </c>
      <c r="R16" s="71">
        <f>(N16*5)*5%+N16</f>
        <v>96414.989999999991</v>
      </c>
    </row>
    <row r="17" spans="2:18" x14ac:dyDescent="0.3">
      <c r="B17" s="75" t="s">
        <v>71</v>
      </c>
      <c r="C17" s="76">
        <v>50</v>
      </c>
      <c r="D17" s="75">
        <v>8</v>
      </c>
      <c r="E17" s="75">
        <v>6</v>
      </c>
      <c r="F17" s="75">
        <v>4</v>
      </c>
      <c r="G17" s="75">
        <v>3</v>
      </c>
      <c r="H17" s="74">
        <f>(((C17*D17)*(E17*F17)+G17))</f>
        <v>9603</v>
      </c>
      <c r="I17" s="73">
        <f>H17*2.5%</f>
        <v>240.07500000000002</v>
      </c>
      <c r="J17" s="73">
        <f>H17*1.45%</f>
        <v>139.24349999999998</v>
      </c>
      <c r="K17" s="73">
        <f>H17*0.45%</f>
        <v>43.213500000000003</v>
      </c>
      <c r="L17" s="72">
        <f>(I17+J17+K17)</f>
        <v>422.53199999999998</v>
      </c>
      <c r="M17" s="216">
        <f>M8</f>
        <v>5509.4279999999999</v>
      </c>
      <c r="N17" s="71">
        <f>M17*14</f>
        <v>77131.991999999998</v>
      </c>
      <c r="O17" s="71">
        <f>N17*2*5%+N17</f>
        <v>84845.191200000001</v>
      </c>
      <c r="P17" s="71">
        <f t="shared" ref="P17:P20" si="1">N17*3*5%+N17</f>
        <v>88701.790800000002</v>
      </c>
      <c r="Q17" s="71">
        <f t="shared" ref="Q17:Q20" si="2">(N17*4)*5%+N17</f>
        <v>92558.390400000004</v>
      </c>
      <c r="R17" s="71">
        <f t="shared" ref="R17:R20" si="3">N17*5*5%+N17</f>
        <v>96414.989999999991</v>
      </c>
    </row>
    <row r="18" spans="2:18" x14ac:dyDescent="0.3">
      <c r="B18" s="75" t="s">
        <v>70</v>
      </c>
      <c r="C18" s="76">
        <v>50</v>
      </c>
      <c r="D18" s="75">
        <v>8</v>
      </c>
      <c r="E18" s="75">
        <v>6</v>
      </c>
      <c r="F18" s="75">
        <v>4</v>
      </c>
      <c r="G18" s="75">
        <v>3</v>
      </c>
      <c r="H18" s="74">
        <f>(((C18*D18)*(E18*F18)+G18))</f>
        <v>9603</v>
      </c>
      <c r="I18" s="73">
        <f>H18*2.5%</f>
        <v>240.07500000000002</v>
      </c>
      <c r="J18" s="73">
        <f>H18*1.45%</f>
        <v>139.24349999999998</v>
      </c>
      <c r="K18" s="73">
        <f>H18*0.45%</f>
        <v>43.213500000000003</v>
      </c>
      <c r="L18" s="72">
        <f>(I18+J18+K18)</f>
        <v>422.53199999999998</v>
      </c>
      <c r="M18" s="71">
        <f>H18-L18</f>
        <v>9180.4680000000008</v>
      </c>
      <c r="N18" s="71">
        <f>M18*14</f>
        <v>128526.55200000001</v>
      </c>
      <c r="O18" s="71">
        <v>141379.2072</v>
      </c>
      <c r="P18" s="71">
        <v>147805.53480000002</v>
      </c>
      <c r="Q18" s="71">
        <v>154231.86240000001</v>
      </c>
      <c r="R18" s="71">
        <v>160658.19</v>
      </c>
    </row>
    <row r="19" spans="2:18" x14ac:dyDescent="0.3">
      <c r="B19" s="75" t="s">
        <v>69</v>
      </c>
      <c r="C19" s="76">
        <v>45</v>
      </c>
      <c r="D19" s="75">
        <v>8</v>
      </c>
      <c r="E19" s="75">
        <v>6</v>
      </c>
      <c r="F19" s="75">
        <v>4</v>
      </c>
      <c r="G19" s="75">
        <v>3</v>
      </c>
      <c r="H19" s="74">
        <f>(((C19*D19)*(E19*F19)+G19))</f>
        <v>8643</v>
      </c>
      <c r="I19" s="73">
        <f>H19*2.5%</f>
        <v>216.07500000000002</v>
      </c>
      <c r="J19" s="73">
        <f>H19*1.45%</f>
        <v>125.3235</v>
      </c>
      <c r="K19" s="73">
        <f>H19*0.45%</f>
        <v>38.893500000000003</v>
      </c>
      <c r="L19" s="72">
        <f>(I19+J19+K19)</f>
        <v>380.29200000000003</v>
      </c>
      <c r="M19" s="71">
        <f>H19-L19</f>
        <v>8262.7080000000005</v>
      </c>
      <c r="N19" s="71">
        <f>M19*14</f>
        <v>115677.91200000001</v>
      </c>
      <c r="O19" s="71">
        <f t="shared" ref="O19:O20" si="4">N19*2*5%+N19</f>
        <v>127245.70320000002</v>
      </c>
      <c r="P19" s="71">
        <f t="shared" si="1"/>
        <v>133029.59880000001</v>
      </c>
      <c r="Q19" s="71">
        <f t="shared" si="2"/>
        <v>138813.49440000003</v>
      </c>
      <c r="R19" s="71">
        <f t="shared" si="3"/>
        <v>144597.39000000001</v>
      </c>
    </row>
    <row r="20" spans="2:18" ht="15" thickBot="1" x14ac:dyDescent="0.35">
      <c r="B20" s="69" t="s">
        <v>68</v>
      </c>
      <c r="C20" s="70">
        <v>45</v>
      </c>
      <c r="D20" s="69">
        <v>8</v>
      </c>
      <c r="E20" s="69">
        <v>6</v>
      </c>
      <c r="F20" s="69">
        <v>4</v>
      </c>
      <c r="G20" s="69">
        <v>3</v>
      </c>
      <c r="H20" s="68">
        <f>(((C20*D20)*(E20*F20)+G20))</f>
        <v>8643</v>
      </c>
      <c r="I20" s="67">
        <f>H20*2.5%</f>
        <v>216.07500000000002</v>
      </c>
      <c r="J20" s="67">
        <f>H20*1.45%</f>
        <v>125.3235</v>
      </c>
      <c r="K20" s="67">
        <f>H20*0.45%</f>
        <v>38.893500000000003</v>
      </c>
      <c r="L20" s="66">
        <f>(I20+J20+K20)</f>
        <v>380.29200000000003</v>
      </c>
      <c r="M20" s="65">
        <f>H20-L20</f>
        <v>8262.7080000000005</v>
      </c>
      <c r="N20" s="65">
        <f>M20*14</f>
        <v>115677.91200000001</v>
      </c>
      <c r="O20" s="65">
        <f t="shared" si="4"/>
        <v>127245.70320000002</v>
      </c>
      <c r="P20" s="65">
        <f t="shared" si="1"/>
        <v>133029.59880000001</v>
      </c>
      <c r="Q20" s="65">
        <f t="shared" si="2"/>
        <v>138813.49440000003</v>
      </c>
      <c r="R20" s="65">
        <f t="shared" si="3"/>
        <v>144597.39000000001</v>
      </c>
    </row>
    <row r="21" spans="2:18" x14ac:dyDescent="0.3">
      <c r="B21" s="64" t="s">
        <v>67</v>
      </c>
      <c r="C21" s="61">
        <f t="shared" ref="C21:R21" si="5">SUM(C16:C20)</f>
        <v>240</v>
      </c>
      <c r="D21" s="63">
        <f t="shared" si="5"/>
        <v>40</v>
      </c>
      <c r="E21" s="63">
        <f t="shared" si="5"/>
        <v>30</v>
      </c>
      <c r="F21" s="63">
        <f t="shared" si="5"/>
        <v>20</v>
      </c>
      <c r="G21" s="63">
        <f t="shared" si="5"/>
        <v>15</v>
      </c>
      <c r="H21" s="63">
        <f t="shared" si="5"/>
        <v>46095</v>
      </c>
      <c r="I21" s="63">
        <f t="shared" si="5"/>
        <v>1152.375</v>
      </c>
      <c r="J21" s="63">
        <f t="shared" si="5"/>
        <v>668.37749999999994</v>
      </c>
      <c r="K21" s="63">
        <f t="shared" si="5"/>
        <v>207.42750000000001</v>
      </c>
      <c r="L21" s="62">
        <f t="shared" si="5"/>
        <v>2028.1799999999998</v>
      </c>
      <c r="M21" s="61">
        <f t="shared" si="5"/>
        <v>36724.74</v>
      </c>
      <c r="N21" s="215">
        <f>SUM(N16:N20)</f>
        <v>514146.36000000004</v>
      </c>
      <c r="O21" s="133">
        <f t="shared" si="5"/>
        <v>565560.99600000004</v>
      </c>
      <c r="P21" s="133">
        <f t="shared" si="5"/>
        <v>591268.31400000013</v>
      </c>
      <c r="Q21" s="133">
        <f t="shared" si="5"/>
        <v>616975.6320000001</v>
      </c>
      <c r="R21" s="133">
        <f t="shared" si="5"/>
        <v>642682.94999999995</v>
      </c>
    </row>
    <row r="23" spans="2:18" x14ac:dyDescent="0.3">
      <c r="B23" s="294" t="s">
        <v>147</v>
      </c>
      <c r="C23" s="294"/>
      <c r="D23" s="294"/>
      <c r="E23" s="294"/>
      <c r="G23" s="294" t="s">
        <v>593</v>
      </c>
      <c r="H23" s="294"/>
      <c r="I23" s="294"/>
      <c r="J23" s="294"/>
    </row>
    <row r="24" spans="2:18" x14ac:dyDescent="0.3">
      <c r="B24" s="92" t="s">
        <v>148</v>
      </c>
      <c r="C24" s="83" t="s">
        <v>132</v>
      </c>
      <c r="D24" s="95" t="s">
        <v>149</v>
      </c>
      <c r="E24" s="212" t="s">
        <v>150</v>
      </c>
      <c r="G24" s="92" t="s">
        <v>148</v>
      </c>
      <c r="H24" s="83" t="s">
        <v>132</v>
      </c>
      <c r="I24" s="95" t="s">
        <v>149</v>
      </c>
      <c r="J24" s="95" t="s">
        <v>158</v>
      </c>
    </row>
    <row r="25" spans="2:18" x14ac:dyDescent="0.3">
      <c r="B25" s="93" t="s">
        <v>151</v>
      </c>
      <c r="C25" s="48">
        <v>1</v>
      </c>
      <c r="D25" s="96">
        <f t="shared" ref="D25:E27" si="6">M7</f>
        <v>5509.4279999999999</v>
      </c>
      <c r="E25" s="122">
        <f t="shared" si="6"/>
        <v>77131.991999999998</v>
      </c>
      <c r="G25" s="93" t="s">
        <v>151</v>
      </c>
      <c r="H25" s="48">
        <v>1</v>
      </c>
      <c r="I25" s="96">
        <f>M16</f>
        <v>5509.4279999999999</v>
      </c>
      <c r="J25" s="96">
        <f>R16</f>
        <v>96414.989999999991</v>
      </c>
    </row>
    <row r="26" spans="2:18" x14ac:dyDescent="0.3">
      <c r="B26" s="93" t="s">
        <v>152</v>
      </c>
      <c r="C26" s="48">
        <v>1</v>
      </c>
      <c r="D26" s="96">
        <f t="shared" si="6"/>
        <v>5509.4279999999999</v>
      </c>
      <c r="E26" s="122">
        <f t="shared" si="6"/>
        <v>77131.991999999998</v>
      </c>
      <c r="G26" s="93" t="s">
        <v>156</v>
      </c>
      <c r="H26" s="48">
        <v>1</v>
      </c>
      <c r="I26" s="96">
        <f>M17</f>
        <v>5509.4279999999999</v>
      </c>
      <c r="J26" s="96">
        <f>R17</f>
        <v>96414.989999999991</v>
      </c>
    </row>
    <row r="27" spans="2:18" x14ac:dyDescent="0.3">
      <c r="B27" s="93" t="s">
        <v>153</v>
      </c>
      <c r="C27" s="48">
        <v>1</v>
      </c>
      <c r="D27" s="96">
        <f t="shared" si="6"/>
        <v>7231.1457600000012</v>
      </c>
      <c r="E27" s="122">
        <f t="shared" si="6"/>
        <v>101236.04064000002</v>
      </c>
      <c r="G27" s="93" t="s">
        <v>155</v>
      </c>
      <c r="H27" s="48">
        <v>1</v>
      </c>
      <c r="I27" s="96">
        <f>M18</f>
        <v>9180.4680000000008</v>
      </c>
      <c r="J27" s="96">
        <f>R18</f>
        <v>160658.19</v>
      </c>
    </row>
    <row r="28" spans="2:18" x14ac:dyDescent="0.3">
      <c r="B28" s="94" t="s">
        <v>154</v>
      </c>
      <c r="C28" s="48">
        <f>SUM(C25:C27)</f>
        <v>3</v>
      </c>
      <c r="D28" s="96">
        <f>SUM(D25:D27)</f>
        <v>18250.001759999999</v>
      </c>
      <c r="E28" s="122">
        <f>SUM(E25:E27)</f>
        <v>255500.02464000002</v>
      </c>
      <c r="G28" s="93" t="s">
        <v>153</v>
      </c>
      <c r="H28" s="93">
        <v>1</v>
      </c>
      <c r="I28" s="96">
        <f>M19</f>
        <v>8262.7080000000005</v>
      </c>
      <c r="J28" s="96">
        <f>R19</f>
        <v>144597.39000000001</v>
      </c>
    </row>
    <row r="29" spans="2:18" x14ac:dyDescent="0.3">
      <c r="G29" s="93" t="s">
        <v>157</v>
      </c>
      <c r="H29" s="93">
        <v>1</v>
      </c>
      <c r="I29" s="96">
        <f>M20</f>
        <v>8262.7080000000005</v>
      </c>
      <c r="J29" s="96">
        <f>R20</f>
        <v>144597.39000000001</v>
      </c>
    </row>
    <row r="30" spans="2:18" x14ac:dyDescent="0.3">
      <c r="G30" s="94" t="s">
        <v>154</v>
      </c>
      <c r="H30" s="48">
        <f>SUM(H25:H29)</f>
        <v>5</v>
      </c>
      <c r="I30" s="96">
        <f>SUM(I25:I29)</f>
        <v>36724.74</v>
      </c>
      <c r="J30" s="96">
        <f>SUM(J25:J29)</f>
        <v>642682.94999999995</v>
      </c>
    </row>
  </sheetData>
  <mergeCells count="18">
    <mergeCell ref="B23:E23"/>
    <mergeCell ref="G23:J23"/>
    <mergeCell ref="R14:R15"/>
    <mergeCell ref="B12:R12"/>
    <mergeCell ref="I14:L14"/>
    <mergeCell ref="O14:O15"/>
    <mergeCell ref="P14:P15"/>
    <mergeCell ref="Q14:Q15"/>
    <mergeCell ref="I5:L5"/>
    <mergeCell ref="B3:N3"/>
    <mergeCell ref="B14:B15"/>
    <mergeCell ref="C14:H14"/>
    <mergeCell ref="M14:M15"/>
    <mergeCell ref="N14:N15"/>
    <mergeCell ref="N5:N6"/>
    <mergeCell ref="B5:B6"/>
    <mergeCell ref="C5:H5"/>
    <mergeCell ref="M5:M6"/>
  </mergeCells>
  <phoneticPr fontId="1" type="noConversion"/>
  <pageMargins left="0.7" right="0.7" top="0.75" bottom="0.75" header="0.3" footer="0.3"/>
  <pageSetup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DE590-E0E9-4CF7-98AE-4CD97AFE8486}">
  <dimension ref="A1:J16"/>
  <sheetViews>
    <sheetView showGridLines="0" workbookViewId="0">
      <selection activeCell="H30" sqref="H30"/>
    </sheetView>
  </sheetViews>
  <sheetFormatPr baseColWidth="10" defaultRowHeight="14.4" x14ac:dyDescent="0.3"/>
  <cols>
    <col min="1" max="1" width="4" bestFit="1" customWidth="1"/>
    <col min="2" max="2" width="16.6640625" bestFit="1" customWidth="1"/>
    <col min="3" max="4" width="6.109375" hidden="1" customWidth="1"/>
    <col min="5" max="5" width="5" hidden="1" customWidth="1"/>
    <col min="6" max="6" width="11.5546875" style="88"/>
    <col min="7" max="8" width="11.5546875" style="89"/>
    <col min="9" max="9" width="8.77734375" bestFit="1" customWidth="1"/>
    <col min="10" max="10" width="16.5546875" bestFit="1" customWidth="1"/>
  </cols>
  <sheetData>
    <row r="1" spans="1:10" x14ac:dyDescent="0.3">
      <c r="A1" s="298" t="s">
        <v>48</v>
      </c>
      <c r="B1" s="298" t="s">
        <v>128</v>
      </c>
      <c r="C1" s="298" t="s">
        <v>134</v>
      </c>
      <c r="D1" s="298"/>
      <c r="E1" s="298"/>
      <c r="F1" s="298" t="s">
        <v>132</v>
      </c>
      <c r="G1" s="297" t="s">
        <v>133</v>
      </c>
      <c r="H1" s="297" t="s">
        <v>118</v>
      </c>
      <c r="I1" s="295" t="s">
        <v>475</v>
      </c>
      <c r="J1" s="296"/>
    </row>
    <row r="2" spans="1:10" x14ac:dyDescent="0.3">
      <c r="A2" s="298"/>
      <c r="B2" s="298"/>
      <c r="C2" s="187" t="s">
        <v>129</v>
      </c>
      <c r="D2" s="187" t="s">
        <v>130</v>
      </c>
      <c r="E2" s="187" t="s">
        <v>131</v>
      </c>
      <c r="F2" s="298"/>
      <c r="G2" s="297"/>
      <c r="H2" s="297"/>
      <c r="I2" s="135" t="s">
        <v>476</v>
      </c>
      <c r="J2" s="135" t="s">
        <v>475</v>
      </c>
    </row>
    <row r="3" spans="1:10" x14ac:dyDescent="0.3">
      <c r="A3" s="48">
        <v>1</v>
      </c>
      <c r="B3" s="85" t="s">
        <v>135</v>
      </c>
      <c r="C3" s="85">
        <v>44</v>
      </c>
      <c r="D3" s="85">
        <v>52.7</v>
      </c>
      <c r="E3" s="85">
        <v>175</v>
      </c>
      <c r="F3" s="86">
        <v>3</v>
      </c>
      <c r="G3" s="91">
        <v>2000</v>
      </c>
      <c r="H3" s="91">
        <f t="shared" ref="H3:H14" si="0">F3*G3</f>
        <v>6000</v>
      </c>
      <c r="I3" s="86">
        <v>10</v>
      </c>
      <c r="J3" s="101">
        <f>G3/I3*F3</f>
        <v>600</v>
      </c>
    </row>
    <row r="4" spans="1:10" x14ac:dyDescent="0.3">
      <c r="A4" s="48">
        <v>2</v>
      </c>
      <c r="B4" s="85" t="s">
        <v>136</v>
      </c>
      <c r="C4" s="85">
        <v>140</v>
      </c>
      <c r="D4" s="85">
        <v>67.8</v>
      </c>
      <c r="E4" s="85">
        <v>77</v>
      </c>
      <c r="F4" s="86">
        <v>1</v>
      </c>
      <c r="G4" s="91">
        <v>1500</v>
      </c>
      <c r="H4" s="91">
        <f t="shared" si="0"/>
        <v>1500</v>
      </c>
      <c r="I4" s="86">
        <v>10</v>
      </c>
      <c r="J4" s="101">
        <f t="shared" ref="J4:J14" si="1">G4/I4*F4</f>
        <v>150</v>
      </c>
    </row>
    <row r="5" spans="1:10" x14ac:dyDescent="0.3">
      <c r="A5" s="48">
        <v>3</v>
      </c>
      <c r="B5" s="85" t="s">
        <v>146</v>
      </c>
      <c r="C5" s="85">
        <v>140</v>
      </c>
      <c r="D5" s="85">
        <v>67.8</v>
      </c>
      <c r="E5" s="85">
        <v>77</v>
      </c>
      <c r="F5" s="86">
        <v>1</v>
      </c>
      <c r="G5" s="91">
        <v>10000</v>
      </c>
      <c r="H5" s="91">
        <f>F5*G5</f>
        <v>10000</v>
      </c>
      <c r="I5" s="86">
        <v>10</v>
      </c>
      <c r="J5" s="101">
        <f t="shared" si="1"/>
        <v>1000</v>
      </c>
    </row>
    <row r="6" spans="1:10" x14ac:dyDescent="0.3">
      <c r="A6" s="48">
        <v>3</v>
      </c>
      <c r="B6" s="85" t="s">
        <v>137</v>
      </c>
      <c r="C6" s="85">
        <v>76</v>
      </c>
      <c r="D6" s="85">
        <v>67</v>
      </c>
      <c r="E6" s="85">
        <v>77</v>
      </c>
      <c r="F6" s="86">
        <v>1</v>
      </c>
      <c r="G6" s="91">
        <v>6000</v>
      </c>
      <c r="H6" s="91">
        <f t="shared" si="0"/>
        <v>6000</v>
      </c>
      <c r="I6" s="86">
        <v>10</v>
      </c>
      <c r="J6" s="101">
        <f t="shared" si="1"/>
        <v>600</v>
      </c>
    </row>
    <row r="7" spans="1:10" x14ac:dyDescent="0.3">
      <c r="A7" s="48">
        <v>4</v>
      </c>
      <c r="B7" s="85" t="s">
        <v>138</v>
      </c>
      <c r="C7" s="85">
        <v>48.6</v>
      </c>
      <c r="D7" s="85">
        <v>49.9</v>
      </c>
      <c r="E7" s="85">
        <v>80</v>
      </c>
      <c r="F7" s="86">
        <v>2</v>
      </c>
      <c r="G7" s="91">
        <v>900</v>
      </c>
      <c r="H7" s="91">
        <f t="shared" si="0"/>
        <v>1800</v>
      </c>
      <c r="I7" s="86">
        <v>4</v>
      </c>
      <c r="J7" s="101">
        <f t="shared" si="1"/>
        <v>450</v>
      </c>
    </row>
    <row r="8" spans="1:10" x14ac:dyDescent="0.3">
      <c r="A8" s="48">
        <v>5</v>
      </c>
      <c r="B8" s="85" t="s">
        <v>139</v>
      </c>
      <c r="C8" s="85">
        <v>100</v>
      </c>
      <c r="D8" s="85">
        <v>40</v>
      </c>
      <c r="E8" s="85">
        <v>211</v>
      </c>
      <c r="F8" s="86">
        <v>5</v>
      </c>
      <c r="G8" s="91">
        <v>1200</v>
      </c>
      <c r="H8" s="91">
        <f t="shared" si="0"/>
        <v>6000</v>
      </c>
      <c r="I8" s="86">
        <v>10</v>
      </c>
      <c r="J8" s="101">
        <f t="shared" si="1"/>
        <v>600</v>
      </c>
    </row>
    <row r="9" spans="1:10" x14ac:dyDescent="0.3">
      <c r="A9" s="48">
        <v>6</v>
      </c>
      <c r="B9" s="85" t="s">
        <v>140</v>
      </c>
      <c r="C9" s="85">
        <v>32.5</v>
      </c>
      <c r="D9" s="85">
        <v>35.5</v>
      </c>
      <c r="E9" s="85">
        <v>19.2</v>
      </c>
      <c r="F9" s="86">
        <v>1</v>
      </c>
      <c r="G9" s="91">
        <v>8000</v>
      </c>
      <c r="H9" s="91">
        <f t="shared" si="0"/>
        <v>8000</v>
      </c>
      <c r="I9" s="86">
        <v>4</v>
      </c>
      <c r="J9" s="101">
        <f t="shared" si="1"/>
        <v>2000</v>
      </c>
    </row>
    <row r="10" spans="1:10" x14ac:dyDescent="0.3">
      <c r="A10" s="48">
        <v>7</v>
      </c>
      <c r="B10" s="85" t="s">
        <v>141</v>
      </c>
      <c r="C10" s="85">
        <v>150</v>
      </c>
      <c r="D10" s="85">
        <v>0.1</v>
      </c>
      <c r="E10" s="85">
        <v>220</v>
      </c>
      <c r="F10" s="86">
        <v>2</v>
      </c>
      <c r="G10" s="91">
        <v>2000</v>
      </c>
      <c r="H10" s="91">
        <f t="shared" si="0"/>
        <v>4000</v>
      </c>
      <c r="I10" s="86">
        <v>10</v>
      </c>
      <c r="J10" s="101">
        <f t="shared" si="1"/>
        <v>400</v>
      </c>
    </row>
    <row r="11" spans="1:10" x14ac:dyDescent="0.3">
      <c r="A11" s="48">
        <v>8</v>
      </c>
      <c r="B11" s="85" t="s">
        <v>142</v>
      </c>
      <c r="C11" s="85">
        <v>60</v>
      </c>
      <c r="D11" s="85">
        <v>0.1</v>
      </c>
      <c r="E11" s="85">
        <v>220</v>
      </c>
      <c r="F11" s="86">
        <v>2</v>
      </c>
      <c r="G11" s="91">
        <v>900</v>
      </c>
      <c r="H11" s="91">
        <f t="shared" si="0"/>
        <v>1800</v>
      </c>
      <c r="I11" s="86">
        <v>10</v>
      </c>
      <c r="J11" s="101">
        <f t="shared" si="1"/>
        <v>180</v>
      </c>
    </row>
    <row r="12" spans="1:10" x14ac:dyDescent="0.3">
      <c r="A12" s="48">
        <v>9</v>
      </c>
      <c r="B12" s="85" t="s">
        <v>143</v>
      </c>
      <c r="C12" s="85">
        <v>100</v>
      </c>
      <c r="D12" s="85">
        <v>5</v>
      </c>
      <c r="E12" s="85">
        <v>225</v>
      </c>
      <c r="F12" s="86">
        <v>2</v>
      </c>
      <c r="G12" s="91">
        <v>1000</v>
      </c>
      <c r="H12" s="91">
        <f t="shared" si="0"/>
        <v>2000</v>
      </c>
      <c r="I12" s="86">
        <v>10</v>
      </c>
      <c r="J12" s="101">
        <f t="shared" si="1"/>
        <v>200</v>
      </c>
    </row>
    <row r="13" spans="1:10" x14ac:dyDescent="0.3">
      <c r="A13" s="48">
        <v>10</v>
      </c>
      <c r="B13" s="85" t="s">
        <v>144</v>
      </c>
      <c r="C13" s="85">
        <v>48.6</v>
      </c>
      <c r="D13" s="85">
        <v>49.9</v>
      </c>
      <c r="E13" s="85">
        <v>80</v>
      </c>
      <c r="F13" s="86">
        <v>1</v>
      </c>
      <c r="G13" s="91">
        <v>1200</v>
      </c>
      <c r="H13" s="91">
        <f t="shared" si="0"/>
        <v>1200</v>
      </c>
      <c r="I13" s="86">
        <v>4</v>
      </c>
      <c r="J13" s="101">
        <f t="shared" si="1"/>
        <v>300</v>
      </c>
    </row>
    <row r="14" spans="1:10" x14ac:dyDescent="0.3">
      <c r="A14" s="48">
        <v>11</v>
      </c>
      <c r="B14" s="85" t="s">
        <v>145</v>
      </c>
      <c r="C14" s="85">
        <v>32.5</v>
      </c>
      <c r="D14" s="85">
        <v>35.5</v>
      </c>
      <c r="E14" s="85">
        <v>19.2</v>
      </c>
      <c r="F14" s="86">
        <v>1</v>
      </c>
      <c r="G14" s="91">
        <v>5000</v>
      </c>
      <c r="H14" s="91">
        <f t="shared" si="0"/>
        <v>5000</v>
      </c>
      <c r="I14" s="86">
        <v>4</v>
      </c>
      <c r="J14" s="101">
        <f t="shared" si="1"/>
        <v>1250</v>
      </c>
    </row>
    <row r="15" spans="1:10" x14ac:dyDescent="0.3">
      <c r="A15" s="299" t="s">
        <v>67</v>
      </c>
      <c r="B15" s="300"/>
      <c r="C15" s="300"/>
      <c r="D15" s="300"/>
      <c r="E15" s="301"/>
      <c r="F15" s="86">
        <f>SUM(F3:F14)</f>
        <v>22</v>
      </c>
      <c r="G15" s="91">
        <f>SUM(G3:G14)</f>
        <v>39700</v>
      </c>
      <c r="H15" s="91">
        <f>SUM(H3:H14)</f>
        <v>53300</v>
      </c>
      <c r="I15" s="168" t="s">
        <v>67</v>
      </c>
      <c r="J15" s="101">
        <f>SUM(J3:J14)</f>
        <v>7730</v>
      </c>
    </row>
    <row r="16" spans="1:10" x14ac:dyDescent="0.3">
      <c r="I16" s="168" t="s">
        <v>82</v>
      </c>
      <c r="J16" s="101">
        <f>J15/12</f>
        <v>644.16666666666663</v>
      </c>
    </row>
  </sheetData>
  <mergeCells count="8">
    <mergeCell ref="I1:J1"/>
    <mergeCell ref="H1:H2"/>
    <mergeCell ref="A1:A2"/>
    <mergeCell ref="A15:E15"/>
    <mergeCell ref="B1:B2"/>
    <mergeCell ref="C1:E1"/>
    <mergeCell ref="F1:F2"/>
    <mergeCell ref="G1:G2"/>
  </mergeCells>
  <pageMargins left="0.7" right="0.7" top="0.75" bottom="0.75" header="0.3" footer="0.3"/>
  <pageSetup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94D8C-DAEF-4C5A-A191-B1F5C847B396}">
  <dimension ref="A1:H7"/>
  <sheetViews>
    <sheetView showGridLines="0" zoomScale="70" workbookViewId="0">
      <selection activeCell="F7" sqref="F7:H7"/>
    </sheetView>
  </sheetViews>
  <sheetFormatPr baseColWidth="10" defaultRowHeight="14.4" x14ac:dyDescent="0.3"/>
  <cols>
    <col min="2" max="2" width="11.5546875" style="73"/>
    <col min="3" max="3" width="11.5546875" style="75" customWidth="1"/>
    <col min="5" max="5" width="11.5546875" style="82"/>
    <col min="6" max="6" width="11.5546875" style="104"/>
    <col min="7" max="7" width="11.5546875" style="82"/>
    <col min="8" max="8" width="22.33203125" style="82" bestFit="1" customWidth="1"/>
  </cols>
  <sheetData>
    <row r="1" spans="1:8" ht="27.6" x14ac:dyDescent="0.3">
      <c r="A1" s="188" t="s">
        <v>308</v>
      </c>
      <c r="B1" s="189" t="s">
        <v>309</v>
      </c>
      <c r="C1" s="188" t="s">
        <v>310</v>
      </c>
      <c r="D1" s="180"/>
      <c r="E1" s="135" t="s">
        <v>308</v>
      </c>
      <c r="F1" s="186" t="s">
        <v>309</v>
      </c>
      <c r="G1" s="135" t="s">
        <v>330</v>
      </c>
      <c r="H1" s="135" t="s">
        <v>325</v>
      </c>
    </row>
    <row r="2" spans="1:8" ht="55.2" x14ac:dyDescent="0.3">
      <c r="A2" s="181" t="s">
        <v>311</v>
      </c>
      <c r="B2" s="182">
        <v>5000</v>
      </c>
      <c r="C2" s="183" t="s">
        <v>316</v>
      </c>
      <c r="E2" s="85" t="s">
        <v>320</v>
      </c>
      <c r="F2" s="101">
        <v>700</v>
      </c>
      <c r="G2" s="85" t="s">
        <v>319</v>
      </c>
      <c r="H2" s="85" t="s">
        <v>326</v>
      </c>
    </row>
    <row r="3" spans="1:8" ht="27.6" x14ac:dyDescent="0.3">
      <c r="A3" s="181" t="s">
        <v>312</v>
      </c>
      <c r="B3" s="182">
        <v>850</v>
      </c>
      <c r="C3" s="183" t="s">
        <v>317</v>
      </c>
      <c r="E3" s="85" t="s">
        <v>321</v>
      </c>
      <c r="F3" s="101">
        <v>650</v>
      </c>
      <c r="G3" s="85" t="s">
        <v>319</v>
      </c>
      <c r="H3" s="85" t="s">
        <v>327</v>
      </c>
    </row>
    <row r="4" spans="1:8" ht="27.6" x14ac:dyDescent="0.3">
      <c r="A4" s="181" t="s">
        <v>313</v>
      </c>
      <c r="B4" s="182">
        <v>200</v>
      </c>
      <c r="C4" s="183" t="s">
        <v>318</v>
      </c>
      <c r="E4" s="85" t="s">
        <v>322</v>
      </c>
      <c r="F4" s="101">
        <v>120</v>
      </c>
      <c r="G4" s="85" t="s">
        <v>319</v>
      </c>
      <c r="H4" s="85" t="s">
        <v>326</v>
      </c>
    </row>
    <row r="5" spans="1:8" ht="27.6" x14ac:dyDescent="0.3">
      <c r="A5" s="181" t="s">
        <v>314</v>
      </c>
      <c r="B5" s="182">
        <v>3982</v>
      </c>
      <c r="C5" s="183" t="s">
        <v>318</v>
      </c>
      <c r="E5" s="85" t="s">
        <v>323</v>
      </c>
      <c r="F5" s="101">
        <v>700</v>
      </c>
      <c r="G5" s="85" t="s">
        <v>317</v>
      </c>
      <c r="H5" s="85" t="s">
        <v>328</v>
      </c>
    </row>
    <row r="6" spans="1:8" ht="69" x14ac:dyDescent="0.3">
      <c r="A6" s="181" t="s">
        <v>315</v>
      </c>
      <c r="B6" s="182">
        <v>200</v>
      </c>
      <c r="C6" s="183" t="s">
        <v>319</v>
      </c>
      <c r="E6" s="85" t="s">
        <v>324</v>
      </c>
      <c r="F6" s="101">
        <v>23208</v>
      </c>
      <c r="G6" s="102" t="s">
        <v>319</v>
      </c>
      <c r="H6" s="85" t="s">
        <v>329</v>
      </c>
    </row>
    <row r="7" spans="1:8" x14ac:dyDescent="0.3">
      <c r="A7" s="184" t="s">
        <v>67</v>
      </c>
      <c r="B7" s="185">
        <f>SUM(B2:B6)</f>
        <v>10232</v>
      </c>
      <c r="C7" s="122" t="s">
        <v>369</v>
      </c>
      <c r="E7" s="103" t="s">
        <v>67</v>
      </c>
      <c r="F7" s="302">
        <f>SUM(F2:F6)</f>
        <v>25378</v>
      </c>
      <c r="G7" s="302"/>
      <c r="H7" s="302"/>
    </row>
  </sheetData>
  <mergeCells count="1">
    <mergeCell ref="F7:H7"/>
  </mergeCells>
  <pageMargins left="0.7" right="0.7" top="0.75" bottom="0.75" header="0.3" footer="0.3"/>
  <pageSetup orientation="portrait"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A900-741B-4D77-9078-FDE8D223C163}">
  <dimension ref="A1:N21"/>
  <sheetViews>
    <sheetView showGridLines="0" zoomScale="76" workbookViewId="0">
      <selection activeCell="H38" sqref="H38"/>
    </sheetView>
  </sheetViews>
  <sheetFormatPr baseColWidth="10" defaultRowHeight="14.4" x14ac:dyDescent="0.3"/>
  <cols>
    <col min="1" max="1" width="15" style="104" bestFit="1" customWidth="1"/>
    <col min="2" max="2" width="20.77734375" style="104" bestFit="1" customWidth="1"/>
    <col min="3" max="3" width="18.77734375" style="104" bestFit="1" customWidth="1"/>
    <col min="4" max="4" width="20.77734375" style="104" bestFit="1" customWidth="1"/>
    <col min="5" max="5" width="18.77734375" style="104" bestFit="1" customWidth="1"/>
    <col min="6" max="6" width="20.77734375" style="104" bestFit="1" customWidth="1"/>
    <col min="7" max="7" width="18.77734375" style="104" bestFit="1" customWidth="1"/>
    <col min="8" max="8" width="20.77734375" style="104" bestFit="1" customWidth="1"/>
    <col min="9" max="9" width="18.77734375" style="104" bestFit="1" customWidth="1"/>
    <col min="10" max="10" width="20.77734375" style="104" bestFit="1" customWidth="1"/>
    <col min="11" max="11" width="18.77734375" style="104" bestFit="1" customWidth="1"/>
    <col min="12" max="12" width="20.77734375" style="104" bestFit="1" customWidth="1"/>
    <col min="13" max="13" width="18.77734375" style="104" bestFit="1" customWidth="1"/>
    <col min="14" max="14" width="20.77734375" style="104" bestFit="1" customWidth="1"/>
  </cols>
  <sheetData>
    <row r="1" spans="1:14" x14ac:dyDescent="0.3">
      <c r="A1" s="303" t="s">
        <v>340</v>
      </c>
      <c r="B1" s="303"/>
      <c r="C1" s="303"/>
      <c r="D1" s="303"/>
      <c r="E1" s="303"/>
      <c r="F1" s="303"/>
      <c r="G1" s="303"/>
      <c r="H1" s="303"/>
      <c r="I1" s="303"/>
      <c r="J1" s="303"/>
      <c r="K1" s="303"/>
      <c r="L1" s="303"/>
      <c r="M1" s="303"/>
      <c r="N1" s="303"/>
    </row>
    <row r="2" spans="1:14" s="107" customFormat="1" x14ac:dyDescent="0.3">
      <c r="A2" s="304" t="s">
        <v>331</v>
      </c>
      <c r="B2" s="305"/>
      <c r="C2" s="304" t="s">
        <v>332</v>
      </c>
      <c r="D2" s="305" t="s">
        <v>338</v>
      </c>
      <c r="E2" s="304" t="s">
        <v>333</v>
      </c>
      <c r="F2" s="305" t="s">
        <v>338</v>
      </c>
      <c r="G2" s="304" t="s">
        <v>337</v>
      </c>
      <c r="H2" s="305" t="s">
        <v>338</v>
      </c>
      <c r="I2" s="304" t="s">
        <v>334</v>
      </c>
      <c r="J2" s="305" t="s">
        <v>338</v>
      </c>
      <c r="K2" s="304" t="s">
        <v>335</v>
      </c>
      <c r="L2" s="305" t="s">
        <v>338</v>
      </c>
      <c r="M2" s="304" t="s">
        <v>336</v>
      </c>
      <c r="N2" s="305" t="s">
        <v>338</v>
      </c>
    </row>
    <row r="3" spans="1:14" s="107" customFormat="1" x14ac:dyDescent="0.3">
      <c r="A3" s="108" t="s">
        <v>339</v>
      </c>
      <c r="B3" s="108" t="s">
        <v>338</v>
      </c>
      <c r="C3" s="108" t="s">
        <v>339</v>
      </c>
      <c r="D3" s="108" t="s">
        <v>338</v>
      </c>
      <c r="E3" s="108" t="s">
        <v>339</v>
      </c>
      <c r="F3" s="108" t="s">
        <v>338</v>
      </c>
      <c r="G3" s="108" t="s">
        <v>339</v>
      </c>
      <c r="H3" s="108" t="s">
        <v>338</v>
      </c>
      <c r="I3" s="108" t="s">
        <v>339</v>
      </c>
      <c r="J3" s="108" t="s">
        <v>338</v>
      </c>
      <c r="K3" s="108" t="s">
        <v>339</v>
      </c>
      <c r="L3" s="108" t="s">
        <v>338</v>
      </c>
      <c r="M3" s="108" t="s">
        <v>339</v>
      </c>
      <c r="N3" s="108" t="s">
        <v>338</v>
      </c>
    </row>
    <row r="4" spans="1:14" x14ac:dyDescent="0.3">
      <c r="A4" s="101">
        <v>395.96297872340426</v>
      </c>
      <c r="B4" s="306">
        <f>AVERAGE(A4:A21)</f>
        <v>332.07011138388805</v>
      </c>
      <c r="C4" s="101">
        <v>500.71297872340426</v>
      </c>
      <c r="D4" s="307">
        <f>AVERAGE(C4:C10)</f>
        <v>441.60583586626143</v>
      </c>
      <c r="E4" s="101">
        <v>500.71297872340426</v>
      </c>
      <c r="F4" s="310">
        <f>AVERAGE(E4:E12)</f>
        <v>432.68520094562655</v>
      </c>
      <c r="G4" s="105">
        <v>600.80211538461538</v>
      </c>
      <c r="H4" s="310">
        <f>AVERAGE(G4:G7)</f>
        <v>493.7977628887071</v>
      </c>
      <c r="I4" s="101">
        <v>550.80211538461538</v>
      </c>
      <c r="J4" s="310">
        <f>AVERAGE(I4:I11)</f>
        <v>426.24640497135852</v>
      </c>
      <c r="K4" s="105">
        <v>468.80211538461538</v>
      </c>
      <c r="L4" s="310">
        <f>AVERAGE(K4:K6)</f>
        <v>453.46878205128206</v>
      </c>
      <c r="M4" s="101">
        <v>175.21297872340426</v>
      </c>
      <c r="N4" s="306">
        <f>AVERAGE(M4:M11)</f>
        <v>208.41898936170213</v>
      </c>
    </row>
    <row r="5" spans="1:14" x14ac:dyDescent="0.3">
      <c r="A5" s="101">
        <v>390.21297872340426</v>
      </c>
      <c r="B5" s="306"/>
      <c r="C5" s="101">
        <v>500.71297872340426</v>
      </c>
      <c r="D5" s="308"/>
      <c r="E5" s="101">
        <v>500.71297872340426</v>
      </c>
      <c r="F5" s="311"/>
      <c r="G5" s="106">
        <v>574.21297872340426</v>
      </c>
      <c r="H5" s="311"/>
      <c r="I5" s="101">
        <v>550.80211538461538</v>
      </c>
      <c r="J5" s="311"/>
      <c r="K5" s="105">
        <v>330.80211538461538</v>
      </c>
      <c r="L5" s="311"/>
      <c r="M5" s="101">
        <v>275.96297872340426</v>
      </c>
      <c r="N5" s="306"/>
    </row>
    <row r="6" spans="1:14" x14ac:dyDescent="0.3">
      <c r="A6" s="101">
        <v>395.46297872340426</v>
      </c>
      <c r="B6" s="306"/>
      <c r="C6" s="101">
        <v>213.46297872340426</v>
      </c>
      <c r="D6" s="308"/>
      <c r="E6" s="101">
        <v>435.21297872340426</v>
      </c>
      <c r="F6" s="311"/>
      <c r="G6" s="106">
        <v>404.21297872340426</v>
      </c>
      <c r="H6" s="311"/>
      <c r="I6" s="101">
        <v>550.80211538461538</v>
      </c>
      <c r="J6" s="311"/>
      <c r="K6" s="105">
        <v>560.80211538461538</v>
      </c>
      <c r="L6" s="312"/>
      <c r="M6" s="101">
        <v>175.21297872340426</v>
      </c>
      <c r="N6" s="306"/>
    </row>
    <row r="7" spans="1:14" x14ac:dyDescent="0.3">
      <c r="A7" s="101">
        <v>225.96297872340426</v>
      </c>
      <c r="B7" s="306"/>
      <c r="C7" s="101">
        <v>435.21297872340426</v>
      </c>
      <c r="D7" s="308"/>
      <c r="E7" s="101">
        <v>475.21297872340426</v>
      </c>
      <c r="F7" s="311"/>
      <c r="G7" s="106">
        <v>395.96297872340426</v>
      </c>
      <c r="H7" s="312"/>
      <c r="I7" s="101">
        <v>373.71297872340426</v>
      </c>
      <c r="J7" s="311"/>
      <c r="M7" s="101">
        <v>270.46297872340426</v>
      </c>
      <c r="N7" s="306"/>
    </row>
    <row r="8" spans="1:14" x14ac:dyDescent="0.3">
      <c r="A8" s="101">
        <v>275.96297872340426</v>
      </c>
      <c r="B8" s="306"/>
      <c r="C8" s="101">
        <v>495.21297872340426</v>
      </c>
      <c r="D8" s="308"/>
      <c r="E8" s="101">
        <v>470.71297872340426</v>
      </c>
      <c r="F8" s="311"/>
      <c r="I8" s="101">
        <v>373.71297872340426</v>
      </c>
      <c r="J8" s="311"/>
      <c r="M8" s="101">
        <v>190.25</v>
      </c>
      <c r="N8" s="306"/>
    </row>
    <row r="9" spans="1:14" x14ac:dyDescent="0.3">
      <c r="A9" s="101">
        <v>395.46297872340426</v>
      </c>
      <c r="B9" s="306"/>
      <c r="C9" s="101">
        <v>475.21297872340426</v>
      </c>
      <c r="D9" s="308"/>
      <c r="E9" s="101">
        <v>433.71297872340426</v>
      </c>
      <c r="F9" s="311"/>
      <c r="I9" s="101">
        <v>363.96297872340426</v>
      </c>
      <c r="J9" s="311"/>
      <c r="M9" s="101">
        <v>170.25</v>
      </c>
      <c r="N9" s="306"/>
    </row>
    <row r="10" spans="1:14" x14ac:dyDescent="0.3">
      <c r="A10" s="101">
        <v>320.21297872340426</v>
      </c>
      <c r="B10" s="306"/>
      <c r="C10" s="101">
        <v>470.71297872340426</v>
      </c>
      <c r="D10" s="309"/>
      <c r="E10" s="101">
        <v>400.71297872340426</v>
      </c>
      <c r="F10" s="311"/>
      <c r="I10" s="101">
        <v>325.71297872340426</v>
      </c>
      <c r="J10" s="311"/>
      <c r="M10" s="101">
        <v>210</v>
      </c>
      <c r="N10" s="306"/>
    </row>
    <row r="11" spans="1:14" x14ac:dyDescent="0.3">
      <c r="A11" s="101">
        <v>330.80211538461538</v>
      </c>
      <c r="B11" s="306"/>
      <c r="E11" s="101">
        <v>353.71297872340426</v>
      </c>
      <c r="F11" s="311"/>
      <c r="I11" s="101">
        <v>320.46297872340426</v>
      </c>
      <c r="J11" s="312"/>
      <c r="M11" s="101">
        <v>200</v>
      </c>
      <c r="N11" s="306"/>
    </row>
    <row r="12" spans="1:14" x14ac:dyDescent="0.3">
      <c r="A12" s="101">
        <v>360.80211538461538</v>
      </c>
      <c r="B12" s="306"/>
      <c r="E12" s="101">
        <v>323.46297872340426</v>
      </c>
      <c r="F12" s="312"/>
    </row>
    <row r="13" spans="1:14" x14ac:dyDescent="0.3">
      <c r="A13" s="101">
        <v>360.80211538461538</v>
      </c>
      <c r="B13" s="306"/>
    </row>
    <row r="14" spans="1:14" x14ac:dyDescent="0.3">
      <c r="A14" s="101">
        <v>360.80211538461538</v>
      </c>
      <c r="B14" s="306"/>
    </row>
    <row r="15" spans="1:14" x14ac:dyDescent="0.3">
      <c r="A15" s="101">
        <v>270.80211538461538</v>
      </c>
      <c r="B15" s="306"/>
    </row>
    <row r="16" spans="1:14" x14ac:dyDescent="0.3">
      <c r="A16" s="101">
        <v>470</v>
      </c>
      <c r="B16" s="306"/>
    </row>
    <row r="17" spans="1:2" x14ac:dyDescent="0.3">
      <c r="A17" s="101">
        <v>270.80211538461538</v>
      </c>
      <c r="B17" s="306"/>
    </row>
    <row r="18" spans="1:2" x14ac:dyDescent="0.3">
      <c r="A18" s="101">
        <v>270.80211538461538</v>
      </c>
      <c r="B18" s="306"/>
    </row>
    <row r="19" spans="1:2" x14ac:dyDescent="0.3">
      <c r="A19" s="101">
        <v>330.80211538461538</v>
      </c>
      <c r="B19" s="306"/>
    </row>
    <row r="20" spans="1:2" x14ac:dyDescent="0.3">
      <c r="A20" s="101">
        <v>330.80211538461538</v>
      </c>
      <c r="B20" s="306"/>
    </row>
    <row r="21" spans="1:2" x14ac:dyDescent="0.3">
      <c r="A21" s="101">
        <v>220.80211538461538</v>
      </c>
      <c r="B21" s="306"/>
    </row>
  </sheetData>
  <mergeCells count="15">
    <mergeCell ref="B4:B21"/>
    <mergeCell ref="D4:D10"/>
    <mergeCell ref="H4:H7"/>
    <mergeCell ref="J4:J11"/>
    <mergeCell ref="N4:N11"/>
    <mergeCell ref="F4:F12"/>
    <mergeCell ref="L4:L6"/>
    <mergeCell ref="A1:N1"/>
    <mergeCell ref="A2:B2"/>
    <mergeCell ref="C2:D2"/>
    <mergeCell ref="E2:F2"/>
    <mergeCell ref="G2:H2"/>
    <mergeCell ref="I2:J2"/>
    <mergeCell ref="K2:L2"/>
    <mergeCell ref="M2:N2"/>
  </mergeCell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Respuestas de formulario 1</vt:lpstr>
      <vt:lpstr>Competidores</vt:lpstr>
      <vt:lpstr>Análisis competidores</vt:lpstr>
      <vt:lpstr>Mercado Actual</vt:lpstr>
      <vt:lpstr>D. Procesos</vt:lpstr>
      <vt:lpstr>Estructura de planilla</vt:lpstr>
      <vt:lpstr>Mobiliario</vt:lpstr>
      <vt:lpstr>Licencia y Adecuación</vt:lpstr>
      <vt:lpstr>Precios Promedios</vt:lpstr>
      <vt:lpstr>Materia Prima_Inversión Inicial</vt:lpstr>
      <vt:lpstr>Servicios </vt:lpstr>
      <vt:lpstr>Inversión Total</vt:lpstr>
      <vt:lpstr>Balance proforma</vt:lpstr>
      <vt:lpstr>Flujo de Efectivo</vt:lpstr>
      <vt:lpstr>Estados de Resultado</vt:lpstr>
      <vt:lpstr>Presupuesto Mensual</vt:lpstr>
      <vt:lpstr>Presupuesto Anual</vt:lpstr>
      <vt:lpstr>Amortización</vt:lpstr>
      <vt:lpstr>Ventas_Ingresos</vt:lpstr>
      <vt:lpstr>Rentabilidad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amass</dc:creator>
  <cp:lastModifiedBy>amass</cp:lastModifiedBy>
  <dcterms:created xsi:type="dcterms:W3CDTF">2021-11-08T02:46:50Z</dcterms:created>
  <dcterms:modified xsi:type="dcterms:W3CDTF">2022-04-05T00:47:44Z</dcterms:modified>
</cp:coreProperties>
</file>