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8" windowHeight="8190" tabRatio="500" activeTab="3"/>
  </bookViews>
  <sheets>
    <sheet name="vaccines" sheetId="1" r:id="rId1"/>
    <sheet name="coverage" sheetId="2" r:id="rId2"/>
    <sheet name="paper_data_orig" sheetId="3" r:id="rId3"/>
    <sheet name="paper_data_new" sheetId="4" r:id="rId4"/>
    <sheet name="new_data_email" sheetId="5" r:id="rId5"/>
    <sheet name="email_calculations" sheetId="6" r:id="rId6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2" i="4"/>
  <c r="I2" i="4"/>
  <c r="H2" i="4"/>
  <c r="K5" i="4"/>
  <c r="J3" i="4"/>
  <c r="J4" i="4"/>
  <c r="J5" i="4"/>
  <c r="J6" i="4"/>
  <c r="J7" i="4"/>
  <c r="J2" i="4"/>
  <c r="I3" i="4"/>
  <c r="I4" i="4"/>
  <c r="I5" i="4"/>
  <c r="I6" i="4"/>
  <c r="I7" i="4"/>
  <c r="H3" i="4"/>
  <c r="H4" i="4"/>
  <c r="H5" i="4"/>
  <c r="H6" i="4"/>
  <c r="H7" i="4"/>
  <c r="H8" i="6"/>
  <c r="G8" i="6"/>
  <c r="I8" i="6" s="1"/>
  <c r="F8" i="6"/>
  <c r="M8" i="6" s="1"/>
  <c r="H7" i="6"/>
  <c r="G7" i="6"/>
  <c r="I7" i="6" s="1"/>
  <c r="F7" i="6"/>
  <c r="M7" i="6" s="1"/>
  <c r="H6" i="6"/>
  <c r="G6" i="6"/>
  <c r="I6" i="6" s="1"/>
  <c r="F6" i="6"/>
  <c r="M6" i="6" s="1"/>
  <c r="H5" i="6"/>
  <c r="G5" i="6"/>
  <c r="I5" i="6" s="1"/>
  <c r="F5" i="6"/>
  <c r="M5" i="6" s="1"/>
  <c r="H4" i="6"/>
  <c r="G4" i="6"/>
  <c r="I4" i="6" s="1"/>
  <c r="F4" i="6"/>
  <c r="M4" i="6" s="1"/>
  <c r="H3" i="6"/>
  <c r="G3" i="6"/>
  <c r="I3" i="6" s="1"/>
  <c r="F3" i="6"/>
  <c r="M3" i="6" s="1"/>
  <c r="E3" i="6"/>
  <c r="A2" i="4"/>
  <c r="K3" i="6" l="1"/>
  <c r="K5" i="6"/>
  <c r="K7" i="6"/>
  <c r="K4" i="6"/>
  <c r="K6" i="6"/>
  <c r="K8" i="6"/>
  <c r="E7" i="3"/>
  <c r="E6" i="3"/>
  <c r="E5" i="3"/>
  <c r="E4" i="3"/>
  <c r="E3" i="3"/>
  <c r="E2" i="3"/>
  <c r="A2" i="3"/>
  <c r="G7" i="2"/>
  <c r="H7" i="2" s="1"/>
  <c r="G6" i="2"/>
  <c r="H6" i="2" s="1"/>
  <c r="H5" i="2"/>
  <c r="G5" i="2"/>
  <c r="G4" i="2"/>
  <c r="H4" i="2" s="1"/>
  <c r="D3" i="2"/>
  <c r="G3" i="2" s="1"/>
  <c r="H3" i="2" s="1"/>
  <c r="C2" i="2"/>
  <c r="G2" i="2" s="1"/>
  <c r="H2" i="2" s="1"/>
  <c r="J12" i="1"/>
  <c r="J11" i="1"/>
  <c r="J8" i="1"/>
</calcChain>
</file>

<file path=xl/sharedStrings.xml><?xml version="1.0" encoding="utf-8"?>
<sst xmlns="http://schemas.openxmlformats.org/spreadsheetml/2006/main" count="217" uniqueCount="162">
  <si>
    <t>Grade</t>
  </si>
  <si>
    <t xml:space="preserve">Received vaccine from government </t>
  </si>
  <si>
    <t>Target population</t>
  </si>
  <si>
    <t>Doses</t>
  </si>
  <si>
    <t>Laboratório</t>
  </si>
  <si>
    <t>Apresentação</t>
  </si>
  <si>
    <t>Lotes</t>
  </si>
  <si>
    <t>date</t>
  </si>
  <si>
    <t>age_bin</t>
  </si>
  <si>
    <t>age_doses</t>
  </si>
  <si>
    <t>1ª Grade</t>
  </si>
  <si>
    <t>2021-01-20</t>
  </si>
  <si>
    <t>* Health workers (according to risk stratum), elderly and institutionalized disabled</t>
  </si>
  <si>
    <t>Coronavac</t>
  </si>
  <si>
    <t>Monodose</t>
  </si>
  <si>
    <t>202010033 e 202010029</t>
  </si>
  <si>
    <t>2021-01-21</t>
  </si>
  <si>
    <t>2ª Grade</t>
  </si>
  <si>
    <t>2021-01-26</t>
  </si>
  <si>
    <t>* Complementation of Health Workers (according to stratum), elderly and institutionalized disableddores da saúde  (segundo estrato), idosos e deficientes institucionalizados</t>
  </si>
  <si>
    <t xml:space="preserve">Astrazeneca </t>
  </si>
  <si>
    <t>Multidose</t>
  </si>
  <si>
    <t>4120Z004</t>
  </si>
  <si>
    <t>2021-01-29</t>
  </si>
  <si>
    <t>3ª Grade</t>
  </si>
  <si>
    <t>2021-02-02</t>
  </si>
  <si>
    <t>* Elderly aged 90 years or over  - 100% of target population (2510 doses)</t>
  </si>
  <si>
    <t>2021-02-08</t>
  </si>
  <si>
    <t>4ª Grade</t>
  </si>
  <si>
    <t>2021-02-09</t>
  </si>
  <si>
    <t>* D1-  85 to 89 years - 88% of target ( 3031 doses)</t>
  </si>
  <si>
    <t>2021-02-12</t>
  </si>
  <si>
    <t>5ª Grade</t>
  </si>
  <si>
    <t>2021-02-26</t>
  </si>
  <si>
    <t xml:space="preserve"> *D1  80 to 84 years-  78% of target (5374)</t>
  </si>
  <si>
    <t>4120Z001</t>
  </si>
  <si>
    <t>2021-03-01</t>
  </si>
  <si>
    <t>6ª Grade</t>
  </si>
  <si>
    <t>* D1  de 77 to 79 anos 37% of the target (2010 doses)</t>
  </si>
  <si>
    <t>210046  210011A</t>
  </si>
  <si>
    <t>2021-03-03</t>
  </si>
  <si>
    <t>9ª Grade</t>
  </si>
  <si>
    <t>2021-03-12</t>
  </si>
  <si>
    <t>* D1  77 to 79  years  14%of the target population  (760 doses)                                      *D1 to 90% of the target from 75 to 76 years ( 4620 doses)</t>
  </si>
  <si>
    <t>2021-03-15</t>
  </si>
  <si>
    <t>10º Grade</t>
  </si>
  <si>
    <t>2021-03-17</t>
  </si>
  <si>
    <t>*D1    75to 76 yars  10% od the remaining target (512)                                          D1  72 to 74 years  ( 8688 doses)</t>
  </si>
  <si>
    <t>2021-03-22</t>
  </si>
  <si>
    <t>11º Grade</t>
  </si>
  <si>
    <t xml:space="preserve"> *D1  from 69 to 71 years 100% ( 10.590 doses)</t>
  </si>
  <si>
    <t>2021-03-25</t>
  </si>
  <si>
    <t>12º Grade</t>
  </si>
  <si>
    <t>2021-03-31</t>
  </si>
  <si>
    <t xml:space="preserve"> *D1 68 years  100% (3.650)</t>
  </si>
  <si>
    <t>2021-04-01</t>
  </si>
  <si>
    <t>14º Grade</t>
  </si>
  <si>
    <t>2021-04-09</t>
  </si>
  <si>
    <t>*D1  67 years</t>
  </si>
  <si>
    <t>Multidose             5 doses</t>
  </si>
  <si>
    <t>213VCD002W</t>
  </si>
  <si>
    <t>2021-04-10</t>
  </si>
  <si>
    <t>15º Grade</t>
  </si>
  <si>
    <t>2021-04-17</t>
  </si>
  <si>
    <t xml:space="preserve">  * D1  65and  66  target 100% (9100)</t>
  </si>
  <si>
    <t>213VCD008W e 213VCD009W</t>
  </si>
  <si>
    <t>2021-04-19</t>
  </si>
  <si>
    <t>age</t>
  </si>
  <si>
    <t>pop_size</t>
  </si>
  <si>
    <t>doses1</t>
  </si>
  <si>
    <t>doses2</t>
  </si>
  <si>
    <t>doses3</t>
  </si>
  <si>
    <t>doses4</t>
  </si>
  <si>
    <t>total_doses</t>
  </si>
  <si>
    <t>coverage</t>
  </si>
  <si>
    <t>65 a 69</t>
  </si>
  <si>
    <t>70 a 74</t>
  </si>
  <si>
    <t>75 a 79</t>
  </si>
  <si>
    <t>80 a 84</t>
  </si>
  <si>
    <t>85 a 89</t>
  </si>
  <si>
    <t>90 e mais</t>
  </si>
  <si>
    <t>Age</t>
  </si>
  <si>
    <t>Rollout start</t>
  </si>
  <si>
    <t>Population</t>
  </si>
  <si>
    <t>Coverage</t>
  </si>
  <si>
    <t>85–89</t>
  </si>
  <si>
    <t>80–84</t>
  </si>
  <si>
    <t>75–79</t>
  </si>
  <si>
    <t>70–74</t>
  </si>
  <si>
    <t>65–69</t>
  </si>
  <si>
    <t>90 anos ou  mais</t>
  </si>
  <si>
    <t>85 a 89 anos</t>
  </si>
  <si>
    <t>80 a 84 anos</t>
  </si>
  <si>
    <t>77 a 79 anos</t>
  </si>
  <si>
    <t>75 e 76 anos</t>
  </si>
  <si>
    <t>72 a 74</t>
  </si>
  <si>
    <t>69 a 71</t>
  </si>
  <si>
    <t>68 anos</t>
  </si>
  <si>
    <t>67 anos</t>
  </si>
  <si>
    <t>65 e 66 anos</t>
  </si>
  <si>
    <t>64 ANOS</t>
  </si>
  <si>
    <t>63 anos</t>
  </si>
  <si>
    <t>60 a 62</t>
  </si>
  <si>
    <t>Raw</t>
  </si>
  <si>
    <t>New pop</t>
  </si>
  <si>
    <t>Bins</t>
  </si>
  <si>
    <t>Old pop</t>
  </si>
  <si>
    <t>Ratio</t>
  </si>
  <si>
    <t>Old cov</t>
  </si>
  <si>
    <t>New cov</t>
  </si>
  <si>
    <t>New doses</t>
  </si>
  <si>
    <t>Supposed cov</t>
  </si>
  <si>
    <t>Doses and vaccine coverage using SP state plan data (this does not cover the other age groups as health profession als since they are city coordinated program)</t>
  </si>
  <si>
    <t>Idosos</t>
  </si>
  <si>
    <t>População estimada</t>
  </si>
  <si>
    <t>Nº D1</t>
  </si>
  <si>
    <t>CoberturaD1</t>
  </si>
  <si>
    <t>Nº D2</t>
  </si>
  <si>
    <t>Cobertura D2  - população</t>
  </si>
  <si>
    <t>78,69</t>
  </si>
  <si>
    <t>76,97</t>
  </si>
  <si>
    <t>112,31</t>
  </si>
  <si>
    <t>114,94</t>
  </si>
  <si>
    <t>103,86</t>
  </si>
  <si>
    <t>89,19</t>
  </si>
  <si>
    <t>109,55</t>
  </si>
  <si>
    <t>104,61</t>
  </si>
  <si>
    <t>92,01</t>
  </si>
  <si>
    <t>89,39</t>
  </si>
  <si>
    <t>97,84</t>
  </si>
  <si>
    <t>95,07</t>
  </si>
  <si>
    <t>96,60</t>
  </si>
  <si>
    <t>92,79</t>
  </si>
  <si>
    <t>103,12</t>
  </si>
  <si>
    <t>89,78</t>
  </si>
  <si>
    <t>99,78</t>
  </si>
  <si>
    <t>12,67</t>
  </si>
  <si>
    <t>94,52</t>
  </si>
  <si>
    <t>12,52</t>
  </si>
  <si>
    <t>97,45</t>
  </si>
  <si>
    <t>53,04</t>
  </si>
  <si>
    <t>97,46</t>
  </si>
  <si>
    <t>9,17</t>
  </si>
  <si>
    <t>94,91</t>
  </si>
  <si>
    <t>6,91</t>
  </si>
  <si>
    <t>GERAL</t>
  </si>
  <si>
    <t>97,94</t>
  </si>
  <si>
    <t>Dose1</t>
  </si>
  <si>
    <t>Dose2</t>
  </si>
  <si>
    <t>Data from email by Mauricio, 2021-07-08, "Re: Brazil ms"</t>
  </si>
  <si>
    <t>New dose2</t>
  </si>
  <si>
    <t>new_dose2</t>
  </si>
  <si>
    <t>new_dose1</t>
  </si>
  <si>
    <t>old_dose1</t>
  </si>
  <si>
    <t>old_pop</t>
  </si>
  <si>
    <t>new_pop</t>
  </si>
  <si>
    <t>rollout_start</t>
  </si>
  <si>
    <t>old_pop_new_cov</t>
  </si>
  <si>
    <t>new_pop_new_cov</t>
  </si>
  <si>
    <t>stated</t>
  </si>
  <si>
    <t>mean</t>
  </si>
  <si>
    <t>old_pop_old_cov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</si>
</sst>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\-mm\-dd"/>
  </numFmts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2"/>
      <color rgb="FF000000"/>
      <name val="Calibri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 applyFont="1"/>
    <xf numFmtId="0" fontId="1" fillId="0" borderId="0" xfId="0" applyFont="1"/>
    <xf numFmtId="0" fontId="0" fillId="0" borderId="0" xfId="0" applyFont="1"/>
    <xf numFmtId="10" fontId="0" fillId="0" borderId="0" xfId="0" applyNumberFormat="1"/>
    <xf numFmtId="164" fontId="0" fillId="0" borderId="0" xfId="0" applyNumberFormat="1"/>
    <xf numFmtId="4" fontId="0" fillId="0" borderId="0" xfId="0" applyNumberFormat="1"/>
    <xf numFmtId="4" fontId="0" fillId="0" borderId="0" xfId="0" applyNumberFormat="1" applyFont="1"/>
    <xf numFmtId="9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/>
    <xf numFmtId="3" fontId="0" fillId="0" borderId="0" xfId="0" applyNumberFormat="1"/>
    <xf numFmtId="3" fontId="0" fillId="0" borderId="0" xfId="1" applyNumberFormat="1" applyFont="1"/>
    <xf numFmtId="3" fontId="0" fillId="0" borderId="0" xfId="0" applyNumberFormat="1" applyFont="1"/>
    <xf numFmtId="0" fontId="4" fillId="0" borderId="0" xfId="0" applyFont="1"/>
    <xf numFmtId="0" fontId="5" fillId="0" borderId="0" xfId="0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workbookViewId="0">
      <selection activeCell="C13" sqref="C13"/>
    </sheetView>
  </sheetViews>
  <sheetFormatPr defaultColWidth="11.59765625" defaultRowHeight="12.75" x14ac:dyDescent="0.35"/>
  <cols>
    <col min="1" max="1" width="9.59765625" customWidth="1"/>
    <col min="2" max="2" width="30.59765625" customWidth="1"/>
    <col min="3" max="3" width="140.33203125" customWidth="1"/>
    <col min="4" max="4" width="6.73046875" customWidth="1"/>
    <col min="5" max="5" width="12.265625" customWidth="1"/>
    <col min="6" max="6" width="22.9296875" customWidth="1"/>
    <col min="7" max="7" width="26.1328125" customWidth="1"/>
    <col min="8" max="8" width="10.19921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 s="1" t="s">
        <v>11</v>
      </c>
      <c r="C2" t="s">
        <v>12</v>
      </c>
      <c r="D2">
        <v>7800</v>
      </c>
      <c r="E2" t="s">
        <v>13</v>
      </c>
      <c r="F2" t="s">
        <v>14</v>
      </c>
      <c r="G2" s="1" t="s">
        <v>15</v>
      </c>
      <c r="H2" s="1" t="s">
        <v>16</v>
      </c>
    </row>
    <row r="3" spans="1:10" x14ac:dyDescent="0.35">
      <c r="A3" t="s">
        <v>17</v>
      </c>
      <c r="B3" s="1" t="s">
        <v>18</v>
      </c>
      <c r="C3" t="s">
        <v>19</v>
      </c>
      <c r="D3">
        <v>6900</v>
      </c>
      <c r="E3" t="s">
        <v>20</v>
      </c>
      <c r="F3" t="s">
        <v>21</v>
      </c>
      <c r="G3" t="s">
        <v>22</v>
      </c>
      <c r="H3" s="1" t="s">
        <v>23</v>
      </c>
    </row>
    <row r="4" spans="1:10" x14ac:dyDescent="0.35">
      <c r="A4" t="s">
        <v>24</v>
      </c>
      <c r="B4" s="1" t="s">
        <v>25</v>
      </c>
      <c r="C4" t="s">
        <v>26</v>
      </c>
      <c r="D4">
        <v>2960</v>
      </c>
      <c r="E4" t="s">
        <v>13</v>
      </c>
      <c r="F4" t="s">
        <v>21</v>
      </c>
      <c r="G4">
        <v>200278</v>
      </c>
      <c r="H4" s="1" t="s">
        <v>27</v>
      </c>
      <c r="I4">
        <v>90</v>
      </c>
      <c r="J4">
        <v>2510</v>
      </c>
    </row>
    <row r="5" spans="1:10" x14ac:dyDescent="0.35">
      <c r="A5" t="s">
        <v>28</v>
      </c>
      <c r="B5" s="1" t="s">
        <v>29</v>
      </c>
      <c r="C5" t="s">
        <v>30</v>
      </c>
      <c r="D5">
        <v>10831</v>
      </c>
      <c r="E5" t="s">
        <v>13</v>
      </c>
      <c r="F5" t="s">
        <v>14</v>
      </c>
      <c r="G5">
        <v>202010024</v>
      </c>
      <c r="H5" s="1" t="s">
        <v>31</v>
      </c>
      <c r="I5">
        <v>85</v>
      </c>
      <c r="J5">
        <v>3031</v>
      </c>
    </row>
    <row r="6" spans="1:10" x14ac:dyDescent="0.35">
      <c r="A6" t="s">
        <v>32</v>
      </c>
      <c r="B6" s="1" t="s">
        <v>33</v>
      </c>
      <c r="C6" t="s">
        <v>34</v>
      </c>
      <c r="D6">
        <v>5770</v>
      </c>
      <c r="E6" t="s">
        <v>20</v>
      </c>
      <c r="F6" t="s">
        <v>21</v>
      </c>
      <c r="G6" t="s">
        <v>35</v>
      </c>
      <c r="H6" s="1" t="s">
        <v>36</v>
      </c>
      <c r="I6">
        <v>80</v>
      </c>
      <c r="J6">
        <v>5374</v>
      </c>
    </row>
    <row r="7" spans="1:10" x14ac:dyDescent="0.35">
      <c r="A7" t="s">
        <v>37</v>
      </c>
      <c r="B7" s="1" t="s">
        <v>36</v>
      </c>
      <c r="C7" t="s">
        <v>38</v>
      </c>
      <c r="D7">
        <v>4970</v>
      </c>
      <c r="E7" t="s">
        <v>13</v>
      </c>
      <c r="F7" t="s">
        <v>21</v>
      </c>
      <c r="G7" t="s">
        <v>39</v>
      </c>
      <c r="H7" s="1" t="s">
        <v>40</v>
      </c>
      <c r="I7">
        <v>75</v>
      </c>
      <c r="J7">
        <v>2010</v>
      </c>
    </row>
    <row r="8" spans="1:10" x14ac:dyDescent="0.35">
      <c r="A8" t="s">
        <v>41</v>
      </c>
      <c r="B8" s="1" t="s">
        <v>42</v>
      </c>
      <c r="C8" t="s">
        <v>43</v>
      </c>
      <c r="D8">
        <v>5380</v>
      </c>
      <c r="E8" t="s">
        <v>13</v>
      </c>
      <c r="F8" t="s">
        <v>21</v>
      </c>
      <c r="G8">
        <v>210058</v>
      </c>
      <c r="H8" s="1" t="s">
        <v>44</v>
      </c>
      <c r="I8">
        <v>75</v>
      </c>
      <c r="J8">
        <f>760+4620</f>
        <v>5380</v>
      </c>
    </row>
    <row r="9" spans="1:10" x14ac:dyDescent="0.35">
      <c r="A9" t="s">
        <v>45</v>
      </c>
      <c r="B9" s="1" t="s">
        <v>46</v>
      </c>
      <c r="C9" t="s">
        <v>47</v>
      </c>
      <c r="D9">
        <v>10720</v>
      </c>
      <c r="E9" t="s">
        <v>13</v>
      </c>
      <c r="F9" t="s">
        <v>21</v>
      </c>
      <c r="G9">
        <v>210062</v>
      </c>
      <c r="H9" s="1" t="s">
        <v>48</v>
      </c>
      <c r="I9">
        <v>75</v>
      </c>
      <c r="J9">
        <v>512</v>
      </c>
    </row>
    <row r="10" spans="1:10" x14ac:dyDescent="0.35">
      <c r="B10" s="1"/>
      <c r="H10" s="1" t="s">
        <v>48</v>
      </c>
      <c r="I10">
        <v>70</v>
      </c>
      <c r="J10">
        <v>8688</v>
      </c>
    </row>
    <row r="11" spans="1:10" x14ac:dyDescent="0.35">
      <c r="A11" t="s">
        <v>49</v>
      </c>
      <c r="B11" s="1" t="s">
        <v>48</v>
      </c>
      <c r="C11" t="s">
        <v>50</v>
      </c>
      <c r="D11">
        <v>16010</v>
      </c>
      <c r="E11" t="s">
        <v>13</v>
      </c>
      <c r="F11" t="s">
        <v>21</v>
      </c>
      <c r="G11">
        <v>210079</v>
      </c>
      <c r="H11" s="1" t="s">
        <v>51</v>
      </c>
      <c r="I11">
        <v>70</v>
      </c>
      <c r="J11">
        <f>10590/2</f>
        <v>5295</v>
      </c>
    </row>
    <row r="12" spans="1:10" x14ac:dyDescent="0.35">
      <c r="B12" s="1"/>
      <c r="H12" s="1" t="s">
        <v>51</v>
      </c>
      <c r="I12">
        <v>65</v>
      </c>
      <c r="J12">
        <f>10590/2</f>
        <v>5295</v>
      </c>
    </row>
    <row r="13" spans="1:10" x14ac:dyDescent="0.35">
      <c r="A13" t="s">
        <v>52</v>
      </c>
      <c r="B13" s="1" t="s">
        <v>53</v>
      </c>
      <c r="C13" t="s">
        <v>54</v>
      </c>
      <c r="D13">
        <v>8770</v>
      </c>
      <c r="E13" t="s">
        <v>13</v>
      </c>
      <c r="F13" t="s">
        <v>21</v>
      </c>
      <c r="G13">
        <v>210098</v>
      </c>
      <c r="H13" s="1" t="s">
        <v>55</v>
      </c>
      <c r="I13">
        <v>65</v>
      </c>
      <c r="J13">
        <v>3650</v>
      </c>
    </row>
    <row r="14" spans="1:10" x14ac:dyDescent="0.35">
      <c r="A14" t="s">
        <v>56</v>
      </c>
      <c r="B14" s="1" t="s">
        <v>57</v>
      </c>
      <c r="C14" t="s">
        <v>58</v>
      </c>
      <c r="D14">
        <v>4040</v>
      </c>
      <c r="E14" t="s">
        <v>20</v>
      </c>
      <c r="F14" t="s">
        <v>59</v>
      </c>
      <c r="G14" t="s">
        <v>60</v>
      </c>
      <c r="H14" s="1" t="s">
        <v>61</v>
      </c>
      <c r="I14">
        <v>65</v>
      </c>
      <c r="J14">
        <v>4040</v>
      </c>
    </row>
    <row r="15" spans="1:10" x14ac:dyDescent="0.35">
      <c r="A15" t="s">
        <v>62</v>
      </c>
      <c r="B15" s="1" t="s">
        <v>63</v>
      </c>
      <c r="C15" t="s">
        <v>64</v>
      </c>
      <c r="D15">
        <v>16000</v>
      </c>
      <c r="E15" t="s">
        <v>20</v>
      </c>
      <c r="F15" t="s">
        <v>59</v>
      </c>
      <c r="G15" t="s">
        <v>65</v>
      </c>
      <c r="H15" s="1" t="s">
        <v>66</v>
      </c>
      <c r="I15">
        <v>65</v>
      </c>
      <c r="J15">
        <v>9100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85" zoomScaleNormal="85" workbookViewId="0"/>
  </sheetViews>
  <sheetFormatPr defaultColWidth="11.53125" defaultRowHeight="12.75" x14ac:dyDescent="0.35"/>
  <sheetData>
    <row r="1" spans="1:8" ht="13.15" x14ac:dyDescent="0.4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x14ac:dyDescent="0.35">
      <c r="A2" t="s">
        <v>75</v>
      </c>
      <c r="B2">
        <v>20399</v>
      </c>
      <c r="C2">
        <f>10590/2</f>
        <v>5295</v>
      </c>
      <c r="D2" s="3">
        <v>3650</v>
      </c>
      <c r="E2">
        <v>4040</v>
      </c>
      <c r="F2" s="3">
        <v>9100</v>
      </c>
      <c r="G2">
        <f t="shared" ref="G2:G7" si="0">SUM(C2:F2)</f>
        <v>22085</v>
      </c>
      <c r="H2" s="4">
        <f t="shared" ref="H2:H7" si="1">G2/B2/2</f>
        <v>0.54132555517427328</v>
      </c>
    </row>
    <row r="3" spans="1:8" x14ac:dyDescent="0.35">
      <c r="A3" t="s">
        <v>76</v>
      </c>
      <c r="B3">
        <v>15625</v>
      </c>
      <c r="C3" s="3">
        <v>8688</v>
      </c>
      <c r="D3">
        <f>10590/2</f>
        <v>5295</v>
      </c>
      <c r="G3">
        <f t="shared" si="0"/>
        <v>13983</v>
      </c>
      <c r="H3" s="4">
        <f t="shared" si="1"/>
        <v>0.44745600000000002</v>
      </c>
    </row>
    <row r="4" spans="1:8" x14ac:dyDescent="0.35">
      <c r="A4" t="s">
        <v>77</v>
      </c>
      <c r="B4">
        <v>10428</v>
      </c>
      <c r="C4" s="3">
        <v>2010</v>
      </c>
      <c r="D4" s="3">
        <v>760</v>
      </c>
      <c r="E4" s="3">
        <v>4620</v>
      </c>
      <c r="F4" s="3">
        <v>512</v>
      </c>
      <c r="G4">
        <f t="shared" si="0"/>
        <v>7902</v>
      </c>
      <c r="H4" s="4">
        <f t="shared" si="1"/>
        <v>0.37888377445339472</v>
      </c>
    </row>
    <row r="5" spans="1:8" x14ac:dyDescent="0.35">
      <c r="A5" t="s">
        <v>78</v>
      </c>
      <c r="B5">
        <v>8614</v>
      </c>
      <c r="C5" s="3">
        <v>5374</v>
      </c>
      <c r="G5">
        <f t="shared" si="0"/>
        <v>5374</v>
      </c>
      <c r="H5" s="4">
        <f t="shared" si="1"/>
        <v>0.31193406083120501</v>
      </c>
    </row>
    <row r="6" spans="1:8" x14ac:dyDescent="0.35">
      <c r="A6" t="s">
        <v>79</v>
      </c>
      <c r="B6">
        <v>3495</v>
      </c>
      <c r="C6" s="3">
        <v>3031</v>
      </c>
      <c r="G6">
        <f t="shared" si="0"/>
        <v>3031</v>
      </c>
      <c r="H6" s="4">
        <f t="shared" si="1"/>
        <v>0.4336194563662375</v>
      </c>
    </row>
    <row r="7" spans="1:8" x14ac:dyDescent="0.35">
      <c r="A7" t="s">
        <v>80</v>
      </c>
      <c r="B7">
        <v>1754</v>
      </c>
      <c r="C7" s="3">
        <v>2510</v>
      </c>
      <c r="G7">
        <f t="shared" si="0"/>
        <v>2510</v>
      </c>
      <c r="H7" s="4">
        <f t="shared" si="1"/>
        <v>0.71550741163055875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85" zoomScaleNormal="85" workbookViewId="0">
      <selection activeCell="C12" sqref="C12:M27"/>
    </sheetView>
  </sheetViews>
  <sheetFormatPr defaultColWidth="11.53125" defaultRowHeight="12.75" x14ac:dyDescent="0.35"/>
  <cols>
    <col min="2" max="2" width="15.19921875" customWidth="1"/>
  </cols>
  <sheetData>
    <row r="1" spans="1:5" ht="13.15" x14ac:dyDescent="0.4">
      <c r="A1" s="2" t="s">
        <v>81</v>
      </c>
      <c r="B1" s="2" t="s">
        <v>82</v>
      </c>
      <c r="C1" s="2" t="s">
        <v>83</v>
      </c>
      <c r="D1" s="2" t="s">
        <v>3</v>
      </c>
      <c r="E1" s="2" t="s">
        <v>84</v>
      </c>
    </row>
    <row r="2" spans="1:5" x14ac:dyDescent="0.35">
      <c r="A2" t="str">
        <f>"90+"</f>
        <v>90+</v>
      </c>
      <c r="B2" s="5">
        <v>44235</v>
      </c>
      <c r="C2" s="6">
        <v>1754</v>
      </c>
      <c r="D2" s="7">
        <v>2510</v>
      </c>
      <c r="E2" s="8">
        <f>D2/C2/2</f>
        <v>0.71550741163055875</v>
      </c>
    </row>
    <row r="3" spans="1:5" x14ac:dyDescent="0.35">
      <c r="A3" t="s">
        <v>85</v>
      </c>
      <c r="B3" s="5">
        <v>44239</v>
      </c>
      <c r="C3" s="6">
        <v>3495</v>
      </c>
      <c r="D3" s="7">
        <v>3031</v>
      </c>
      <c r="E3" s="8">
        <f>D3/C3/2</f>
        <v>0.4336194563662375</v>
      </c>
    </row>
    <row r="4" spans="1:5" x14ac:dyDescent="0.35">
      <c r="A4" t="s">
        <v>86</v>
      </c>
      <c r="B4" s="5">
        <v>44256</v>
      </c>
      <c r="C4" s="6">
        <v>8614</v>
      </c>
      <c r="D4" s="7">
        <v>5374</v>
      </c>
      <c r="E4" s="8">
        <f>D4/C4/2</f>
        <v>0.31193406083120501</v>
      </c>
    </row>
    <row r="5" spans="1:5" x14ac:dyDescent="0.35">
      <c r="A5" t="s">
        <v>87</v>
      </c>
      <c r="B5" s="5">
        <v>44258</v>
      </c>
      <c r="C5" s="6">
        <v>10428</v>
      </c>
      <c r="D5" s="7">
        <v>7902</v>
      </c>
      <c r="E5" s="8">
        <f>D5/C5/2</f>
        <v>0.37888377445339472</v>
      </c>
    </row>
    <row r="6" spans="1:5" x14ac:dyDescent="0.35">
      <c r="A6" t="s">
        <v>88</v>
      </c>
      <c r="B6" s="5">
        <v>44277</v>
      </c>
      <c r="C6" s="6">
        <v>15625</v>
      </c>
      <c r="D6" s="7">
        <v>13983</v>
      </c>
      <c r="E6" s="8">
        <f>D6/C6/2</f>
        <v>0.44745600000000002</v>
      </c>
    </row>
    <row r="7" spans="1:5" x14ac:dyDescent="0.35">
      <c r="A7" t="s">
        <v>89</v>
      </c>
      <c r="B7" s="5">
        <v>44280</v>
      </c>
      <c r="C7" s="6">
        <v>20399</v>
      </c>
      <c r="D7" s="6">
        <v>22085</v>
      </c>
      <c r="E7" s="8">
        <f>D7/C7/2</f>
        <v>0.54132555517427328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85" zoomScaleNormal="85" workbookViewId="0">
      <selection activeCell="M6" sqref="M6"/>
    </sheetView>
  </sheetViews>
  <sheetFormatPr defaultColWidth="11.53125" defaultRowHeight="12.75" x14ac:dyDescent="0.35"/>
  <cols>
    <col min="2" max="2" width="15.19921875" customWidth="1"/>
    <col min="8" max="8" width="17.1328125" customWidth="1"/>
    <col min="9" max="9" width="18.46484375" customWidth="1"/>
    <col min="10" max="10" width="18.265625" customWidth="1"/>
  </cols>
  <sheetData>
    <row r="1" spans="1:12" ht="13.15" x14ac:dyDescent="0.4">
      <c r="A1" s="2" t="s">
        <v>81</v>
      </c>
      <c r="B1" s="2" t="s">
        <v>156</v>
      </c>
      <c r="C1" s="2" t="s">
        <v>154</v>
      </c>
      <c r="D1" s="2" t="s">
        <v>155</v>
      </c>
      <c r="E1" s="2" t="s">
        <v>153</v>
      </c>
      <c r="F1" s="2" t="s">
        <v>152</v>
      </c>
      <c r="G1" s="2" t="s">
        <v>151</v>
      </c>
      <c r="H1" s="2" t="s">
        <v>158</v>
      </c>
      <c r="I1" s="2" t="s">
        <v>157</v>
      </c>
      <c r="J1" s="2" t="s">
        <v>161</v>
      </c>
      <c r="K1" s="2" t="s">
        <v>159</v>
      </c>
      <c r="L1" s="2" t="s">
        <v>160</v>
      </c>
    </row>
    <row r="2" spans="1:12" x14ac:dyDescent="0.35">
      <c r="A2" t="str">
        <f>"90+"</f>
        <v>90+</v>
      </c>
      <c r="B2" s="5">
        <v>44235</v>
      </c>
      <c r="C2" s="11">
        <v>1754</v>
      </c>
      <c r="D2" s="12">
        <v>2510</v>
      </c>
      <c r="E2" s="13">
        <v>2510</v>
      </c>
      <c r="F2" s="13">
        <v>1975</v>
      </c>
      <c r="G2">
        <v>1932</v>
      </c>
      <c r="H2" s="8">
        <f>(F2+G2)/D2/2</f>
        <v>0.77828685258964148</v>
      </c>
      <c r="I2" s="16">
        <f>(F2+G2)/C2/2</f>
        <v>1.1137400228050172</v>
      </c>
      <c r="J2" s="16">
        <f>E2/C2</f>
        <v>1.4310148232611175</v>
      </c>
      <c r="K2" s="16">
        <v>1</v>
      </c>
      <c r="L2" s="16">
        <f>MIN(1,(H2+I2)/2)</f>
        <v>0.94601343769732926</v>
      </c>
    </row>
    <row r="3" spans="1:12" x14ac:dyDescent="0.35">
      <c r="A3" t="s">
        <v>85</v>
      </c>
      <c r="B3" s="5">
        <v>44239</v>
      </c>
      <c r="C3" s="11">
        <v>3495</v>
      </c>
      <c r="D3" s="12">
        <v>3428</v>
      </c>
      <c r="E3" s="13">
        <v>3031</v>
      </c>
      <c r="F3" s="13">
        <v>3850</v>
      </c>
      <c r="G3">
        <v>3940</v>
      </c>
      <c r="H3" s="8">
        <f t="shared" ref="H3:H7" si="0">(F3+G3)/D3/2</f>
        <v>1.1362310385064178</v>
      </c>
      <c r="I3" s="16">
        <f t="shared" ref="I3:I7" si="1">(F3+G3)/C3/2</f>
        <v>1.1144492131616595</v>
      </c>
      <c r="J3" s="16">
        <f t="shared" ref="J3:J7" si="2">E3/C3</f>
        <v>0.867238912732475</v>
      </c>
      <c r="K3" s="16">
        <v>0.88</v>
      </c>
      <c r="L3" s="16">
        <f t="shared" ref="L3:L7" si="3">(H3+I3)/2</f>
        <v>1.1253401258340388</v>
      </c>
    </row>
    <row r="4" spans="1:12" x14ac:dyDescent="0.35">
      <c r="A4" t="s">
        <v>86</v>
      </c>
      <c r="B4" s="5">
        <v>44256</v>
      </c>
      <c r="C4" s="11">
        <v>8614</v>
      </c>
      <c r="D4" s="12">
        <v>6889</v>
      </c>
      <c r="E4" s="13">
        <v>5374</v>
      </c>
      <c r="F4" s="13">
        <v>7155</v>
      </c>
      <c r="G4">
        <v>6144</v>
      </c>
      <c r="H4" s="8">
        <f t="shared" si="0"/>
        <v>0.9652344317027145</v>
      </c>
      <c r="I4" s="16">
        <f t="shared" si="1"/>
        <v>0.77194102623635941</v>
      </c>
      <c r="J4" s="16">
        <f t="shared" si="2"/>
        <v>0.62386812166241001</v>
      </c>
      <c r="K4" s="16">
        <v>0.78</v>
      </c>
      <c r="L4" s="16">
        <f t="shared" si="3"/>
        <v>0.86858772896953695</v>
      </c>
    </row>
    <row r="5" spans="1:12" x14ac:dyDescent="0.35">
      <c r="A5" t="s">
        <v>87</v>
      </c>
      <c r="B5" s="5">
        <v>44258</v>
      </c>
      <c r="C5" s="11">
        <v>10428</v>
      </c>
      <c r="D5" s="12">
        <v>10542</v>
      </c>
      <c r="E5" s="13">
        <v>7902</v>
      </c>
      <c r="F5" s="13">
        <v>10651</v>
      </c>
      <c r="G5">
        <v>5672</v>
      </c>
      <c r="H5" s="8">
        <f t="shared" si="0"/>
        <v>0.77418895845190661</v>
      </c>
      <c r="I5" s="16">
        <f t="shared" si="1"/>
        <v>0.78265247410817029</v>
      </c>
      <c r="J5" s="16">
        <f t="shared" si="2"/>
        <v>0.75776754890678943</v>
      </c>
      <c r="K5" s="16">
        <f>(41+100)/2/100</f>
        <v>0.70499999999999996</v>
      </c>
      <c r="L5" s="16">
        <f t="shared" si="3"/>
        <v>0.7784207162800385</v>
      </c>
    </row>
    <row r="6" spans="1:12" x14ac:dyDescent="0.35">
      <c r="A6" t="s">
        <v>88</v>
      </c>
      <c r="B6" s="5">
        <v>44277</v>
      </c>
      <c r="C6" s="11">
        <v>15625</v>
      </c>
      <c r="D6" s="12">
        <v>13983</v>
      </c>
      <c r="E6" s="13">
        <v>13983</v>
      </c>
      <c r="F6" s="13">
        <v>13615</v>
      </c>
      <c r="G6">
        <v>4577</v>
      </c>
      <c r="H6" s="8">
        <f t="shared" si="0"/>
        <v>0.65050418365157692</v>
      </c>
      <c r="I6" s="16">
        <f t="shared" si="1"/>
        <v>0.58214399999999999</v>
      </c>
      <c r="J6" s="16">
        <f t="shared" si="2"/>
        <v>0.89491200000000004</v>
      </c>
      <c r="K6" s="16">
        <v>1</v>
      </c>
      <c r="L6" s="16">
        <f t="shared" si="3"/>
        <v>0.6163240918257884</v>
      </c>
    </row>
    <row r="7" spans="1:12" x14ac:dyDescent="0.35">
      <c r="A7" t="s">
        <v>89</v>
      </c>
      <c r="B7" s="5">
        <v>44280</v>
      </c>
      <c r="C7" s="11">
        <v>20399</v>
      </c>
      <c r="D7" s="12">
        <v>22085</v>
      </c>
      <c r="E7" s="11">
        <v>22085</v>
      </c>
      <c r="F7" s="11">
        <v>21511</v>
      </c>
      <c r="G7">
        <v>8260</v>
      </c>
      <c r="H7" s="8">
        <f t="shared" si="0"/>
        <v>0.67400950871632326</v>
      </c>
      <c r="I7" s="16">
        <f t="shared" si="1"/>
        <v>0.72971714299720569</v>
      </c>
      <c r="J7" s="16">
        <f t="shared" si="2"/>
        <v>1.0826511103485466</v>
      </c>
      <c r="K7" s="16">
        <v>1</v>
      </c>
      <c r="L7" s="16">
        <f t="shared" si="3"/>
        <v>0.70186332585676448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4" sqref="E4:E17"/>
    </sheetView>
  </sheetViews>
  <sheetFormatPr defaultRowHeight="12.75" x14ac:dyDescent="0.35"/>
  <sheetData>
    <row r="1" spans="1:8" ht="14.65" x14ac:dyDescent="0.45">
      <c r="A1" s="14" t="s">
        <v>112</v>
      </c>
      <c r="B1" s="14"/>
      <c r="C1" s="14"/>
      <c r="D1" s="14"/>
      <c r="E1" s="14"/>
      <c r="F1" s="14"/>
      <c r="G1" s="14"/>
      <c r="H1" s="14"/>
    </row>
    <row r="2" spans="1:8" ht="15.75" x14ac:dyDescent="0.5">
      <c r="A2" s="10" t="s">
        <v>113</v>
      </c>
      <c r="B2" s="10" t="s">
        <v>114</v>
      </c>
      <c r="C2" s="10" t="s">
        <v>115</v>
      </c>
      <c r="D2" s="10" t="s">
        <v>116</v>
      </c>
      <c r="E2" s="10" t="s">
        <v>117</v>
      </c>
      <c r="F2" s="10" t="s">
        <v>118</v>
      </c>
      <c r="G2" s="10"/>
      <c r="H2" s="10"/>
    </row>
    <row r="3" spans="1:8" ht="15.75" x14ac:dyDescent="0.5">
      <c r="A3" s="10" t="s">
        <v>81</v>
      </c>
      <c r="B3" s="10" t="s">
        <v>83</v>
      </c>
      <c r="C3" s="10" t="s">
        <v>147</v>
      </c>
      <c r="D3" s="10" t="s">
        <v>84</v>
      </c>
      <c r="E3" s="10" t="s">
        <v>148</v>
      </c>
      <c r="F3" s="10" t="s">
        <v>84</v>
      </c>
      <c r="G3" s="10"/>
      <c r="H3" s="10"/>
    </row>
    <row r="4" spans="1:8" ht="15.75" x14ac:dyDescent="0.5">
      <c r="A4" s="10" t="s">
        <v>90</v>
      </c>
      <c r="B4" s="9">
        <v>2510</v>
      </c>
      <c r="C4" s="9">
        <v>1975</v>
      </c>
      <c r="D4" s="9" t="s">
        <v>119</v>
      </c>
      <c r="E4" s="9">
        <v>1932</v>
      </c>
      <c r="F4" s="9" t="s">
        <v>120</v>
      </c>
      <c r="G4" s="10"/>
      <c r="H4" s="10"/>
    </row>
    <row r="5" spans="1:8" ht="15.75" x14ac:dyDescent="0.5">
      <c r="A5" s="10" t="s">
        <v>91</v>
      </c>
      <c r="B5" s="9">
        <v>3428</v>
      </c>
      <c r="C5" s="9">
        <v>3850</v>
      </c>
      <c r="D5" s="9" t="s">
        <v>121</v>
      </c>
      <c r="E5" s="9">
        <v>3940</v>
      </c>
      <c r="F5" s="9" t="s">
        <v>122</v>
      </c>
      <c r="G5" s="10"/>
      <c r="H5" s="10"/>
    </row>
    <row r="6" spans="1:8" ht="15.75" x14ac:dyDescent="0.5">
      <c r="A6" s="10" t="s">
        <v>92</v>
      </c>
      <c r="B6" s="9">
        <v>6889</v>
      </c>
      <c r="C6" s="9">
        <v>7155</v>
      </c>
      <c r="D6" s="9" t="s">
        <v>123</v>
      </c>
      <c r="E6" s="9">
        <v>6144</v>
      </c>
      <c r="F6" s="9" t="s">
        <v>124</v>
      </c>
      <c r="G6" s="10"/>
      <c r="H6" s="10"/>
    </row>
    <row r="7" spans="1:8" ht="15.75" x14ac:dyDescent="0.5">
      <c r="A7" s="10" t="s">
        <v>93</v>
      </c>
      <c r="B7" s="9">
        <v>5422</v>
      </c>
      <c r="C7" s="9">
        <v>5940</v>
      </c>
      <c r="D7" s="9" t="s">
        <v>125</v>
      </c>
      <c r="E7" s="9">
        <v>5672</v>
      </c>
      <c r="F7" s="9" t="s">
        <v>126</v>
      </c>
      <c r="G7" s="10"/>
      <c r="H7" s="10"/>
    </row>
    <row r="8" spans="1:8" ht="15.75" x14ac:dyDescent="0.5">
      <c r="A8" s="10" t="s">
        <v>94</v>
      </c>
      <c r="B8" s="9">
        <v>5120</v>
      </c>
      <c r="C8" s="9">
        <v>4711</v>
      </c>
      <c r="D8" s="9" t="s">
        <v>127</v>
      </c>
      <c r="E8" s="9">
        <v>4577</v>
      </c>
      <c r="F8" s="9" t="s">
        <v>128</v>
      </c>
      <c r="G8" s="10"/>
      <c r="H8" s="10"/>
    </row>
    <row r="9" spans="1:8" ht="15.75" x14ac:dyDescent="0.5">
      <c r="A9" s="10" t="s">
        <v>95</v>
      </c>
      <c r="B9" s="9">
        <v>8688</v>
      </c>
      <c r="C9" s="9">
        <v>8500</v>
      </c>
      <c r="D9" s="9" t="s">
        <v>129</v>
      </c>
      <c r="E9" s="9">
        <v>8260</v>
      </c>
      <c r="F9" s="9" t="s">
        <v>130</v>
      </c>
      <c r="G9" s="10"/>
      <c r="H9" s="10"/>
    </row>
    <row r="10" spans="1:8" ht="15.75" x14ac:dyDescent="0.5">
      <c r="A10" s="10" t="s">
        <v>96</v>
      </c>
      <c r="B10" s="9">
        <v>10590</v>
      </c>
      <c r="C10" s="9">
        <v>10230</v>
      </c>
      <c r="D10" s="9" t="s">
        <v>131</v>
      </c>
      <c r="E10" s="9">
        <v>9826</v>
      </c>
      <c r="F10" s="9" t="s">
        <v>132</v>
      </c>
      <c r="G10" s="10"/>
      <c r="H10" s="10"/>
    </row>
    <row r="11" spans="1:8" ht="15.75" x14ac:dyDescent="0.5">
      <c r="A11" s="10" t="s">
        <v>97</v>
      </c>
      <c r="B11" s="9">
        <v>3650</v>
      </c>
      <c r="C11" s="9">
        <v>3764</v>
      </c>
      <c r="D11" s="9" t="s">
        <v>133</v>
      </c>
      <c r="E11" s="9">
        <v>3277</v>
      </c>
      <c r="F11" s="9" t="s">
        <v>134</v>
      </c>
      <c r="G11" s="10"/>
      <c r="H11" s="10"/>
    </row>
    <row r="12" spans="1:8" ht="15.75" x14ac:dyDescent="0.5">
      <c r="A12" s="10" t="s">
        <v>98</v>
      </c>
      <c r="B12" s="9">
        <v>4040</v>
      </c>
      <c r="C12" s="9">
        <v>4031</v>
      </c>
      <c r="D12" s="9" t="s">
        <v>135</v>
      </c>
      <c r="E12" s="9">
        <v>512</v>
      </c>
      <c r="F12" s="9" t="s">
        <v>136</v>
      </c>
      <c r="G12" s="10"/>
      <c r="H12" s="10"/>
    </row>
    <row r="13" spans="1:8" ht="15.75" x14ac:dyDescent="0.5">
      <c r="A13" s="10" t="s">
        <v>99</v>
      </c>
      <c r="B13" s="9">
        <v>9100</v>
      </c>
      <c r="C13" s="9">
        <v>8601</v>
      </c>
      <c r="D13" s="9" t="s">
        <v>137</v>
      </c>
      <c r="E13" s="9">
        <v>1139</v>
      </c>
      <c r="F13" s="9" t="s">
        <v>138</v>
      </c>
      <c r="G13" s="10"/>
      <c r="H13" s="10"/>
    </row>
    <row r="14" spans="1:8" ht="15.75" x14ac:dyDescent="0.5">
      <c r="A14" s="10" t="s">
        <v>100</v>
      </c>
      <c r="B14" s="9">
        <v>4740</v>
      </c>
      <c r="C14" s="9">
        <v>4619</v>
      </c>
      <c r="D14" s="9" t="s">
        <v>139</v>
      </c>
      <c r="E14" s="9">
        <v>2514</v>
      </c>
      <c r="F14" s="9" t="s">
        <v>140</v>
      </c>
      <c r="G14" s="10"/>
      <c r="H14" s="10"/>
    </row>
    <row r="15" spans="1:8" ht="15.75" x14ac:dyDescent="0.5">
      <c r="A15" s="10" t="s">
        <v>101</v>
      </c>
      <c r="B15" s="9">
        <v>4960</v>
      </c>
      <c r="C15" s="9">
        <v>4834</v>
      </c>
      <c r="D15" s="9" t="s">
        <v>141</v>
      </c>
      <c r="E15" s="9">
        <v>455</v>
      </c>
      <c r="F15" s="9" t="s">
        <v>142</v>
      </c>
      <c r="G15" s="10"/>
      <c r="H15" s="10"/>
    </row>
    <row r="16" spans="1:8" ht="15.75" x14ac:dyDescent="0.5">
      <c r="A16" s="10" t="s">
        <v>102</v>
      </c>
      <c r="B16" s="9">
        <v>16295</v>
      </c>
      <c r="C16" s="9">
        <v>15466</v>
      </c>
      <c r="D16" s="9" t="s">
        <v>143</v>
      </c>
      <c r="E16" s="9">
        <v>1126</v>
      </c>
      <c r="F16" s="9" t="s">
        <v>144</v>
      </c>
      <c r="G16" s="10"/>
      <c r="H16" s="10"/>
    </row>
    <row r="17" spans="1:6" ht="15.75" x14ac:dyDescent="0.5">
      <c r="A17" s="10" t="s">
        <v>145</v>
      </c>
      <c r="B17" s="9">
        <v>85432</v>
      </c>
      <c r="C17" s="9">
        <v>83676</v>
      </c>
      <c r="D17" s="9" t="s">
        <v>146</v>
      </c>
      <c r="E17" s="9">
        <v>49374</v>
      </c>
      <c r="F17" s="9"/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14" sqref="F14"/>
    </sheetView>
  </sheetViews>
  <sheetFormatPr defaultRowHeight="12.75" x14ac:dyDescent="0.35"/>
  <sheetData>
    <row r="1" spans="1:13" ht="13.15" x14ac:dyDescent="0.4">
      <c r="A1" s="15" t="s">
        <v>149</v>
      </c>
    </row>
    <row r="2" spans="1:13" s="15" customFormat="1" ht="13.15" x14ac:dyDescent="0.4">
      <c r="A2" s="15" t="s">
        <v>103</v>
      </c>
      <c r="B2" s="15" t="s">
        <v>104</v>
      </c>
      <c r="C2" s="15" t="s">
        <v>147</v>
      </c>
      <c r="D2" s="15" t="s">
        <v>148</v>
      </c>
      <c r="E2" s="15" t="s">
        <v>105</v>
      </c>
      <c r="F2" s="15" t="s">
        <v>104</v>
      </c>
      <c r="G2" s="15" t="s">
        <v>110</v>
      </c>
      <c r="H2" s="15" t="s">
        <v>150</v>
      </c>
      <c r="I2" s="15" t="s">
        <v>111</v>
      </c>
      <c r="J2" s="15" t="s">
        <v>106</v>
      </c>
      <c r="K2" s="15" t="s">
        <v>107</v>
      </c>
      <c r="L2" s="15" t="s">
        <v>108</v>
      </c>
      <c r="M2" s="15" t="s">
        <v>109</v>
      </c>
    </row>
    <row r="3" spans="1:13" ht="15.75" x14ac:dyDescent="0.5">
      <c r="A3" s="10" t="s">
        <v>90</v>
      </c>
      <c r="B3" s="9">
        <v>2510</v>
      </c>
      <c r="C3" s="9">
        <v>1975</v>
      </c>
      <c r="D3" s="9">
        <v>1932</v>
      </c>
      <c r="E3" t="str">
        <f>"90+"</f>
        <v>90+</v>
      </c>
      <c r="F3">
        <f>B3</f>
        <v>2510</v>
      </c>
      <c r="G3">
        <f>C3</f>
        <v>1975</v>
      </c>
      <c r="H3">
        <f>D3</f>
        <v>1932</v>
      </c>
      <c r="I3">
        <f>G3/F3</f>
        <v>0.78685258964143423</v>
      </c>
      <c r="J3" s="6">
        <v>1754</v>
      </c>
      <c r="K3">
        <f>F3/J3</f>
        <v>1.4310148232611175</v>
      </c>
      <c r="L3">
        <v>0.71550741163055875</v>
      </c>
      <c r="M3">
        <f>paper_data_new!F2/F3</f>
        <v>0.78685258964143423</v>
      </c>
    </row>
    <row r="4" spans="1:13" ht="15.75" x14ac:dyDescent="0.5">
      <c r="A4" s="10" t="s">
        <v>91</v>
      </c>
      <c r="B4" s="9">
        <v>3428</v>
      </c>
      <c r="C4" s="9">
        <v>3850</v>
      </c>
      <c r="D4" s="9">
        <v>3940</v>
      </c>
      <c r="E4" t="s">
        <v>85</v>
      </c>
      <c r="F4">
        <f>B4</f>
        <v>3428</v>
      </c>
      <c r="G4">
        <f>C4</f>
        <v>3850</v>
      </c>
      <c r="H4">
        <f>D4</f>
        <v>3940</v>
      </c>
      <c r="I4">
        <f>G4/F4</f>
        <v>1.1231038506417736</v>
      </c>
      <c r="J4" s="6">
        <v>3495</v>
      </c>
      <c r="K4">
        <f>F4/J4</f>
        <v>0.98082975679542206</v>
      </c>
      <c r="L4">
        <v>0.4336194563662375</v>
      </c>
      <c r="M4">
        <f>paper_data_new!F3/F4</f>
        <v>1.1231038506417736</v>
      </c>
    </row>
    <row r="5" spans="1:13" ht="15.75" x14ac:dyDescent="0.5">
      <c r="A5" s="10" t="s">
        <v>92</v>
      </c>
      <c r="B5" s="9">
        <v>6889</v>
      </c>
      <c r="C5" s="9">
        <v>7155</v>
      </c>
      <c r="D5" s="9">
        <v>6144</v>
      </c>
      <c r="E5" t="s">
        <v>86</v>
      </c>
      <c r="F5">
        <f>B5</f>
        <v>6889</v>
      </c>
      <c r="G5">
        <f>C5</f>
        <v>7155</v>
      </c>
      <c r="H5">
        <f>D5</f>
        <v>6144</v>
      </c>
      <c r="I5">
        <f>G5/F5</f>
        <v>1.0386122804470896</v>
      </c>
      <c r="J5" s="6">
        <v>8614</v>
      </c>
      <c r="K5">
        <f>F5/J5</f>
        <v>0.79974460181100537</v>
      </c>
      <c r="L5">
        <v>0.31193406083120501</v>
      </c>
      <c r="M5">
        <f>paper_data_new!F4/F5</f>
        <v>1.0386122804470896</v>
      </c>
    </row>
    <row r="6" spans="1:13" ht="15.75" x14ac:dyDescent="0.5">
      <c r="A6" s="10" t="s">
        <v>93</v>
      </c>
      <c r="B6" s="9">
        <v>5422</v>
      </c>
      <c r="C6" s="9">
        <v>5940</v>
      </c>
      <c r="D6" s="9">
        <v>5672</v>
      </c>
      <c r="E6" t="s">
        <v>87</v>
      </c>
      <c r="F6">
        <f>B7+B6</f>
        <v>10542</v>
      </c>
      <c r="G6">
        <f>C7+C6</f>
        <v>10651</v>
      </c>
      <c r="H6">
        <f>D6</f>
        <v>5672</v>
      </c>
      <c r="I6">
        <f>G6/F6</f>
        <v>1.0103395940049327</v>
      </c>
      <c r="J6" s="6">
        <v>10428</v>
      </c>
      <c r="K6">
        <f>F6/J6</f>
        <v>1.0109321058688148</v>
      </c>
      <c r="L6">
        <v>0.37888377445339472</v>
      </c>
      <c r="M6">
        <f>paper_data_new!F5/F6</f>
        <v>1.0103395940049327</v>
      </c>
    </row>
    <row r="7" spans="1:13" ht="15.75" x14ac:dyDescent="0.5">
      <c r="A7" s="10" t="s">
        <v>94</v>
      </c>
      <c r="B7" s="9">
        <v>5120</v>
      </c>
      <c r="C7" s="9">
        <v>4711</v>
      </c>
      <c r="D7" s="9">
        <v>4577</v>
      </c>
      <c r="E7" t="s">
        <v>88</v>
      </c>
      <c r="F7">
        <f>B9/2+B8</f>
        <v>13983</v>
      </c>
      <c r="G7">
        <f>C9/2+C8</f>
        <v>13615</v>
      </c>
      <c r="H7">
        <f>D7</f>
        <v>4577</v>
      </c>
      <c r="I7">
        <f>G7/F7</f>
        <v>0.97368232854180081</v>
      </c>
      <c r="J7" s="6">
        <v>15625</v>
      </c>
      <c r="K7">
        <f>F7/J7</f>
        <v>0.89491200000000004</v>
      </c>
      <c r="L7">
        <v>0.44745600000000002</v>
      </c>
      <c r="M7">
        <f>paper_data_new!F6/F7</f>
        <v>0.97368232854180081</v>
      </c>
    </row>
    <row r="8" spans="1:13" ht="15.75" x14ac:dyDescent="0.5">
      <c r="A8" s="10" t="s">
        <v>95</v>
      </c>
      <c r="B8" s="9">
        <v>8688</v>
      </c>
      <c r="C8" s="9">
        <v>8500</v>
      </c>
      <c r="D8" s="9">
        <v>8260</v>
      </c>
      <c r="E8" t="s">
        <v>89</v>
      </c>
      <c r="F8">
        <f>SUM(B10:B12)+B9/2</f>
        <v>22085</v>
      </c>
      <c r="G8">
        <f>SUM(C10:C12)+C9/2</f>
        <v>21511</v>
      </c>
      <c r="H8">
        <f>D8</f>
        <v>8260</v>
      </c>
      <c r="I8">
        <f>G8/F8</f>
        <v>0.9740095087163233</v>
      </c>
      <c r="J8" s="6">
        <v>20399</v>
      </c>
      <c r="K8">
        <f>F8/J8</f>
        <v>1.0826511103485466</v>
      </c>
      <c r="L8">
        <v>0.54132555517427328</v>
      </c>
      <c r="M8">
        <f>paper_data_new!F7/F8</f>
        <v>0.9740095087163233</v>
      </c>
    </row>
    <row r="9" spans="1:13" ht="15.75" x14ac:dyDescent="0.5">
      <c r="A9" s="10" t="s">
        <v>96</v>
      </c>
      <c r="B9" s="9">
        <v>10590</v>
      </c>
      <c r="C9" s="9">
        <v>10230</v>
      </c>
      <c r="D9" s="9">
        <v>9826</v>
      </c>
    </row>
    <row r="10" spans="1:13" ht="15.75" x14ac:dyDescent="0.5">
      <c r="A10" s="10" t="s">
        <v>97</v>
      </c>
      <c r="B10" s="9">
        <v>3650</v>
      </c>
      <c r="C10" s="9">
        <v>3764</v>
      </c>
      <c r="D10" s="9">
        <v>3277</v>
      </c>
    </row>
    <row r="11" spans="1:13" ht="15.75" x14ac:dyDescent="0.5">
      <c r="A11" s="10" t="s">
        <v>98</v>
      </c>
      <c r="B11" s="9">
        <v>4040</v>
      </c>
      <c r="C11" s="9">
        <v>4031</v>
      </c>
      <c r="D11" s="9">
        <v>512</v>
      </c>
    </row>
    <row r="12" spans="1:13" ht="15.75" x14ac:dyDescent="0.5">
      <c r="A12" s="10" t="s">
        <v>99</v>
      </c>
      <c r="B12" s="9">
        <v>9100</v>
      </c>
      <c r="C12" s="9">
        <v>8601</v>
      </c>
      <c r="D12" s="9">
        <v>1139</v>
      </c>
    </row>
    <row r="13" spans="1:13" ht="15.75" x14ac:dyDescent="0.5">
      <c r="A13" s="10" t="s">
        <v>100</v>
      </c>
      <c r="B13" s="9">
        <v>4740</v>
      </c>
      <c r="C13" s="9">
        <v>4619</v>
      </c>
      <c r="D13" s="9">
        <v>2514</v>
      </c>
    </row>
    <row r="14" spans="1:13" ht="15.75" x14ac:dyDescent="0.5">
      <c r="A14" s="10" t="s">
        <v>101</v>
      </c>
      <c r="B14" s="9">
        <v>4960</v>
      </c>
      <c r="C14" s="9">
        <v>4834</v>
      </c>
      <c r="D14" s="9">
        <v>455</v>
      </c>
    </row>
    <row r="15" spans="1:13" ht="15.75" x14ac:dyDescent="0.5">
      <c r="A15" s="10" t="s">
        <v>102</v>
      </c>
      <c r="B15" s="9">
        <v>16295</v>
      </c>
      <c r="C15" s="9">
        <v>15466</v>
      </c>
      <c r="D15" s="9">
        <v>1126</v>
      </c>
    </row>
    <row r="16" spans="1:13" ht="15.75" x14ac:dyDescent="0.5">
      <c r="B16" s="9">
        <v>85432</v>
      </c>
      <c r="D16" s="9">
        <v>49374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vaccines</vt:lpstr>
      <vt:lpstr>coverage</vt:lpstr>
      <vt:lpstr>paper_data_orig</vt:lpstr>
      <vt:lpstr>paper_data_new</vt:lpstr>
      <vt:lpstr>new_data_email</vt:lpstr>
      <vt:lpstr>email_calculations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cliffk</cp:lastModifiedBy>
  <cp:revision>11</cp:revision>
  <dcterms:modified xsi:type="dcterms:W3CDTF">2021-07-14T04:43:59Z</dcterms:modified>
  <dc:language>en-US</dc:language>
</cp:coreProperties>
</file>