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Y:\Clienti\IL Sole24ore\Settimana fiscale\03-Check list - Indicatori Allarme\"/>
    </mc:Choice>
  </mc:AlternateContent>
  <xr:revisionPtr revIDLastSave="0" documentId="13_ncr:1_{BF7C43D1-5202-4EEA-9BB6-154E9C0E7C4F}" xr6:coauthVersionLast="47" xr6:coauthVersionMax="47" xr10:uidLastSave="{00000000-0000-0000-0000-000000000000}"/>
  <bookViews>
    <workbookView xWindow="-30840" yWindow="-120" windowWidth="30960" windowHeight="16800" activeTab="3" xr2:uid="{DA4C723E-624A-42FF-97A0-B69E606A630E}"/>
  </bookViews>
  <sheets>
    <sheet name="InserimentoDati" sheetId="1" r:id="rId1"/>
    <sheet name="Foglio2" sheetId="2" state="veryHidden" r:id="rId2"/>
    <sheet name="Relazione" sheetId="4" r:id="rId3"/>
    <sheet name="Relazione Compatta (Solo 365)" sheetId="5" r:id="rId4"/>
  </sheets>
  <definedNames>
    <definedName name="_xlnm.Print_Area" localSheetId="0">InserimentoDati!$C$10:$K$72</definedName>
    <definedName name="_xlnm.Print_Area" localSheetId="2">Relazione!$B$2:$B$22</definedName>
    <definedName name="_xlnm.Print_Area" localSheetId="3">'Relazione Compatta (Solo 365)'!$A$3:$A$19</definedName>
    <definedName name="d">InserimentoDati!$F$5</definedName>
    <definedName name="giallo">Foglio2!$A$4</definedName>
    <definedName name="nodip">InserimentoDati!$A$7</definedName>
    <definedName name="rosso">Foglio2!$A$2</definedName>
    <definedName name="Semaf1">INDIRECT(InserimentoDati!$L$26)</definedName>
    <definedName name="Semaf2">INDIRECT(InserimentoDati!$L$34)</definedName>
    <definedName name="Semaf3">INDIRECT(InserimentoDati!$L$20)</definedName>
    <definedName name="Semaf4">INDIRECT(InserimentoDati!$L$43)</definedName>
    <definedName name="Semaf5">INDIRECT(InserimentoDati!$L$51)</definedName>
    <definedName name="Semaf6">INDIRECT(InserimentoDati!$L$59)</definedName>
    <definedName name="Semaf7">INDIRECT(InserimentoDati!$L$68)</definedName>
    <definedName name="Semaf8">INDIRECT(InserimentoDati!$L$8)</definedName>
    <definedName name="verde">Foglio2!$A$3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2" i="4"/>
  <c r="A4" i="5"/>
  <c r="A3" i="5"/>
  <c r="H31" i="1" l="1"/>
  <c r="C10" i="1"/>
  <c r="M72" i="1" l="1"/>
  <c r="M71" i="1"/>
  <c r="B16" i="4"/>
  <c r="L16" i="1"/>
  <c r="B10" i="4" s="1"/>
  <c r="L15" i="1"/>
  <c r="B9" i="4" s="1"/>
  <c r="L14" i="1"/>
  <c r="B8" i="4" s="1"/>
  <c r="L8" i="1"/>
  <c r="A68" i="1"/>
  <c r="H71" i="1"/>
  <c r="J68" i="1" s="1" a="1"/>
  <c r="J68" i="1" s="1"/>
  <c r="G71" i="1"/>
  <c r="A59" i="1"/>
  <c r="H64" i="1"/>
  <c r="J59" i="1" s="1" a="1"/>
  <c r="J59" i="1" s="1"/>
  <c r="M63" i="1" s="1"/>
  <c r="G64" i="1"/>
  <c r="H56" i="1"/>
  <c r="J51" i="1" s="1" a="1"/>
  <c r="J51" i="1" s="1"/>
  <c r="M54" i="1" s="1"/>
  <c r="G56" i="1"/>
  <c r="M44" i="1"/>
  <c r="H48" i="1"/>
  <c r="J43" i="1" s="1" a="1"/>
  <c r="J43" i="1" s="1"/>
  <c r="G48" i="1"/>
  <c r="A43" i="1"/>
  <c r="G23" i="1"/>
  <c r="F40" i="1"/>
  <c r="E40" i="1"/>
  <c r="G39" i="1"/>
  <c r="H39" i="1"/>
  <c r="G38" i="1"/>
  <c r="H38" i="1"/>
  <c r="G37" i="1"/>
  <c r="H37" i="1" s="1"/>
  <c r="J26" i="1" a="1"/>
  <c r="J26" i="1" s="1"/>
  <c r="L26" i="1" s="1"/>
  <c r="G31" i="1"/>
  <c r="H23" i="1" l="1"/>
  <c r="J20" i="1" s="1" a="1"/>
  <c r="J20" i="1" s="1"/>
  <c r="M8" i="1"/>
  <c r="B7" i="4" s="1"/>
  <c r="M30" i="1"/>
  <c r="M26" i="1" s="1"/>
  <c r="B14" i="4" s="1"/>
  <c r="L68" i="1"/>
  <c r="M29" i="1"/>
  <c r="M62" i="1"/>
  <c r="M46" i="1"/>
  <c r="M47" i="1"/>
  <c r="L59" i="1"/>
  <c r="M59" i="1"/>
  <c r="L51" i="1"/>
  <c r="M55" i="1"/>
  <c r="L43" i="1"/>
  <c r="G40" i="1"/>
  <c r="H40" i="1" s="1"/>
  <c r="J34" i="1" s="1"/>
  <c r="M37" i="1" s="1"/>
  <c r="L20" i="1" l="1"/>
  <c r="M24" i="1"/>
  <c r="M23" i="1"/>
  <c r="M43" i="1"/>
  <c r="B17" i="4" s="1"/>
  <c r="M68" i="1"/>
  <c r="B19" i="4" s="1"/>
  <c r="M51" i="1"/>
  <c r="B18" i="4" s="1"/>
  <c r="M38" i="1"/>
  <c r="L34" i="1"/>
  <c r="M77" i="1" s="1"/>
  <c r="M20" i="1" l="1"/>
  <c r="B13" i="4" s="1"/>
  <c r="L74" i="1"/>
  <c r="M75" i="1"/>
  <c r="M76" i="1"/>
  <c r="N76" i="1" s="1"/>
  <c r="M34" i="1"/>
  <c r="B15" i="4" s="1"/>
  <c r="N77" i="1" l="1"/>
  <c r="N74" i="1" l="1"/>
  <c r="B22" i="4" s="1"/>
  <c r="A5" i="5" s="1" a="1"/>
  <c r="A5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<sst xmlns="http://schemas.openxmlformats.org/spreadsheetml/2006/main" count="122" uniqueCount="67">
  <si>
    <t>Debiti vs dipendenti (scaduti da 30gg)/Importo retribuzioni &lt; 2</t>
  </si>
  <si>
    <t>Debiti scaduti da oltre 90gg / Debiti Totali &lt; 0,5</t>
  </si>
  <si>
    <t>Sconfini oltre 60 gg / Totale esposizioni &gt; 0,05</t>
  </si>
  <si>
    <t>rosso</t>
  </si>
  <si>
    <t>verde</t>
  </si>
  <si>
    <t>giallo</t>
  </si>
  <si>
    <t xml:space="preserve">•per le imprese individuali, all'importo di euro 100.000, </t>
  </si>
  <si>
    <t>Tipo impresa</t>
  </si>
  <si>
    <t>Importo delle retribuzioni</t>
  </si>
  <si>
    <t>Debiti Vs Dipendenti</t>
  </si>
  <si>
    <t>Scaduti da oltre 30 gg</t>
  </si>
  <si>
    <t>Altri</t>
  </si>
  <si>
    <t>Totale</t>
  </si>
  <si>
    <t>Voce di Bilancio</t>
  </si>
  <si>
    <t>Indicatore</t>
  </si>
  <si>
    <r>
      <t xml:space="preserve">•l'esistenza di crediti affidati per la riscossione, autodichiarati o definitivamente accertati e scaduti </t>
    </r>
    <r>
      <rPr>
        <b/>
        <sz val="11"/>
        <color theme="1"/>
        <rFont val="Verdana"/>
        <family val="2"/>
      </rPr>
      <t>da oltre novanta giorni, superiori</t>
    </r>
    <r>
      <rPr>
        <sz val="11"/>
        <color theme="1"/>
        <rFont val="Verdana"/>
        <family val="2"/>
      </rPr>
      <t xml:space="preserve">, </t>
    </r>
  </si>
  <si>
    <t>Scaduti da oltre 60 gg</t>
  </si>
  <si>
    <t>Autoliquidanti</t>
  </si>
  <si>
    <t>Rischi a revoca</t>
  </si>
  <si>
    <t>Rischi a scadenza</t>
  </si>
  <si>
    <t>Data verifica</t>
  </si>
  <si>
    <t>Nome Impresa</t>
  </si>
  <si>
    <t>Non si segnalano sconfini superiori a 60 giorni</t>
  </si>
  <si>
    <t>Dall'esame della Centrale Rischi è emerso quanto di seguito riportato.</t>
  </si>
  <si>
    <t>Debiti</t>
  </si>
  <si>
    <t>Scaduti da oltre 90 gg</t>
  </si>
  <si>
    <t>Impresa senza lavoratori subordinati</t>
  </si>
  <si>
    <t>Contributi dovuti nell'anno precedente</t>
  </si>
  <si>
    <t xml:space="preserve">Contributi INPS </t>
  </si>
  <si>
    <t>Contributi INPS scaduti da oltre 90 gg</t>
  </si>
  <si>
    <t>Non si segnalano contributi INPS non versati da oltre 90 giorni</t>
  </si>
  <si>
    <t>Contributi INAIL scaduti da oltre 90 gg</t>
  </si>
  <si>
    <t>Non si segnalano contributi INAIL non versati da oltre 90 giorni</t>
  </si>
  <si>
    <t>Contributi INAIL</t>
  </si>
  <si>
    <t>Debiti IVA Scaduti</t>
  </si>
  <si>
    <t>Debiti IVA</t>
  </si>
  <si>
    <t>Volume d'affari dichiarazione anno d'imposta precedente</t>
  </si>
  <si>
    <t>Scaduti</t>
  </si>
  <si>
    <t>Debiti verso Agenzia Entrate e Riscossione</t>
  </si>
  <si>
    <t>Debiti al ruolo</t>
  </si>
  <si>
    <t>L'assetto aziendale è idoneo a:</t>
  </si>
  <si>
    <t>a) rilevare eventuali squilibri di carattere patrimoniale o economico-finanziario, rapportati alle specifiche caratteristiche dell’impresa e dell’attività imprenditoriale svolta dal debitore;</t>
  </si>
  <si>
    <t>b) verificare la sostenibilità dei debiti e le prospettive di continuità aziendale almeno per i dodici mesi successivi e rilevare i segnali di cui al comma 4;</t>
  </si>
  <si>
    <t>c) ricavare le informazioni necessarie a utilizzare la lista di controllo particolareggiata (cd check list) e a effettuare il test pratico per la verifica della ragionevole perseguibilità del risanamento di cui all’articolo 13, al comma 2.</t>
  </si>
  <si>
    <t>VERIFICA ADEGUATO ASSETTO</t>
  </si>
  <si>
    <t>VERIFICA INDICATORI</t>
  </si>
  <si>
    <t>Nessun indicatore di allerta segnala anomalie di alcun tipo. Si raccomanda di verificare periodicamente la situazione al fine di individuare altri fattori connessi alla continuità aziendale.</t>
  </si>
  <si>
    <t>Relazione in merito alla verifica dell'adeguato assetto e alla presenza di segnali indicativi di uno stato di crisi e/o difficoltà economica e finanziaria</t>
  </si>
  <si>
    <t>Caratteristiche dell'assetto dell'impresa</t>
  </si>
  <si>
    <t>l'assetto dell'azienda appare adeguato alle finalità di cui all'art. 3 del Codice della crisi di impresa e dell'insolvenza, per motivazioni di seguito descritte.</t>
  </si>
  <si>
    <t>l'assetto dell'azienda appare non del tutto adeguato alle finalità di cui all'art. 3 del Codice della crisi di impresa e dell'insolvenza, per motivazioni di seguito descritte.</t>
  </si>
  <si>
    <t>l'assetto dell'azienda non appare adeguato alle finalità di cui all'art. 3 del Codice della crisi di impresa e dell'insolvenza, per motivazioni di seguito descritte.</t>
  </si>
  <si>
    <t xml:space="preserve">Dall'esame dell'assetto contabile, amministrativo e organizzativo dell'impresa è emerso che </t>
  </si>
  <si>
    <t>Esame dei segnali rilevatori di uno stato di crisi</t>
  </si>
  <si>
    <t xml:space="preserve">Per quanto riguarda i dipendenti, </t>
  </si>
  <si>
    <t>non si segnalano debiti scaduti verso dipendenti superiori a 30 giorni</t>
  </si>
  <si>
    <t>La verifica della regolarità contributiva ha condotto agli esiti che seguono.</t>
  </si>
  <si>
    <t>Non si segnalano debiti IVA non versati da oltre 90 giorni.</t>
  </si>
  <si>
    <t xml:space="preserve">Infine per quanto riguarda i debiti tributari, </t>
  </si>
  <si>
    <t>non si segnalano debiti affidati per la riscossione, autodichiarati o definitivamente accertati e scaduti da oltre novanta giorni</t>
  </si>
  <si>
    <t>Conclusioni in merito a quanto rilevato</t>
  </si>
  <si>
    <t xml:space="preserve">Dall'esame dei segnali che denotano uno stato di difficolta e/o di crisi, risulta che </t>
  </si>
  <si>
    <t>Istruzioni: Compilare le parti in azzurro</t>
  </si>
  <si>
    <t>ALFA S.R.L.</t>
  </si>
  <si>
    <t>Non si segnalano debiti scaduti superiori a 90 giorni.</t>
  </si>
  <si>
    <t>Azienda individuale</t>
  </si>
  <si>
    <t>Relazione in formato compatto (Disponibile solo con Excel 365)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</si>
</sst>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sz val="11"/>
      <name val="Verdana"/>
      <family val="2"/>
    </font>
    <font>
      <sz val="18"/>
      <color rgb="FF595959"/>
      <name val="Verdana"/>
      <family val="2"/>
    </font>
    <font>
      <sz val="11"/>
      <color theme="2" tint="-0.499984740745262"/>
      <name val="Verdana"/>
      <family val="2"/>
    </font>
    <font>
      <sz val="13"/>
      <color rgb="FF595959"/>
      <name val="Georgia"/>
      <family val="1"/>
    </font>
    <font>
      <sz val="13"/>
      <color theme="1"/>
      <name val="Georgia"/>
      <family val="1"/>
    </font>
    <font>
      <b/>
      <sz val="12"/>
      <color theme="1"/>
      <name val="Georgia"/>
      <family val="1"/>
    </font>
    <font>
      <b/>
      <sz val="14"/>
      <color theme="1"/>
      <name val="Georgia"/>
      <family val="1"/>
    </font>
    <font>
      <b/>
      <sz val="18"/>
      <color theme="1"/>
      <name val="Georgia"/>
      <family val="1"/>
    </font>
    <font>
      <sz val="11"/>
      <color theme="0"/>
      <name val="Verdana"/>
      <family val="2"/>
    </font>
    <font>
      <sz val="12"/>
      <color theme="1"/>
      <name val="Georgia"/>
      <family val="1"/>
    </font>
    <font>
      <b/>
      <i/>
      <sz val="11"/>
      <color theme="1"/>
      <name val="Georgia"/>
      <family val="1"/>
    </font>
    <font>
      <sz val="14"/>
      <color theme="1"/>
      <name val="Verdana"/>
      <family val="2"/>
    </font>
    <font>
      <b/>
      <sz val="20"/>
      <color theme="1"/>
      <name val="Georgia"/>
      <family val="1"/>
    </font>
    <font>
      <sz val="8"/>
      <color rgb="FF000000"/>
      <name val="Segoe UI"/>
      <family val="2"/>
    </font>
    <font>
      <sz val="11"/>
      <color theme="1"/>
      <name val="Tw Cen MT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13" fillId="0" borderId="0" xfId="0" applyFont="1" applyAlignment="1" applyProtection="1">
      <alignment horizontal="justify" vertical="top"/>
      <protection hidden="1"/>
    </xf>
    <xf numFmtId="0" fontId="13" fillId="0" borderId="0" xfId="0" applyFont="1" applyAlignment="1" applyProtection="1">
      <alignment horizontal="justify"/>
      <protection hidden="1"/>
    </xf>
    <xf numFmtId="0" fontId="10" fillId="0" borderId="0" xfId="0" applyFont="1" applyAlignment="1" applyProtection="1">
      <alignment horizontal="left" vertical="center" wrapText="1" indent="1"/>
      <protection hidden="1"/>
    </xf>
    <xf numFmtId="0" fontId="13" fillId="0" borderId="0" xfId="0" applyFont="1" applyAlignment="1" applyProtection="1">
      <alignment horizontal="justify" vertical="center"/>
      <protection hidden="1"/>
    </xf>
    <xf numFmtId="0" fontId="9" fillId="0" borderId="0" xfId="0" applyFont="1" applyAlignment="1" applyProtection="1">
      <alignment horizontal="left" vertical="center" indent="1"/>
      <protection hidden="1"/>
    </xf>
    <xf numFmtId="0" fontId="13" fillId="0" borderId="0" xfId="0" applyFont="1" applyAlignment="1" applyProtection="1">
      <alignment horizontal="justify" vertical="center" wrapText="1"/>
      <protection hidden="1"/>
    </xf>
    <xf numFmtId="0" fontId="13" fillId="0" borderId="0" xfId="0" applyFont="1" applyAlignment="1" applyProtection="1">
      <alignment horizontal="justify" vertical="top" wrapText="1"/>
      <protection hidden="1"/>
    </xf>
    <xf numFmtId="0" fontId="13" fillId="0" borderId="0" xfId="0" applyFont="1" applyAlignment="1" applyProtection="1">
      <alignment horizontal="left" vertical="top" wrapText="1" indent="2"/>
      <protection hidden="1"/>
    </xf>
    <xf numFmtId="0" fontId="13" fillId="0" borderId="0" xfId="0" applyFont="1" applyAlignment="1" applyProtection="1">
      <alignment horizontal="left" vertical="top" wrapText="1"/>
      <protection hidden="1"/>
    </xf>
    <xf numFmtId="0" fontId="9" fillId="0" borderId="0" xfId="0" applyFont="1" applyAlignment="1" applyProtection="1">
      <alignment horizontal="justify"/>
      <protection hidden="1"/>
    </xf>
    <xf numFmtId="0" fontId="2" fillId="0" borderId="0" xfId="0" applyFont="1" applyProtection="1">
      <protection locked="0" hidden="1"/>
    </xf>
    <xf numFmtId="0" fontId="2" fillId="0" borderId="0" xfId="0" applyFont="1" applyProtection="1">
      <protection hidden="1"/>
    </xf>
    <xf numFmtId="4" fontId="8" fillId="0" borderId="0" xfId="0" applyNumberFormat="1" applyFont="1" applyProtection="1">
      <protection hidden="1"/>
    </xf>
    <xf numFmtId="0" fontId="14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horizontal="left" vertical="center" readingOrder="1"/>
      <protection hidden="1"/>
    </xf>
    <xf numFmtId="0" fontId="16" fillId="0" borderId="5" xfId="0" applyFont="1" applyBorder="1" applyProtection="1">
      <protection hidden="1"/>
    </xf>
    <xf numFmtId="0" fontId="2" fillId="0" borderId="5" xfId="0" applyFont="1" applyBorder="1" applyProtection="1">
      <protection hidden="1"/>
    </xf>
    <xf numFmtId="4" fontId="8" fillId="0" borderId="5" xfId="0" applyNumberFormat="1" applyFont="1" applyBorder="1" applyProtection="1">
      <protection hidden="1"/>
    </xf>
    <xf numFmtId="0" fontId="2" fillId="0" borderId="5" xfId="0" applyFont="1" applyBorder="1" applyProtection="1">
      <protection locked="0" hidden="1"/>
    </xf>
    <xf numFmtId="0" fontId="11" fillId="0" borderId="0" xfId="0" applyFont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justify" vertical="top" wrapText="1"/>
      <protection hidden="1"/>
    </xf>
    <xf numFmtId="0" fontId="2" fillId="0" borderId="0" xfId="0" applyFont="1" applyAlignment="1" applyProtection="1">
      <alignment vertical="top" wrapText="1"/>
      <protection hidden="1"/>
    </xf>
    <xf numFmtId="0" fontId="12" fillId="0" borderId="0" xfId="0" applyFont="1" applyAlignment="1" applyProtection="1">
      <alignment vertical="top" wrapText="1"/>
      <protection locked="0" hidden="1"/>
    </xf>
    <xf numFmtId="0" fontId="12" fillId="0" borderId="0" xfId="0" applyFont="1" applyAlignment="1" applyProtection="1">
      <alignment vertical="top"/>
      <protection locked="0" hidden="1"/>
    </xf>
    <xf numFmtId="0" fontId="2" fillId="0" borderId="0" xfId="0" applyFont="1" applyAlignment="1" applyProtection="1">
      <alignment horizontal="left" vertical="center" indent="3"/>
      <protection locked="0" hidden="1"/>
    </xf>
    <xf numFmtId="0" fontId="7" fillId="0" borderId="5" xfId="0" applyFont="1" applyBorder="1" applyAlignment="1" applyProtection="1">
      <alignment horizontal="left" vertical="center" readingOrder="1"/>
      <protection hidden="1"/>
    </xf>
    <xf numFmtId="4" fontId="7" fillId="0" borderId="5" xfId="0" applyNumberFormat="1" applyFont="1" applyBorder="1" applyAlignment="1" applyProtection="1">
      <alignment horizontal="left" vertical="center" readingOrder="1"/>
      <protection hidden="1"/>
    </xf>
    <xf numFmtId="0" fontId="5" fillId="0" borderId="0" xfId="0" applyFont="1" applyAlignment="1" applyProtection="1">
      <alignment horizontal="left" vertical="center" readingOrder="1"/>
      <protection hidden="1"/>
    </xf>
    <xf numFmtId="0" fontId="6" fillId="0" borderId="0" xfId="0" applyFont="1" applyAlignment="1" applyProtection="1">
      <alignment vertical="top" wrapText="1"/>
      <protection hidden="1"/>
    </xf>
    <xf numFmtId="0" fontId="2" fillId="0" borderId="0" xfId="0" applyFont="1" applyAlignment="1" applyProtection="1">
      <alignment horizontal="left" vertical="center" indent="8"/>
      <protection locked="0" hidden="1"/>
    </xf>
    <xf numFmtId="0" fontId="4" fillId="0" borderId="0" xfId="0" applyFont="1" applyProtection="1">
      <protection hidden="1"/>
    </xf>
    <xf numFmtId="4" fontId="4" fillId="0" borderId="0" xfId="0" applyNumberFormat="1" applyFont="1" applyProtection="1">
      <protection hidden="1"/>
    </xf>
    <xf numFmtId="0" fontId="0" fillId="0" borderId="0" xfId="0" applyProtection="1">
      <protection hidden="1"/>
    </xf>
    <xf numFmtId="4" fontId="2" fillId="0" borderId="0" xfId="0" applyNumberFormat="1" applyFont="1" applyProtection="1">
      <protection locked="0" hidden="1"/>
    </xf>
    <xf numFmtId="4" fontId="2" fillId="0" borderId="0" xfId="0" applyNumberFormat="1" applyFont="1" applyProtection="1">
      <protection hidden="1"/>
    </xf>
    <xf numFmtId="0" fontId="5" fillId="0" borderId="0" xfId="0" applyFont="1" applyAlignment="1" applyProtection="1">
      <alignment horizontal="left" vertical="center" indent="5" readingOrder="1"/>
      <protection hidden="1"/>
    </xf>
    <xf numFmtId="0" fontId="18" fillId="0" borderId="0" xfId="0" applyFont="1" applyAlignment="1">
      <alignment horizontal="center" vertical="center"/>
    </xf>
    <xf numFmtId="14" fontId="2" fillId="2" borderId="0" xfId="0" applyNumberFormat="1" applyFont="1" applyFill="1" applyProtection="1">
      <protection locked="0"/>
    </xf>
    <xf numFmtId="0" fontId="2" fillId="2" borderId="4" xfId="0" applyFont="1" applyFill="1" applyBorder="1" applyProtection="1">
      <protection locked="0"/>
    </xf>
    <xf numFmtId="4" fontId="4" fillId="2" borderId="0" xfId="0" applyNumberFormat="1" applyFont="1" applyFill="1" applyProtection="1">
      <protection locked="0"/>
    </xf>
    <xf numFmtId="4" fontId="2" fillId="2" borderId="0" xfId="0" applyNumberFormat="1" applyFont="1" applyFill="1" applyProtection="1">
      <protection locked="0"/>
    </xf>
    <xf numFmtId="0" fontId="10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>
      <alignment wrapText="1"/>
    </xf>
    <xf numFmtId="0" fontId="19" fillId="0" borderId="0" xfId="0" applyFont="1" applyAlignment="1">
      <alignment wrapText="1"/>
    </xf>
    <xf numFmtId="0" fontId="10" fillId="0" borderId="0" xfId="0" applyFont="1" applyAlignment="1" applyProtection="1">
      <alignment horizontal="left" vertical="center" wrapText="1"/>
      <protection hidden="1"/>
    </xf>
    <xf numFmtId="14" fontId="20" fillId="0" borderId="0" xfId="0" applyNumberFormat="1" applyFont="1" applyAlignment="1" applyProtection="1">
      <alignment horizontal="right" vertical="center" wrapText="1"/>
      <protection hidden="1"/>
    </xf>
    <xf numFmtId="14" fontId="9" fillId="0" borderId="0" xfId="0" applyNumberFormat="1" applyFont="1" applyAlignment="1" applyProtection="1">
      <alignment horizontal="right" vertical="center" wrapText="1" indent="1"/>
      <protection hidden="1"/>
    </xf>
    <xf numFmtId="0" fontId="10" fillId="0" borderId="0" xfId="0" applyFont="1" applyAlignment="1" applyProtection="1">
      <alignment horizontal="left" wrapText="1" indent="1"/>
      <protection hidden="1"/>
    </xf>
    <xf numFmtId="0" fontId="19" fillId="0" borderId="0" xfId="0" applyFont="1" applyAlignment="1" applyProtection="1">
      <alignment wrapText="1"/>
      <protection hidden="1"/>
    </xf>
    <xf numFmtId="0" fontId="15" fillId="2" borderId="1" xfId="0" applyFont="1" applyFill="1" applyBorder="1" applyAlignment="1" applyProtection="1">
      <alignment horizontal="center"/>
      <protection locked="0"/>
    </xf>
    <xf numFmtId="0" fontId="15" fillId="2" borderId="2" xfId="0" applyFont="1" applyFill="1" applyBorder="1" applyAlignment="1" applyProtection="1">
      <alignment horizontal="center"/>
      <protection locked="0"/>
    </xf>
    <xf numFmtId="0" fontId="15" fillId="2" borderId="3" xfId="0" applyFont="1" applyFill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justify" vertical="top" wrapText="1"/>
      <protection hidden="1"/>
    </xf>
    <xf numFmtId="0" fontId="2" fillId="0" borderId="0" xfId="0" applyFont="1" applyAlignment="1" applyProtection="1">
      <alignment horizontal="justify" wrapText="1"/>
      <protection locked="0" hidden="1"/>
    </xf>
  </cellXfs>
  <cellStyles count="1">
    <cellStyle name="Normale" xfId="0" builtinId="0"/>
  </cellStyles>
  <dxfs count="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fill>
        <patternFill patternType="solid">
          <fgColor indexed="64"/>
          <bgColor theme="8" tint="0.79998168889431442"/>
        </patternFill>
      </fill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Verdana"/>
        <family val="2"/>
        <scheme val="none"/>
      </font>
      <alignment horizontal="general" vertical="top" textRotation="0" wrapText="1" indent="0" justifyLastLine="0" shrinkToFit="0" readingOrder="0"/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fill>
        <patternFill patternType="solid">
          <fgColor indexed="64"/>
          <bgColor theme="8" tint="0.79998168889431442"/>
        </patternFill>
      </fill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Verdana"/>
        <family val="2"/>
        <scheme val="none"/>
      </font>
      <alignment horizontal="general" vertical="top" textRotation="0" wrapText="1" indent="0" justifyLastLine="0" shrinkToFit="0" readingOrder="0"/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fill>
        <patternFill patternType="solid">
          <fgColor indexed="64"/>
          <bgColor theme="8" tint="0.79998168889431442"/>
        </patternFill>
      </fill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Verdana"/>
        <family val="2"/>
        <scheme val="none"/>
      </font>
      <alignment horizontal="general" vertical="top" textRotation="0" wrapText="1" indent="0" justifyLastLine="0" shrinkToFit="0" readingOrder="0"/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fill>
        <patternFill patternType="solid">
          <fgColor indexed="64"/>
          <bgColor theme="8" tint="0.79998168889431442"/>
        </patternFill>
      </fill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Verdana"/>
        <family val="2"/>
        <scheme val="none"/>
      </font>
      <alignment horizontal="general" vertical="top" textRotation="0" wrapText="1" indent="0" justifyLastLine="0" shrinkToFit="0" readingOrder="0"/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fill>
        <patternFill patternType="solid">
          <fgColor indexed="64"/>
          <bgColor theme="8" tint="0.79998168889431442"/>
        </patternFill>
      </fill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Verdana"/>
        <family val="2"/>
        <scheme val="none"/>
      </font>
      <alignment horizontal="general" vertical="top" textRotation="0" wrapText="1" indent="0" justifyLastLine="0" shrinkToFit="0" readingOrder="0"/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fill>
        <patternFill patternType="none">
          <fgColor indexed="64"/>
          <bgColor indexed="65"/>
        </patternFill>
      </fill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  <protection hidden="1"/>
    </dxf>
    <dxf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fill>
        <patternFill patternType="solid">
          <fgColor indexed="64"/>
          <bgColor theme="8" tint="0.79998168889431442"/>
        </patternFill>
      </fill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Verdana"/>
        <family val="2"/>
        <scheme val="none"/>
      </font>
      <alignment horizontal="general" vertical="top" textRotation="0" wrapText="1" indent="0" justifyLastLine="0" shrinkToFit="0" readingOrder="0"/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fill>
        <patternFill patternType="none">
          <fgColor indexed="64"/>
          <bgColor auto="1"/>
        </patternFill>
      </fill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fill>
        <patternFill patternType="solid">
          <fgColor indexed="64"/>
          <bgColor theme="8" tint="0.79998168889431442"/>
        </patternFill>
      </fill>
      <protection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Verdana"/>
        <family val="2"/>
        <scheme val="none"/>
      </font>
      <alignment horizontal="general" vertical="top" textRotation="0" wrapText="1" indent="0" justifyLastLine="0" shrinkToFit="0" readingOrder="0"/>
      <protection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fmlaLink="InserimentoDati!$A$7" lockText="1" noThreeD="1"/>
</file>

<file path=xl/ctrlProps/ctrlProp2.xml><?xml version="1.0" encoding="utf-8"?>
<formControlPr xmlns="http://schemas.microsoft.com/office/spreadsheetml/2009/9/main" objectType="GBox" noThreeD="1"/>
</file>

<file path=xl/ctrlProps/ctrlProp3.xml><?xml version="1.0" encoding="utf-8"?>
<formControlPr xmlns="http://schemas.microsoft.com/office/spreadsheetml/2009/9/main" objectType="Radio" checked="Checked" firstButton="1" fmlaLink="$K$14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GBox" noThreeD="1"/>
</file>

<file path=xl/ctrlProps/ctrlProp6.xml><?xml version="1.0" encoding="utf-8"?>
<formControlPr xmlns="http://schemas.microsoft.com/office/spreadsheetml/2009/9/main" objectType="Radio" firstButton="1" fmlaLink="$K$15" lockText="1" noThreeD="1"/>
</file>

<file path=xl/ctrlProps/ctrlProp7.xml><?xml version="1.0" encoding="utf-8"?>
<formControlPr xmlns="http://schemas.microsoft.com/office/spreadsheetml/2009/9/main" objectType="Radio" checked="Checked" lockText="1" noThreeD="1"/>
</file>

<file path=xl/ctrlProps/ctrlProp8.xml><?xml version="1.0" encoding="utf-8"?>
<formControlPr xmlns="http://schemas.microsoft.com/office/spreadsheetml/2009/9/main" objectType="Radio" checked="Checked" firstButton="1" fmlaLink="$K$16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GBox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6.sv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png"/><Relationship Id="rId5" Type="http://schemas.openxmlformats.org/officeDocument/2006/relationships/hyperlink" Target="#Relazione!A1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1.emf"/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hyperlink" Target="#InserimentoDati!A1"/><Relationship Id="rId1" Type="http://schemas.openxmlformats.org/officeDocument/2006/relationships/image" Target="../media/image4.png"/><Relationship Id="rId4" Type="http://schemas.openxmlformats.org/officeDocument/2006/relationships/image" Target="../media/image14.sv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hyperlink" Target="#InserimentoDati!A1"/><Relationship Id="rId1" Type="http://schemas.openxmlformats.org/officeDocument/2006/relationships/image" Target="../media/image4.png"/><Relationship Id="rId4" Type="http://schemas.openxmlformats.org/officeDocument/2006/relationships/image" Target="../media/image14.sv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63500</xdr:colOff>
          <xdr:row>25</xdr:row>
          <xdr:rowOff>6513</xdr:rowOff>
        </xdr:from>
        <xdr:to>
          <xdr:col>10</xdr:col>
          <xdr:colOff>551544</xdr:colOff>
          <xdr:row>29</xdr:row>
          <xdr:rowOff>151272</xdr:rowOff>
        </xdr:to>
        <xdr:pic>
          <xdr:nvPicPr>
            <xdr:cNvPr id="7" name="Immagine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emaf1" spid="_x0000_s1436"/>
                </a:ext>
              </a:extLst>
            </xdr:cNvPicPr>
          </xdr:nvPicPr>
          <xdr:blipFill rotWithShape="1">
            <a:blip xmlns:r="http://schemas.openxmlformats.org/officeDocument/2006/relationships" r:embed="rId1"/>
            <a:srcRect r="57609"/>
            <a:stretch>
              <a:fillRect/>
            </a:stretch>
          </xdr:blipFill>
          <xdr:spPr bwMode="auto">
            <a:xfrm>
              <a:off x="10096500" y="7774680"/>
              <a:ext cx="495300" cy="108879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chemeClr val="bg1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63500</xdr:colOff>
          <xdr:row>33</xdr:row>
          <xdr:rowOff>3260</xdr:rowOff>
        </xdr:from>
        <xdr:to>
          <xdr:col>10</xdr:col>
          <xdr:colOff>551544</xdr:colOff>
          <xdr:row>37</xdr:row>
          <xdr:rowOff>54849</xdr:rowOff>
        </xdr:to>
        <xdr:pic>
          <xdr:nvPicPr>
            <xdr:cNvPr id="9" name="Immagine 8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emaf2" spid="_x0000_s1437"/>
                </a:ext>
              </a:extLst>
            </xdr:cNvPicPr>
          </xdr:nvPicPr>
          <xdr:blipFill rotWithShape="1">
            <a:blip xmlns:r="http://schemas.openxmlformats.org/officeDocument/2006/relationships" r:embed="rId2"/>
            <a:srcRect r="57609"/>
            <a:stretch>
              <a:fillRect/>
            </a:stretch>
          </xdr:blipFill>
          <xdr:spPr bwMode="auto">
            <a:xfrm>
              <a:off x="10096500" y="9684893"/>
              <a:ext cx="495300" cy="1090268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chemeClr val="bg1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63500</xdr:colOff>
          <xdr:row>19</xdr:row>
          <xdr:rowOff>0</xdr:rowOff>
        </xdr:from>
        <xdr:to>
          <xdr:col>10</xdr:col>
          <xdr:colOff>551544</xdr:colOff>
          <xdr:row>22</xdr:row>
          <xdr:rowOff>249125</xdr:rowOff>
        </xdr:to>
        <xdr:pic>
          <xdr:nvPicPr>
            <xdr:cNvPr id="12" name="Immagine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emaf3" spid="_x0000_s1438"/>
                </a:ext>
              </a:extLst>
            </xdr:cNvPicPr>
          </xdr:nvPicPr>
          <xdr:blipFill rotWithShape="1">
            <a:blip xmlns:r="http://schemas.openxmlformats.org/officeDocument/2006/relationships" r:embed="rId2"/>
            <a:srcRect r="57609"/>
            <a:stretch>
              <a:fillRect/>
            </a:stretch>
          </xdr:blipFill>
          <xdr:spPr bwMode="auto">
            <a:xfrm>
              <a:off x="10096500" y="6239933"/>
              <a:ext cx="495300" cy="108944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chemeClr val="bg1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1285875</xdr:colOff>
          <xdr:row>6</xdr:row>
          <xdr:rowOff>38100</xdr:rowOff>
        </xdr:from>
        <xdr:to>
          <xdr:col>5</xdr:col>
          <xdr:colOff>295275</xdr:colOff>
          <xdr:row>7</xdr:row>
          <xdr:rowOff>57150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63500</xdr:colOff>
          <xdr:row>42</xdr:row>
          <xdr:rowOff>0</xdr:rowOff>
        </xdr:from>
        <xdr:to>
          <xdr:col>10</xdr:col>
          <xdr:colOff>551544</xdr:colOff>
          <xdr:row>46</xdr:row>
          <xdr:rowOff>178051</xdr:rowOff>
        </xdr:to>
        <xdr:pic>
          <xdr:nvPicPr>
            <xdr:cNvPr id="13" name="Immagine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emaf4" spid="_x0000_s1439"/>
                </a:ext>
              </a:extLst>
            </xdr:cNvPicPr>
          </xdr:nvPicPr>
          <xdr:blipFill rotWithShape="1">
            <a:blip xmlns:r="http://schemas.openxmlformats.org/officeDocument/2006/relationships" r:embed="rId2"/>
            <a:srcRect r="57609"/>
            <a:stretch>
              <a:fillRect/>
            </a:stretch>
          </xdr:blipFill>
          <xdr:spPr bwMode="auto">
            <a:xfrm>
              <a:off x="10096500" y="11760200"/>
              <a:ext cx="495300" cy="108428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chemeClr val="bg1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63954</xdr:colOff>
          <xdr:row>50</xdr:row>
          <xdr:rowOff>0</xdr:rowOff>
        </xdr:from>
        <xdr:to>
          <xdr:col>10</xdr:col>
          <xdr:colOff>551544</xdr:colOff>
          <xdr:row>55</xdr:row>
          <xdr:rowOff>45607</xdr:rowOff>
        </xdr:to>
        <xdr:pic>
          <xdr:nvPicPr>
            <xdr:cNvPr id="15" name="Immagine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emaf5" spid="_x0000_s1440"/>
                </a:ext>
              </a:extLst>
            </xdr:cNvPicPr>
          </xdr:nvPicPr>
          <xdr:blipFill rotWithShape="1">
            <a:blip xmlns:r="http://schemas.openxmlformats.org/officeDocument/2006/relationships" r:embed="rId3"/>
            <a:srcRect r="57609"/>
            <a:stretch>
              <a:fillRect/>
            </a:stretch>
          </xdr:blipFill>
          <xdr:spPr bwMode="auto">
            <a:xfrm>
              <a:off x="10096954" y="13631333"/>
              <a:ext cx="494846" cy="108428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chemeClr val="bg1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63500</xdr:colOff>
          <xdr:row>58</xdr:row>
          <xdr:rowOff>0</xdr:rowOff>
        </xdr:from>
        <xdr:to>
          <xdr:col>10</xdr:col>
          <xdr:colOff>551544</xdr:colOff>
          <xdr:row>62</xdr:row>
          <xdr:rowOff>178051</xdr:rowOff>
        </xdr:to>
        <xdr:pic>
          <xdr:nvPicPr>
            <xdr:cNvPr id="2" name="Immagine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emaf6" spid="_x0000_s1441"/>
                </a:ext>
              </a:extLst>
            </xdr:cNvPicPr>
          </xdr:nvPicPr>
          <xdr:blipFill rotWithShape="1">
            <a:blip xmlns:r="http://schemas.openxmlformats.org/officeDocument/2006/relationships" r:embed="rId1"/>
            <a:srcRect r="57609"/>
            <a:stretch>
              <a:fillRect/>
            </a:stretch>
          </xdr:blipFill>
          <xdr:spPr bwMode="auto">
            <a:xfrm>
              <a:off x="10096500" y="15502467"/>
              <a:ext cx="495300" cy="108428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chemeClr val="bg1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63500</xdr:colOff>
          <xdr:row>67</xdr:row>
          <xdr:rowOff>0</xdr:rowOff>
        </xdr:from>
        <xdr:to>
          <xdr:col>10</xdr:col>
          <xdr:colOff>551544</xdr:colOff>
          <xdr:row>71</xdr:row>
          <xdr:rowOff>45608</xdr:rowOff>
        </xdr:to>
        <xdr:pic>
          <xdr:nvPicPr>
            <xdr:cNvPr id="4" name="Immagine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emaf7" spid="_x0000_s1442"/>
                </a:ext>
              </a:extLst>
            </xdr:cNvPicPr>
          </xdr:nvPicPr>
          <xdr:blipFill rotWithShape="1">
            <a:blip xmlns:r="http://schemas.openxmlformats.org/officeDocument/2006/relationships" r:embed="rId1"/>
            <a:srcRect r="57609"/>
            <a:stretch>
              <a:fillRect/>
            </a:stretch>
          </xdr:blipFill>
          <xdr:spPr bwMode="auto">
            <a:xfrm>
              <a:off x="10096500" y="17441333"/>
              <a:ext cx="495300" cy="1084287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chemeClr val="bg1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13</xdr:row>
          <xdr:rowOff>0</xdr:rowOff>
        </xdr:from>
        <xdr:to>
          <xdr:col>9</xdr:col>
          <xdr:colOff>981807</xdr:colOff>
          <xdr:row>13</xdr:row>
          <xdr:rowOff>419100</xdr:rowOff>
        </xdr:to>
        <xdr:sp macro="" textlink="">
          <xdr:nvSpPr>
            <xdr:cNvPr id="1104" name="Group Box 80" descr="Sì-No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Sì-No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13</xdr:row>
          <xdr:rowOff>152400</xdr:rowOff>
        </xdr:from>
        <xdr:to>
          <xdr:col>9</xdr:col>
          <xdr:colOff>323850</xdr:colOff>
          <xdr:row>13</xdr:row>
          <xdr:rowOff>371475</xdr:rowOff>
        </xdr:to>
        <xdr:sp macro="" textlink="">
          <xdr:nvSpPr>
            <xdr:cNvPr id="1105" name="Option Button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457200</xdr:colOff>
          <xdr:row>13</xdr:row>
          <xdr:rowOff>152400</xdr:rowOff>
        </xdr:from>
        <xdr:to>
          <xdr:col>9</xdr:col>
          <xdr:colOff>723900</xdr:colOff>
          <xdr:row>13</xdr:row>
          <xdr:rowOff>371475</xdr:rowOff>
        </xdr:to>
        <xdr:sp macro="" textlink="">
          <xdr:nvSpPr>
            <xdr:cNvPr id="1107" name="Option Button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14</xdr:row>
          <xdr:rowOff>0</xdr:rowOff>
        </xdr:from>
        <xdr:to>
          <xdr:col>9</xdr:col>
          <xdr:colOff>981807</xdr:colOff>
          <xdr:row>14</xdr:row>
          <xdr:rowOff>419100</xdr:rowOff>
        </xdr:to>
        <xdr:sp macro="" textlink="">
          <xdr:nvSpPr>
            <xdr:cNvPr id="1110" name="Group Box 86" descr="Sì-No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Sì-No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14</xdr:row>
          <xdr:rowOff>104775</xdr:rowOff>
        </xdr:from>
        <xdr:to>
          <xdr:col>9</xdr:col>
          <xdr:colOff>323850</xdr:colOff>
          <xdr:row>14</xdr:row>
          <xdr:rowOff>323850</xdr:rowOff>
        </xdr:to>
        <xdr:sp macro="" textlink="">
          <xdr:nvSpPr>
            <xdr:cNvPr id="1111" name="Option Button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457200</xdr:colOff>
          <xdr:row>14</xdr:row>
          <xdr:rowOff>104775</xdr:rowOff>
        </xdr:from>
        <xdr:to>
          <xdr:col>9</xdr:col>
          <xdr:colOff>723900</xdr:colOff>
          <xdr:row>14</xdr:row>
          <xdr:rowOff>323850</xdr:rowOff>
        </xdr:to>
        <xdr:sp macro="" textlink="">
          <xdr:nvSpPr>
            <xdr:cNvPr id="1112" name="Option Button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15</xdr:row>
          <xdr:rowOff>152400</xdr:rowOff>
        </xdr:from>
        <xdr:to>
          <xdr:col>9</xdr:col>
          <xdr:colOff>323850</xdr:colOff>
          <xdr:row>15</xdr:row>
          <xdr:rowOff>371475</xdr:rowOff>
        </xdr:to>
        <xdr:sp macro="" textlink="">
          <xdr:nvSpPr>
            <xdr:cNvPr id="1113" name="Option Button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457200</xdr:colOff>
          <xdr:row>15</xdr:row>
          <xdr:rowOff>152400</xdr:rowOff>
        </xdr:from>
        <xdr:to>
          <xdr:col>9</xdr:col>
          <xdr:colOff>723900</xdr:colOff>
          <xdr:row>15</xdr:row>
          <xdr:rowOff>371475</xdr:rowOff>
        </xdr:to>
        <xdr:sp macro="" textlink="">
          <xdr:nvSpPr>
            <xdr:cNvPr id="1114" name="Option Button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15</xdr:row>
          <xdr:rowOff>9525</xdr:rowOff>
        </xdr:from>
        <xdr:to>
          <xdr:col>9</xdr:col>
          <xdr:colOff>981807</xdr:colOff>
          <xdr:row>15</xdr:row>
          <xdr:rowOff>428625</xdr:rowOff>
        </xdr:to>
        <xdr:sp macro="" textlink="">
          <xdr:nvSpPr>
            <xdr:cNvPr id="1115" name="Group Box 91" descr="Sì-No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Sì-No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63500</xdr:colOff>
          <xdr:row>13</xdr:row>
          <xdr:rowOff>88901</xdr:rowOff>
        </xdr:from>
        <xdr:to>
          <xdr:col>10</xdr:col>
          <xdr:colOff>551544</xdr:colOff>
          <xdr:row>15</xdr:row>
          <xdr:rowOff>167784</xdr:rowOff>
        </xdr:to>
        <xdr:pic>
          <xdr:nvPicPr>
            <xdr:cNvPr id="8" name="Immagine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emaf8" spid="_x0000_s1443"/>
                </a:ext>
              </a:extLst>
            </xdr:cNvPicPr>
          </xdr:nvPicPr>
          <xdr:blipFill rotWithShape="1">
            <a:blip xmlns:r="http://schemas.openxmlformats.org/officeDocument/2006/relationships" r:embed="rId2"/>
            <a:srcRect r="57609"/>
            <a:stretch>
              <a:fillRect/>
            </a:stretch>
          </xdr:blipFill>
          <xdr:spPr bwMode="auto">
            <a:xfrm>
              <a:off x="10096500" y="3810001"/>
              <a:ext cx="495300" cy="108944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chemeClr val="bg1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0</xdr:col>
      <xdr:colOff>0</xdr:colOff>
      <xdr:row>0</xdr:row>
      <xdr:rowOff>0</xdr:rowOff>
    </xdr:from>
    <xdr:to>
      <xdr:col>6</xdr:col>
      <xdr:colOff>146538</xdr:colOff>
      <xdr:row>0</xdr:row>
      <xdr:rowOff>783981</xdr:rowOff>
    </xdr:to>
    <xdr:sp macro="" textlink="">
      <xdr:nvSpPr>
        <xdr:cNvPr id="10" name="Rettangolo con angoli arrotondati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5224096" cy="78398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t-IT" sz="3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</a:rPr>
            <a:t>Indicatori</a:t>
          </a:r>
          <a:r>
            <a:rPr lang="it-IT" sz="3000" b="1" i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</a:rPr>
            <a:t> Codice Crisi </a:t>
          </a:r>
          <a:endParaRPr lang="it-IT" sz="3000" b="1" i="1" cap="none" spc="0">
            <a:ln w="9525">
              <a:solidFill>
                <a:schemeClr val="bg1"/>
              </a:solidFill>
              <a:prstDash val="solid"/>
            </a:ln>
            <a:solidFill>
              <a:schemeClr val="tx1">
                <a:lumMod val="75000"/>
                <a:lumOff val="25000"/>
              </a:schemeClr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oneCell">
    <xdr:from>
      <xdr:col>7</xdr:col>
      <xdr:colOff>1248833</xdr:colOff>
      <xdr:row>0</xdr:row>
      <xdr:rowOff>21165</xdr:rowOff>
    </xdr:from>
    <xdr:to>
      <xdr:col>10</xdr:col>
      <xdr:colOff>603054</xdr:colOff>
      <xdr:row>0</xdr:row>
      <xdr:rowOff>854839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4300" y="21165"/>
          <a:ext cx="3094567" cy="827325"/>
        </a:xfrm>
        <a:prstGeom prst="rect">
          <a:avLst/>
        </a:prstGeom>
      </xdr:spPr>
    </xdr:pic>
    <xdr:clientData/>
  </xdr:twoCellAnchor>
  <xdr:twoCellAnchor>
    <xdr:from>
      <xdr:col>9</xdr:col>
      <xdr:colOff>88901</xdr:colOff>
      <xdr:row>1</xdr:row>
      <xdr:rowOff>211668</xdr:rowOff>
    </xdr:from>
    <xdr:to>
      <xdr:col>10</xdr:col>
      <xdr:colOff>205718</xdr:colOff>
      <xdr:row>7</xdr:row>
      <xdr:rowOff>190500</xdr:rowOff>
    </xdr:to>
    <xdr:grpSp>
      <xdr:nvGrpSpPr>
        <xdr:cNvPr id="18" name="Gruppo 1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8671427" y="1449918"/>
          <a:ext cx="1099396" cy="1126845"/>
          <a:chOff x="9072034" y="1562101"/>
          <a:chExt cx="1170917" cy="1092199"/>
        </a:xfrm>
      </xdr:grpSpPr>
      <xdr:pic>
        <xdr:nvPicPr>
          <xdr:cNvPr id="16" name="Elemento grafico 15" descr="Elenco contorno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9072034" y="1739900"/>
            <a:ext cx="914400" cy="914400"/>
          </a:xfrm>
          <a:prstGeom prst="rect">
            <a:avLst/>
          </a:prstGeom>
        </xdr:spPr>
      </xdr:pic>
      <xdr:sp macro="" textlink="">
        <xdr:nvSpPr>
          <xdr:cNvPr id="17" name="CasellaDiTesto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9131300" y="1562101"/>
            <a:ext cx="111165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1100"/>
              <a:t>Relazione</a:t>
            </a:r>
            <a:r>
              <a:rPr lang="it-IT" sz="1100" baseline="0"/>
              <a:t> Finale</a:t>
            </a:r>
            <a:endParaRPr lang="it-IT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84664</xdr:colOff>
      <xdr:row>2</xdr:row>
      <xdr:rowOff>144750</xdr:rowOff>
    </xdr:from>
    <xdr:to>
      <xdr:col>0</xdr:col>
      <xdr:colOff>429748</xdr:colOff>
      <xdr:row>2</xdr:row>
      <xdr:rowOff>1044750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6179" r="50067"/>
        <a:stretch/>
      </xdr:blipFill>
      <xdr:spPr>
        <a:xfrm>
          <a:off x="84664" y="2320683"/>
          <a:ext cx="345084" cy="9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84664</xdr:colOff>
      <xdr:row>1</xdr:row>
      <xdr:rowOff>93133</xdr:rowOff>
    </xdr:from>
    <xdr:to>
      <xdr:col>0</xdr:col>
      <xdr:colOff>450738</xdr:colOff>
      <xdr:row>1</xdr:row>
      <xdr:rowOff>993133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5129" t="490" r="228" b="1715"/>
        <a:stretch/>
      </xdr:blipFill>
      <xdr:spPr>
        <a:xfrm>
          <a:off x="84664" y="1181100"/>
          <a:ext cx="366074" cy="9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84664</xdr:colOff>
      <xdr:row>3</xdr:row>
      <xdr:rowOff>105834</xdr:rowOff>
    </xdr:from>
    <xdr:to>
      <xdr:col>0</xdr:col>
      <xdr:colOff>431952</xdr:colOff>
      <xdr:row>3</xdr:row>
      <xdr:rowOff>1005834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0995" r="25099"/>
        <a:stretch/>
      </xdr:blipFill>
      <xdr:spPr>
        <a:xfrm>
          <a:off x="84664" y="3369734"/>
          <a:ext cx="347288" cy="900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</xdr:row>
          <xdr:rowOff>0</xdr:rowOff>
        </xdr:from>
        <xdr:to>
          <xdr:col>9</xdr:col>
          <xdr:colOff>520700</xdr:colOff>
          <xdr:row>2</xdr:row>
          <xdr:rowOff>1</xdr:rowOff>
        </xdr:to>
        <xdr:pic>
          <xdr:nvPicPr>
            <xdr:cNvPr id="6" name="Immagine 5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verde" spid="_x0000_s2167"/>
                </a:ext>
              </a:extLst>
            </xdr:cNvPicPr>
          </xdr:nvPicPr>
          <xdr:blipFill rotWithShape="1">
            <a:blip xmlns:r="http://schemas.openxmlformats.org/officeDocument/2006/relationships" r:embed="rId2"/>
            <a:srcRect l="75129" t="490" r="228" b="1715"/>
            <a:stretch>
              <a:fillRect/>
            </a:stretch>
          </xdr:blipFill>
          <xdr:spPr>
            <a:xfrm>
              <a:off x="5668433" y="1087967"/>
              <a:ext cx="1164167" cy="1087967"/>
            </a:xfrm>
            <a:prstGeom prst="rect">
              <a:avLst/>
            </a:prstGeom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2</xdr:row>
          <xdr:rowOff>812801</xdr:rowOff>
        </xdr:from>
        <xdr:to>
          <xdr:col>6</xdr:col>
          <xdr:colOff>156633</xdr:colOff>
          <xdr:row>3</xdr:row>
          <xdr:rowOff>817033</xdr:rowOff>
        </xdr:to>
        <xdr:pic>
          <xdr:nvPicPr>
            <xdr:cNvPr id="7" name="Immagine 6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giallo" spid="_x0000_s2168"/>
                </a:ext>
              </a:extLst>
            </xdr:cNvPicPr>
          </xdr:nvPicPr>
          <xdr:blipFill rotWithShape="1">
            <a:blip xmlns:r="http://schemas.openxmlformats.org/officeDocument/2006/relationships" r:embed="rId3"/>
            <a:srcRect r="57609"/>
            <a:stretch>
              <a:fillRect/>
            </a:stretch>
          </xdr:blipFill>
          <xdr:spPr bwMode="auto">
            <a:xfrm>
              <a:off x="4042833" y="2988734"/>
              <a:ext cx="495300" cy="109219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chemeClr val="bg1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5753101</xdr:colOff>
      <xdr:row>0</xdr:row>
      <xdr:rowOff>751417</xdr:rowOff>
    </xdr:to>
    <xdr:sp macro="" textlink="">
      <xdr:nvSpPr>
        <xdr:cNvPr id="2" name="Rettangolo con angoli arrotondati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0"/>
          <a:ext cx="5753101" cy="75141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t-IT" sz="32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</a:rPr>
            <a:t>Indicatori</a:t>
          </a:r>
          <a:r>
            <a:rPr lang="it-IT" sz="3200" b="1" i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</a:rPr>
            <a:t> Codice Crisi </a:t>
          </a:r>
          <a:endParaRPr lang="it-IT" sz="900" b="1" i="1" cap="none" spc="0">
            <a:ln w="9525">
              <a:solidFill>
                <a:schemeClr val="bg1"/>
              </a:solidFill>
              <a:prstDash val="solid"/>
            </a:ln>
            <a:solidFill>
              <a:schemeClr val="tx1">
                <a:lumMod val="75000"/>
                <a:lumOff val="25000"/>
              </a:schemeClr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oneCell">
    <xdr:from>
      <xdr:col>1</xdr:col>
      <xdr:colOff>5600699</xdr:colOff>
      <xdr:row>0</xdr:row>
      <xdr:rowOff>0</xdr:rowOff>
    </xdr:from>
    <xdr:to>
      <xdr:col>16382</xdr:col>
      <xdr:colOff>16933</xdr:colOff>
      <xdr:row>0</xdr:row>
      <xdr:rowOff>827325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699" y="0"/>
          <a:ext cx="3094567" cy="827325"/>
        </a:xfrm>
        <a:prstGeom prst="rect">
          <a:avLst/>
        </a:prstGeom>
      </xdr:spPr>
    </xdr:pic>
    <xdr:clientData/>
  </xdr:twoCellAnchor>
  <xdr:twoCellAnchor editAs="oneCell">
    <xdr:from>
      <xdr:col>16382</xdr:col>
      <xdr:colOff>150284</xdr:colOff>
      <xdr:row>0</xdr:row>
      <xdr:rowOff>56092</xdr:rowOff>
    </xdr:from>
    <xdr:to>
      <xdr:col>16383</xdr:col>
      <xdr:colOff>433918</xdr:colOff>
      <xdr:row>0</xdr:row>
      <xdr:rowOff>568325</xdr:rowOff>
    </xdr:to>
    <xdr:pic>
      <xdr:nvPicPr>
        <xdr:cNvPr id="5" name="Elemento grafico 4" descr="Home contorn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189384" y="56092"/>
          <a:ext cx="502709" cy="5122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266701</xdr:colOff>
      <xdr:row>0</xdr:row>
      <xdr:rowOff>847725</xdr:rowOff>
    </xdr:to>
    <xdr:sp macro="" textlink="">
      <xdr:nvSpPr>
        <xdr:cNvPr id="2" name="Rettangolo con angoli arrotondati 1">
          <a:extLst>
            <a:ext uri="{FF2B5EF4-FFF2-40B4-BE49-F238E27FC236}">
              <a16:creationId xmlns:a16="http://schemas.microsoft.com/office/drawing/2014/main" id="{318AB2FE-168F-41AA-ADB3-CF2D1EBD1E08}"/>
            </a:ext>
          </a:extLst>
        </xdr:cNvPr>
        <xdr:cNvSpPr/>
      </xdr:nvSpPr>
      <xdr:spPr>
        <a:xfrm>
          <a:off x="0" y="0"/>
          <a:ext cx="5753101" cy="8477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t-IT" sz="32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</a:rPr>
            <a:t>Indicatori</a:t>
          </a:r>
          <a:r>
            <a:rPr lang="it-IT" sz="3200" b="1" i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</a:rPr>
            <a:t> Codice Crisi </a:t>
          </a:r>
          <a:endParaRPr lang="it-IT" sz="900" b="1" i="1" cap="none" spc="0">
            <a:ln w="9525">
              <a:solidFill>
                <a:schemeClr val="bg1"/>
              </a:solidFill>
              <a:prstDash val="solid"/>
            </a:ln>
            <a:solidFill>
              <a:schemeClr val="tx1">
                <a:lumMod val="75000"/>
                <a:lumOff val="25000"/>
              </a:schemeClr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oneCell">
    <xdr:from>
      <xdr:col>0</xdr:col>
      <xdr:colOff>5895974</xdr:colOff>
      <xdr:row>0</xdr:row>
      <xdr:rowOff>9525</xdr:rowOff>
    </xdr:from>
    <xdr:to>
      <xdr:col>0</xdr:col>
      <xdr:colOff>8346772</xdr:colOff>
      <xdr:row>0</xdr:row>
      <xdr:rowOff>836850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5741750E-CE2B-4289-BB85-9A3532DB8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5974" y="9525"/>
          <a:ext cx="2455334" cy="827325"/>
        </a:xfrm>
        <a:prstGeom prst="rect">
          <a:avLst/>
        </a:prstGeom>
      </xdr:spPr>
    </xdr:pic>
    <xdr:clientData/>
  </xdr:twoCellAnchor>
  <xdr:twoCellAnchor editAs="oneCell">
    <xdr:from>
      <xdr:col>2</xdr:col>
      <xdr:colOff>359834</xdr:colOff>
      <xdr:row>0</xdr:row>
      <xdr:rowOff>84667</xdr:rowOff>
    </xdr:from>
    <xdr:to>
      <xdr:col>2</xdr:col>
      <xdr:colOff>862543</xdr:colOff>
      <xdr:row>0</xdr:row>
      <xdr:rowOff>596900</xdr:rowOff>
    </xdr:to>
    <xdr:pic>
      <xdr:nvPicPr>
        <xdr:cNvPr id="4" name="Elemento grafico 3" descr="Home contorn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3A4E94-9E9C-4572-8D0F-6E2C00F5F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646584" y="84667"/>
          <a:ext cx="502709" cy="51223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1DE547-B152-44A0-ABD3-D259D18CA80A}" name="Tabella1" displayName="Tabella1" ref="D30:H31" totalsRowShown="0" headerRowDxfId="62" dataDxfId="61">
  <autoFilter ref="D30:H31" xr:uid="{1A1DE547-B152-44A0-ABD3-D259D18CA80A}"/>
  <tableColumns count="5">
    <tableColumn id="1" xr3:uid="{730CFFC9-1CCB-485E-9C02-2BF1BE4DF685}" name="Voce di Bilancio" dataDxfId="60"/>
    <tableColumn id="2" xr3:uid="{ECCE46DE-6566-46CC-B85C-E86B8B36CB38}" name="Scaduti da oltre 30 gg" dataDxfId="59"/>
    <tableColumn id="3" xr3:uid="{14ECADEC-B336-4B81-AD5D-9703920D1630}" name="Altri" dataDxfId="58"/>
    <tableColumn id="4" xr3:uid="{A4F1DEF2-DF59-47E7-B359-2AA4F48D94B0}" name="Totale" dataDxfId="57">
      <calculatedColumnFormula>+Tabella1[[#This Row],[Scaduti da oltre 30 gg]]+Tabella1[[#This Row],[Altri]]</calculatedColumnFormula>
    </tableColumn>
    <tableColumn id="5" xr3:uid="{6E08523D-D6EC-4497-9AEC-730EE580B648}" name="Indicatore" dataDxfId="56">
      <calculatedColumnFormula>+IFERROR(Tabella1[[#This Row],[Scaduti da oltre 30 gg]]/G28,0)</calculatedColumnFormula>
    </tableColumn>
  </tableColumns>
  <tableStyleInfo name="TableStyleLight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309979-C443-4837-B14D-1240CC917356}" name="Tabella13" displayName="Tabella13" ref="D36:H40" totalsRowCount="1" headerRowDxfId="55" dataDxfId="54" totalsRowDxfId="53">
  <autoFilter ref="D36:H39" xr:uid="{CB309979-C443-4837-B14D-1240CC917356}"/>
  <tableColumns count="5">
    <tableColumn id="1" xr3:uid="{3D841D17-4A7F-4257-8548-F09F0D3E74E1}" name="Voce di Bilancio" totalsRowLabel="Totale" dataDxfId="52" totalsRowDxfId="51"/>
    <tableColumn id="2" xr3:uid="{B0BAB209-6CE7-4780-8C56-A6CB74E464CE}" name="Scaduti da oltre 60 gg" totalsRowFunction="sum" dataDxfId="50" totalsRowDxfId="49"/>
    <tableColumn id="3" xr3:uid="{E8D4A00F-D856-4F71-AE51-8735253FC47D}" name="Altri" totalsRowFunction="sum" dataDxfId="48" totalsRowDxfId="47"/>
    <tableColumn id="4" xr3:uid="{434F2C28-94F8-453C-89F9-BE2524322CCF}" name="Totale" totalsRowFunction="sum" dataDxfId="46" totalsRowDxfId="45">
      <calculatedColumnFormula>+Tabella13[[#This Row],[Scaduti da oltre 60 gg]]+Tabella13[[#This Row],[Altri]]</calculatedColumnFormula>
    </tableColumn>
    <tableColumn id="5" xr3:uid="{98DB6C8F-D9D9-4A85-8079-D0849D5B415C}" name="Indicatore" totalsRowFunction="custom" dataDxfId="44" totalsRowDxfId="43">
      <calculatedColumnFormula>+IFERROR(Tabella13[[#This Row],[Scaduti da oltre 60 gg]]/#REF!,0)</calculatedColumnFormula>
      <totalsRowFormula>+IFERROR(Tabella13[[#Totals],[Scaduti da oltre 60 gg]]/Tabella13[[#Totals],[Totale]],0)</totalsRowFormula>
    </tableColumn>
  </tableColumns>
  <tableStyleInfo name="TableStyleLight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1649D5-E060-4487-B0D6-4B37BBCBB2F8}" name="Tabella134" displayName="Tabella134" ref="D47:H48" totalsRowShown="0" headerRowDxfId="42" dataDxfId="41">
  <autoFilter ref="D47:H48" xr:uid="{C11649D5-E060-4487-B0D6-4B37BBCBB2F8}"/>
  <tableColumns count="5">
    <tableColumn id="1" xr3:uid="{4762F86F-CC21-4C35-9DAA-BBB376F248A1}" name="Voce di Bilancio" dataDxfId="40" totalsRowDxfId="39"/>
    <tableColumn id="2" xr3:uid="{DE9F9EDF-44B2-409C-AC30-B03A3435931F}" name="Scaduti da oltre 90 gg" dataDxfId="38" totalsRowDxfId="37"/>
    <tableColumn id="3" xr3:uid="{37006D66-8043-45A2-94D1-B6D338CF6690}" name="Altri" dataDxfId="36"/>
    <tableColumn id="4" xr3:uid="{D14939E9-A043-41AC-8874-7C30192C2956}" name="Totale" dataDxfId="35">
      <calculatedColumnFormula>+Tabella134[[#This Row],[Scaduti da oltre 90 gg]]+Tabella134[[#This Row],[Altri]]</calculatedColumnFormula>
    </tableColumn>
    <tableColumn id="5" xr3:uid="{705E7299-BDAE-4A13-9508-991B89F94BEC}" name="Indicatore" dataDxfId="34">
      <calculatedColumnFormula>+Tabella134[[#This Row],[Scaduti da oltre 90 gg]]</calculatedColumnFormula>
    </tableColumn>
  </tableColumns>
  <tableStyleInfo name="TableStyleLight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CA037D-E7E1-4A77-8693-6AD495D51CC9}" name="Tabella15" displayName="Tabella15" ref="D22:H23" totalsRowShown="0" headerRowDxfId="33" dataDxfId="32">
  <autoFilter ref="D22:H23" xr:uid="{53CA037D-E7E1-4A77-8693-6AD495D51CC9}"/>
  <tableColumns count="5">
    <tableColumn id="1" xr3:uid="{CE5BC44D-DE51-4200-B81F-D02BE21340A7}" name="Voce di Bilancio" dataDxfId="31"/>
    <tableColumn id="2" xr3:uid="{5450E19C-EF92-4896-BBCD-01C60647E2EC}" name="Scaduti da oltre 90 gg" dataDxfId="30"/>
    <tableColumn id="3" xr3:uid="{B656D06C-07E5-463A-B5F1-015C8A4B1421}" name="Altri" dataDxfId="29"/>
    <tableColumn id="4" xr3:uid="{2E021886-6DBC-4ED4-8D0D-0A39331A602D}" name="Totale" dataDxfId="28">
      <calculatedColumnFormula>+Tabella15[[#This Row],[Scaduti da oltre 90 gg]]+Tabella15[[#This Row],[Altri]]</calculatedColumnFormula>
    </tableColumn>
    <tableColumn id="5" xr3:uid="{97BAA529-59D8-41BB-ABCE-371446D5E82D}" name="Indicatore" dataDxfId="27">
      <calculatedColumnFormula>+Tabella15[[#This Row],[Scaduti da oltre 90 gg]]/Tabella15[[#This Row],[Totale]]</calculatedColumnFormula>
    </tableColumn>
  </tableColumns>
  <tableStyleInfo name="TableStyleLight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BF3838-E65B-4CEB-9B03-A58810B8CFA8}" name="Tabella1346" displayName="Tabella1346" ref="D55:H56" totalsRowShown="0" headerRowDxfId="26" dataDxfId="25">
  <autoFilter ref="D55:H56" xr:uid="{62BF3838-E65B-4CEB-9B03-A58810B8CFA8}"/>
  <tableColumns count="5">
    <tableColumn id="1" xr3:uid="{DABADC53-5094-4966-A257-FC176E881DB7}" name="Voce di Bilancio" dataDxfId="24" totalsRowDxfId="23"/>
    <tableColumn id="2" xr3:uid="{C592CB76-BD2E-4613-97CF-82B98ABCC5EE}" name="Scaduti da oltre 90 gg" dataDxfId="22" totalsRowDxfId="21"/>
    <tableColumn id="3" xr3:uid="{E7B63799-D2C1-442E-8ABC-409B883C6642}" name="Altri" dataDxfId="20"/>
    <tableColumn id="4" xr3:uid="{6BE64E03-4722-47F4-8355-E84397A0CEC4}" name="Totale" dataDxfId="19">
      <calculatedColumnFormula>+Tabella1346[[#This Row],[Scaduti da oltre 90 gg]]+Tabella1346[[#This Row],[Altri]]</calculatedColumnFormula>
    </tableColumn>
    <tableColumn id="5" xr3:uid="{636E0972-70A7-44B4-B86D-E93BCE6F05C4}" name="Indicatore" dataDxfId="18">
      <calculatedColumnFormula>+Tabella1346[[#This Row],[Scaduti da oltre 90 gg]]</calculatedColumnFormula>
    </tableColumn>
  </tableColumns>
  <tableStyleInfo name="TableStyleLight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35520B-7923-4F70-8DBF-2ABAD768BFC4}" name="Tabella13467" displayName="Tabella13467" ref="D63:H64" totalsRowShown="0" headerRowDxfId="17" dataDxfId="16">
  <autoFilter ref="D63:H64" xr:uid="{6D35520B-7923-4F70-8DBF-2ABAD768BFC4}"/>
  <tableColumns count="5">
    <tableColumn id="1" xr3:uid="{FF9D0BF3-8EAB-40C8-83B8-414A068136A8}" name="Voce di Bilancio" dataDxfId="15" totalsRowDxfId="14"/>
    <tableColumn id="2" xr3:uid="{95BDEF03-D0B5-42D1-BBD0-CAAE22625209}" name="Scaduti" dataDxfId="13" totalsRowDxfId="12"/>
    <tableColumn id="3" xr3:uid="{55D899A3-D934-43D0-8268-D79ED8B24D17}" name="Altri" dataDxfId="11"/>
    <tableColumn id="4" xr3:uid="{E04CB3A3-FC81-4741-AC0C-9B169E8E0EC4}" name="Totale" dataDxfId="10">
      <calculatedColumnFormula>+Tabella13467[[#This Row],[Scaduti]]+Tabella13467[[#This Row],[Altri]]</calculatedColumnFormula>
    </tableColumn>
    <tableColumn id="5" xr3:uid="{D795EAB1-F960-4BBF-BB52-12A74C13E8B8}" name="Indicatore" dataDxfId="9">
      <calculatedColumnFormula>+Tabella13467[[#This Row],[Scaduti]]</calculatedColumnFormula>
    </tableColumn>
  </tableColumns>
  <tableStyleInfo name="TableStyleLight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DAE11A0-1C3F-4DF9-81DD-6D154A23E97C}" name="Tabella134678" displayName="Tabella134678" ref="D70:H71" totalsRowShown="0" headerRowDxfId="8" dataDxfId="7">
  <autoFilter ref="D70:H71" xr:uid="{2DAE11A0-1C3F-4DF9-81DD-6D154A23E97C}"/>
  <tableColumns count="5">
    <tableColumn id="1" xr3:uid="{64978976-5C4C-42D5-8FDC-1FA3F58C7BB7}" name="Voce di Bilancio" dataDxfId="6" totalsRowDxfId="5"/>
    <tableColumn id="2" xr3:uid="{E361D12D-C384-4A12-8A47-A29AC848CC0E}" name="Scaduti da oltre 90 gg" dataDxfId="4" totalsRowDxfId="3"/>
    <tableColumn id="3" xr3:uid="{395D12A9-9707-447A-BE3C-F50D98BCC89F}" name="Altri" dataDxfId="2"/>
    <tableColumn id="4" xr3:uid="{4E0222B8-08D1-493D-827F-18EA674B439A}" name="Totale" dataDxfId="1">
      <calculatedColumnFormula>+Tabella134678[[#This Row],[Scaduti da oltre 90 gg]]+Tabella134678[[#This Row],[Altri]]</calculatedColumnFormula>
    </tableColumn>
    <tableColumn id="5" xr3:uid="{CE337697-9237-4113-8AEC-865CE7CA579F}" name="Indicatore" dataDxfId="0">
      <calculatedColumnFormula>+Tabella134678[[#This Row],[Scaduti da oltre 90 gg]]</calculatedColumnFormula>
    </tableColumn>
  </tableColumns>
  <tableStyleInfo name="TableStyleLight2" showFirstColumn="0" showLastColumn="0" showRowStripes="0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table" Target="../tables/table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table" Target="../tables/table4.xml"/><Relationship Id="rId2" Type="http://schemas.openxmlformats.org/officeDocument/2006/relationships/drawing" Target="../drawings/drawing1.xml"/><Relationship Id="rId16" Type="http://schemas.openxmlformats.org/officeDocument/2006/relationships/table" Target="../tables/table3.xml"/><Relationship Id="rId20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table" Target="../tables/table2.xml"/><Relationship Id="rId10" Type="http://schemas.openxmlformats.org/officeDocument/2006/relationships/ctrlProp" Target="../ctrlProps/ctrlProp7.xml"/><Relationship Id="rId19" Type="http://schemas.openxmlformats.org/officeDocument/2006/relationships/table" Target="../tables/table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9B115-57A2-4A50-AA6D-516CAAC2E3D4}">
  <sheetPr codeName="Foglio1">
    <pageSetUpPr fitToPage="1"/>
  </sheetPr>
  <dimension ref="A1:XFC94"/>
  <sheetViews>
    <sheetView showGridLines="0" topLeftCell="C82" zoomScale="190" zoomScaleNormal="190" workbookViewId="0">
      <selection activeCell="D66" sqref="D66"/>
    </sheetView>
  </sheetViews>
  <sheetFormatPr defaultColWidth="9" defaultRowHeight="16.5" x14ac:dyDescent="0.25"/>
  <cols>
    <col min="1" max="1" width="5.140625" style="13" hidden="1" customWidth="1"/>
    <col min="2" max="2" width="5" style="14" customWidth="1"/>
    <col min="3" max="3" width="7" style="14" customWidth="1"/>
    <col min="4" max="4" width="26" style="14" customWidth="1"/>
    <col min="5" max="5" width="18" style="14" customWidth="1"/>
    <col min="6" max="6" width="20" style="14" bestFit="1" customWidth="1"/>
    <col min="7" max="7" width="18.140625" style="14" customWidth="1"/>
    <col min="8" max="8" width="32.140625" style="14" customWidth="1"/>
    <col min="9" max="9" width="2.42578125" style="14" customWidth="1"/>
    <col min="10" max="10" width="14.7109375" style="15" bestFit="1" customWidth="1"/>
    <col min="11" max="11" width="9.42578125" style="13" bestFit="1" customWidth="1"/>
    <col min="12" max="12" width="13.28515625" style="13" hidden="1" customWidth="1"/>
    <col min="13" max="13" width="11.140625" style="13" hidden="1" customWidth="1"/>
    <col min="14" max="27" width="9" style="13" hidden="1" customWidth="1"/>
    <col min="28" max="28" width="2.5703125" style="13" hidden="1" customWidth="1"/>
    <col min="29" max="29" width="2.85546875" style="13" hidden="1" customWidth="1"/>
    <col min="30" max="16383" width="0" style="14" hidden="1" customWidth="1"/>
    <col min="16384" max="16384" width="1.140625" style="14" hidden="1" customWidth="1"/>
  </cols>
  <sheetData>
    <row r="1" spans="1:26" ht="98.1" customHeight="1" x14ac:dyDescent="0.25">
      <c r="G1" s="39"/>
    </row>
    <row r="2" spans="1:26" ht="17.45" customHeight="1" x14ac:dyDescent="0.25">
      <c r="C2" s="16" t="s">
        <v>62</v>
      </c>
    </row>
    <row r="3" spans="1:26" ht="4.7" customHeight="1" thickBot="1" x14ac:dyDescent="0.3"/>
    <row r="4" spans="1:26" ht="18.75" thickBot="1" x14ac:dyDescent="0.3">
      <c r="D4" s="17" t="s">
        <v>21</v>
      </c>
      <c r="F4" s="52" t="s">
        <v>63</v>
      </c>
      <c r="G4" s="53"/>
      <c r="H4" s="54"/>
    </row>
    <row r="5" spans="1:26" x14ac:dyDescent="0.25">
      <c r="D5" s="17" t="s">
        <v>20</v>
      </c>
      <c r="F5" s="40">
        <v>45657</v>
      </c>
      <c r="G5" s="13"/>
      <c r="H5" s="13"/>
    </row>
    <row r="6" spans="1:26" x14ac:dyDescent="0.25">
      <c r="D6" s="17" t="s">
        <v>7</v>
      </c>
      <c r="F6" s="41" t="s">
        <v>65</v>
      </c>
      <c r="G6" s="13"/>
      <c r="H6" s="13"/>
    </row>
    <row r="7" spans="1:26" x14ac:dyDescent="0.25">
      <c r="A7" s="13" t="b">
        <v>0</v>
      </c>
      <c r="D7" s="17" t="s">
        <v>26</v>
      </c>
    </row>
    <row r="8" spans="1:26" x14ac:dyDescent="0.25">
      <c r="D8" s="17"/>
      <c r="L8" s="13" t="str">
        <f>+IF(SUM(K14:K16)=3,"verde",IF(SUM(K14:K16)=6,"rosso","giallo"))</f>
        <v>giallo</v>
      </c>
      <c r="M8" s="13" t="str">
        <f>+VLOOKUP(L8,L10:M12,2,0)</f>
        <v>l'assetto dell'azienda appare non del tutto adeguato alle finalità di cui all'art. 3 del Codice della crisi di impresa e dell'insolvenza, per motivazioni di seguito descritte.</v>
      </c>
    </row>
    <row r="9" spans="1:26" x14ac:dyDescent="0.25">
      <c r="D9" s="17"/>
    </row>
    <row r="10" spans="1:26" ht="25.5" x14ac:dyDescent="0.35">
      <c r="C10" s="18" t="str">
        <f>+F4</f>
        <v>ALFA S.R.L.</v>
      </c>
      <c r="D10" s="19"/>
      <c r="E10" s="19"/>
      <c r="F10" s="19"/>
      <c r="G10" s="19"/>
      <c r="H10" s="19"/>
      <c r="I10" s="19"/>
      <c r="J10" s="20"/>
      <c r="K10" s="21"/>
      <c r="L10" s="13" t="s">
        <v>4</v>
      </c>
      <c r="M10" s="13" t="s">
        <v>49</v>
      </c>
    </row>
    <row r="11" spans="1:26" ht="42" customHeight="1" x14ac:dyDescent="0.25">
      <c r="C11" s="22" t="s">
        <v>44</v>
      </c>
      <c r="L11" s="13" t="s">
        <v>5</v>
      </c>
      <c r="M11" s="13" t="s">
        <v>50</v>
      </c>
    </row>
    <row r="12" spans="1:26" x14ac:dyDescent="0.25">
      <c r="C12" s="17" t="s">
        <v>40</v>
      </c>
      <c r="L12" s="13" t="s">
        <v>3</v>
      </c>
      <c r="M12" s="13" t="s">
        <v>51</v>
      </c>
    </row>
    <row r="14" spans="1:26" ht="41.45" customHeight="1" x14ac:dyDescent="0.2">
      <c r="D14" s="55" t="s">
        <v>41</v>
      </c>
      <c r="E14" s="55"/>
      <c r="F14" s="55"/>
      <c r="G14" s="55"/>
      <c r="H14" s="55"/>
      <c r="I14" s="23"/>
      <c r="J14" s="24"/>
      <c r="K14" s="25">
        <v>1</v>
      </c>
      <c r="L14" s="56" t="str">
        <f>+"- L'azienda "&amp;IF(K14=1,"è in grado di ","non è in grado di ")&amp;MID(D14,4,250)</f>
        <v>- L'azienda è in grado di rilevare eventuali squilibri di carattere patrimoniale o economico-finanziario, rapportati alle specifiche caratteristiche dell’impresa e dell’attività imprenditoriale svolta dal debitore;</v>
      </c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1:26" ht="38.65" customHeight="1" x14ac:dyDescent="0.25">
      <c r="D15" s="55" t="s">
        <v>42</v>
      </c>
      <c r="E15" s="55"/>
      <c r="F15" s="55"/>
      <c r="G15" s="55"/>
      <c r="H15" s="55"/>
      <c r="I15" s="23"/>
      <c r="K15" s="26">
        <v>2</v>
      </c>
      <c r="L15" s="56" t="str">
        <f>+"- L'azienda "&amp;IF(K15=1,"è in grado di ","non è in grado di ")&amp;MID(D15,4,250)</f>
        <v>- L'azienda non è in grado di verificare la sostenibilità dei debiti e le prospettive di continuità aziendale almeno per i dodici mesi successivi e rilevare i segnali di cui al comma 4;</v>
      </c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1:26" ht="43.7" customHeight="1" x14ac:dyDescent="0.2">
      <c r="D16" s="55" t="s">
        <v>43</v>
      </c>
      <c r="E16" s="55"/>
      <c r="F16" s="55"/>
      <c r="G16" s="55"/>
      <c r="H16" s="55"/>
      <c r="I16" s="23"/>
      <c r="J16" s="24"/>
      <c r="K16" s="25">
        <v>1</v>
      </c>
      <c r="L16" s="56" t="str">
        <f>+"- L'azienda "&amp;IF(K16=1,"è in grado di ","non è in grado di ")&amp;MID(D16,4,250)</f>
        <v>- L'azienda è in grado di ricavare le informazioni necessarie a utilizzare la lista di controllo particolareggiata (cd check list) e a effettuare il test pratico per la verifica della ragionevole perseguibilità del risanamento di cui all’articolo 13, al comma 2.</v>
      </c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8" spans="1:25" ht="42" customHeight="1" x14ac:dyDescent="0.25">
      <c r="C18" s="22" t="s">
        <v>45</v>
      </c>
    </row>
    <row r="19" spans="1:25" x14ac:dyDescent="0.25">
      <c r="O19" s="27"/>
    </row>
    <row r="20" spans="1:25" x14ac:dyDescent="0.2">
      <c r="A20" s="13">
        <v>0.5</v>
      </c>
      <c r="C20" s="28" t="s">
        <v>1</v>
      </c>
      <c r="D20" s="19"/>
      <c r="E20" s="19"/>
      <c r="F20" s="19"/>
      <c r="G20" s="19"/>
      <c r="H20" s="19"/>
      <c r="I20" s="19"/>
      <c r="J20" s="29" cm="1">
        <f t="array" ref="J20">+Tabella15[Indicatore]</f>
        <v>0.16666666666666666</v>
      </c>
      <c r="L20" s="13" t="str">
        <f>+IF(InserimentoDati!J20&gt;=InserimentoDati!A20,"rosso",IF(InserimentoDati!J20&gt;0,"giallo","verde"))</f>
        <v>giallo</v>
      </c>
      <c r="M20" s="13" t="str">
        <f>+VLOOKUP(L20,L22:M24,2,0)</f>
        <v>Si segnala che alla data del 31/12/2024 esistono debiti scaduti per Euro 10.000, pari al 16,67% del totale dei debiti. 
Sebbene la soglia prevista dal codice della crisi non sia ancora stata superata, si raccomanda un attento monitoraggio per non peggiorare la situazione.</v>
      </c>
      <c r="Y20" s="27"/>
    </row>
    <row r="21" spans="1:25" ht="22.5" x14ac:dyDescent="0.25">
      <c r="C21" s="30"/>
      <c r="Y21" s="27"/>
    </row>
    <row r="22" spans="1:25" ht="28.5" x14ac:dyDescent="0.25">
      <c r="C22" s="30"/>
      <c r="D22" s="31" t="s">
        <v>13</v>
      </c>
      <c r="E22" s="31" t="s">
        <v>25</v>
      </c>
      <c r="F22" s="31" t="s">
        <v>11</v>
      </c>
      <c r="G22" s="31" t="s">
        <v>12</v>
      </c>
      <c r="H22" s="31" t="s">
        <v>14</v>
      </c>
      <c r="I22" s="31"/>
      <c r="L22" s="13" t="s">
        <v>4</v>
      </c>
      <c r="M22" s="13" t="s">
        <v>64</v>
      </c>
      <c r="Y22" s="32"/>
    </row>
    <row r="23" spans="1:25" ht="22.5" x14ac:dyDescent="0.25">
      <c r="C23" s="30"/>
      <c r="D23" s="33" t="s">
        <v>24</v>
      </c>
      <c r="E23" s="42">
        <v>10000</v>
      </c>
      <c r="F23" s="42">
        <v>50000</v>
      </c>
      <c r="G23" s="34">
        <f>+Tabella15[[#This Row],[Scaduti da oltre 90 gg]]+Tabella15[[#This Row],[Altri]]</f>
        <v>60000</v>
      </c>
      <c r="H23" s="34">
        <f>+Tabella15[[#This Row],[Scaduti da oltre 90 gg]]/Tabella15[[#This Row],[Totale]]</f>
        <v>0.16666666666666666</v>
      </c>
      <c r="I23" s="34"/>
      <c r="L23" s="13" t="s">
        <v>5</v>
      </c>
      <c r="M23" s="13" t="str">
        <f>+"Si segnala che alla data del "&amp;TEXT(d,"gg/mm/aaaa")&amp; " esistono debiti scaduti per Euro "&amp;TEXT(E23,"#.000")&amp;", pari al "&amp;TEXT(J20,"0,00%")&amp;" del totale dei debiti. "&amp;CHAR(10)&amp;"Sebbene la soglia prevista dal codice della crisi non sia ancora stata superata, si raccomanda un attento monitoraggio per non peggiorare la situazione."</f>
        <v>Si segnala che alla data del 31/12/2024 esistono debiti scaduti per Euro 10.000, pari al 16,67% del totale dei debiti. 
Sebbene la soglia prevista dal codice della crisi non sia ancora stata superata, si raccomanda un attento monitoraggio per non peggiorare la situazione.</v>
      </c>
    </row>
    <row r="24" spans="1:25" x14ac:dyDescent="0.25">
      <c r="L24" s="13" t="s">
        <v>3</v>
      </c>
      <c r="M24" s="13" t="str">
        <f>"Si segnala che alla data del "&amp;
TEXT(d,"gg/mm/aaaa")&amp;
" esistono debiti scaduti per Euro "&amp;
TEXT(E23,"#.000")&amp;
", pari a "&amp;TEXT(J20,"0,00")&amp;
" il totale dei debiti. "&amp;
CHAR(10)&amp;"Tale dato configura una situazione di crisi, cui occorre porre riparo."</f>
        <v>Si segnala che alla data del 31/12/2024 esistono debiti scaduti per Euro 10.000, pari a 0,17 il totale dei debiti. 
Tale dato configura una situazione di crisi, cui occorre porre riparo.</v>
      </c>
    </row>
    <row r="25" spans="1:25" x14ac:dyDescent="0.25">
      <c r="O25" s="32"/>
    </row>
    <row r="26" spans="1:25" x14ac:dyDescent="0.2">
      <c r="A26" s="13">
        <v>2</v>
      </c>
      <c r="C26" s="28" t="s">
        <v>0</v>
      </c>
      <c r="D26" s="19"/>
      <c r="E26" s="19"/>
      <c r="F26" s="19"/>
      <c r="G26" s="19"/>
      <c r="H26" s="19"/>
      <c r="I26" s="19"/>
      <c r="J26" s="29" cm="1">
        <f t="array" ref="J26">+Tabella1[Indicatore]</f>
        <v>2.5</v>
      </c>
      <c r="L26" s="13" t="str">
        <f>+IF(InserimentoDati!J26&gt;=InserimentoDati!A26,"rosso",IF(InserimentoDati!J26&gt;0,"giallo","verde"))</f>
        <v>rosso</v>
      </c>
      <c r="M26" s="13" t="str">
        <f>+VLOOKUP(L26,L28:M30,2,0)</f>
        <v>si segnala che alla data del 31/12/2024 esistono debiti scaduti per Euro 200.000, pari a 2,50 volte l'importo delle retribuzioni. 
Tale dato configura una situazione di crisi, cui occorre porre riparo.</v>
      </c>
      <c r="Y26" s="27" t="s">
        <v>15</v>
      </c>
    </row>
    <row r="27" spans="1:25" ht="22.5" x14ac:dyDescent="0.25">
      <c r="C27" s="30"/>
      <c r="Y27" s="27"/>
    </row>
    <row r="28" spans="1:25" ht="14.1" customHeight="1" x14ac:dyDescent="0.25">
      <c r="C28" s="30"/>
      <c r="D28" s="14" t="s">
        <v>8</v>
      </c>
      <c r="G28" s="43">
        <v>80000</v>
      </c>
      <c r="L28" s="13" t="s">
        <v>4</v>
      </c>
      <c r="M28" s="13" t="s">
        <v>55</v>
      </c>
      <c r="Y28" s="32" t="s">
        <v>6</v>
      </c>
    </row>
    <row r="29" spans="1:25" ht="22.5" x14ac:dyDescent="0.25">
      <c r="C29" s="30"/>
      <c r="L29" s="13" t="s">
        <v>5</v>
      </c>
      <c r="M29" s="13" t="str">
        <f>+"si segnala che alla data del "&amp;TEXT(d,"gg/mm/aaaa")&amp; " esistono debiti scaduti verso dipendenti per Euro "&amp;TEXT(E31,"#.000")&amp;", pari a "&amp;TEXT(J26,"0,00")&amp;" l'importo delle retribuzioni. "&amp;CHAR(10)&amp;"Sebbene la soglia prevista dal codice della crisinon sia ancora stata superata, si raccomanda un attento monitoraggio per non peggiorare la situazione."</f>
        <v>si segnala che alla data del 31/12/2024 esistono debiti scaduti verso dipendenti per Euro 200.000, pari a 2,50 l'importo delle retribuzioni. 
Sebbene la soglia prevista dal codice della crisinon sia ancora stata superata, si raccomanda un attento monitoraggio per non peggiorare la situazione.</v>
      </c>
    </row>
    <row r="30" spans="1:25" ht="28.5" x14ac:dyDescent="0.25">
      <c r="D30" s="31" t="s">
        <v>13</v>
      </c>
      <c r="E30" s="31" t="s">
        <v>10</v>
      </c>
      <c r="F30" s="31" t="s">
        <v>11</v>
      </c>
      <c r="G30" s="31" t="s">
        <v>12</v>
      </c>
      <c r="H30" s="31" t="s">
        <v>14</v>
      </c>
      <c r="I30" s="31"/>
      <c r="L30" s="13" t="s">
        <v>3</v>
      </c>
      <c r="M30" s="13" t="str">
        <f>"si segnala che alla data del "&amp;
TEXT(d,"gg/mm/aaaa")&amp;
" esistono debiti scaduti per Euro "&amp;
TEXT(E31,"#.000")&amp;
", pari a "&amp;TEXT(J26,"0,00")&amp;
" volte l'importo delle retribuzioni. "&amp;
CHAR(10)&amp;"Tale dato configura una situazione di crisi, cui occorre porre riparo."</f>
        <v>si segnala che alla data del 31/12/2024 esistono debiti scaduti per Euro 200.000, pari a 2,50 volte l'importo delle retribuzioni. 
Tale dato configura una situazione di crisi, cui occorre porre riparo.</v>
      </c>
    </row>
    <row r="31" spans="1:25" x14ac:dyDescent="0.25">
      <c r="D31" s="33" t="s">
        <v>9</v>
      </c>
      <c r="E31" s="42">
        <v>200000</v>
      </c>
      <c r="F31" s="42">
        <v>30000</v>
      </c>
      <c r="G31" s="34">
        <f>+Tabella1[[#This Row],[Scaduti da oltre 30 gg]]+Tabella1[[#This Row],[Altri]]</f>
        <v>230000</v>
      </c>
      <c r="H31" s="34">
        <f>+IFERROR(Tabella1[[#This Row],[Scaduti da oltre 30 gg]]/G28,0)</f>
        <v>2.5</v>
      </c>
      <c r="I31" s="34"/>
    </row>
    <row r="33" spans="1:15" x14ac:dyDescent="0.25">
      <c r="O33" s="32"/>
    </row>
    <row r="34" spans="1:15" x14ac:dyDescent="0.2">
      <c r="A34" s="13">
        <v>0.05</v>
      </c>
      <c r="C34" s="28" t="s">
        <v>2</v>
      </c>
      <c r="D34" s="19"/>
      <c r="E34" s="19"/>
      <c r="F34" s="19"/>
      <c r="G34" s="19"/>
      <c r="H34" s="19"/>
      <c r="I34" s="19"/>
      <c r="J34" s="29">
        <f>+Tabella13[[#Totals],[Indicatore]]</f>
        <v>3.2258064516129031E-2</v>
      </c>
      <c r="L34" s="13" t="str">
        <f>+IF(InserimentoDati!J34&gt;=InserimentoDati!A34,"rosso",IF(InserimentoDati!J34&gt;0,"giallo","verde"))</f>
        <v>giallo</v>
      </c>
      <c r="M34" s="13" t="str">
        <f>+VLOOKUP(L34,L36:M38,2,0)</f>
        <v>Si segnala che alla data del 31/12/2024 esistono debiti verso banche scaduti da più di 60 giorni per Euro 1.000, pari a 0,03 il totale delle esposizioni 
Sebbene la soglia prevista dal codice della crisinon sia ancora stata superata, si raccomanda un attento monitoraggio per non peggiorare la situazione.</v>
      </c>
      <c r="O34" s="32"/>
    </row>
    <row r="35" spans="1:15" ht="22.5" x14ac:dyDescent="0.25">
      <c r="C35" s="30"/>
      <c r="O35" s="32"/>
    </row>
    <row r="36" spans="1:15" ht="28.5" x14ac:dyDescent="0.25">
      <c r="D36" s="31" t="s">
        <v>13</v>
      </c>
      <c r="E36" s="31" t="s">
        <v>16</v>
      </c>
      <c r="F36" s="31" t="s">
        <v>11</v>
      </c>
      <c r="G36" s="31" t="s">
        <v>12</v>
      </c>
      <c r="H36" s="31" t="s">
        <v>14</v>
      </c>
      <c r="I36" s="31"/>
      <c r="L36" s="13" t="s">
        <v>4</v>
      </c>
      <c r="M36" s="13" t="s">
        <v>22</v>
      </c>
      <c r="O36" s="32"/>
    </row>
    <row r="37" spans="1:15" x14ac:dyDescent="0.25">
      <c r="D37" s="33" t="s">
        <v>17</v>
      </c>
      <c r="E37" s="42">
        <v>1000</v>
      </c>
      <c r="F37" s="42">
        <v>30000</v>
      </c>
      <c r="G37" s="34">
        <f>+Tabella13[[#This Row],[Scaduti da oltre 60 gg]]+Tabella13[[#This Row],[Altri]]</f>
        <v>31000</v>
      </c>
      <c r="H37" s="34">
        <f>+IFERROR(Tabella13[[#This Row],[Scaduti da oltre 60 gg]]/Tabella13[[#This Row],[Totale]],0)</f>
        <v>3.2258064516129031E-2</v>
      </c>
      <c r="I37" s="34"/>
      <c r="L37" s="13" t="s">
        <v>5</v>
      </c>
      <c r="M37" s="13" t="str">
        <f>+"Si segnala che alla data del "&amp;TEXT(d,"gg/mm/aaaa")&amp; " esistono debiti verso banche scaduti da più di 60 giorni per Euro "&amp;TEXT(E40,"#.000")&amp;", pari a "&amp;TEXT(J34,"0,00")&amp;" il totale delle esposizioni "&amp;CHAR(10)&amp;"Sebbene la soglia prevista dal codice della crisinon sia ancora stata superata, si raccomanda un attento monitoraggio per non peggiorare la situazione."</f>
        <v>Si segnala che alla data del 31/12/2024 esistono debiti verso banche scaduti da più di 60 giorni per Euro 1.000, pari a 0,03 il totale delle esposizioni 
Sebbene la soglia prevista dal codice della crisinon sia ancora stata superata, si raccomanda un attento monitoraggio per non peggiorare la situazione.</v>
      </c>
      <c r="O37" s="32"/>
    </row>
    <row r="38" spans="1:15" x14ac:dyDescent="0.25">
      <c r="D38" s="33" t="s">
        <v>18</v>
      </c>
      <c r="E38" s="42"/>
      <c r="F38" s="42"/>
      <c r="G38" s="34">
        <f>+Tabella13[[#This Row],[Scaduti da oltre 60 gg]]+Tabella13[[#This Row],[Altri]]</f>
        <v>0</v>
      </c>
      <c r="H38" s="34">
        <f>+IFERROR(Tabella13[[#This Row],[Scaduti da oltre 60 gg]]/G35,0)</f>
        <v>0</v>
      </c>
      <c r="I38" s="34"/>
      <c r="L38" s="13" t="s">
        <v>3</v>
      </c>
      <c r="M38" s="13" t="str">
        <f>"Si segnala che alla data del "&amp;
TEXT(d,"gg/mm/aaaa")&amp;
" esistono sconfini perduranti oltre i 60 giorni per Euro "&amp;
TEXT(E40,"#.000")&amp;
", pari al "&amp;TEXT(J34,"0,00%")&amp;
" del totale delle esposizioni verso istituti di credito. "&amp;
CHAR(10)&amp;"Tale dato configura una situazione di crisi, cui occorre porre riparo."</f>
        <v>Si segnala che alla data del 31/12/2024 esistono sconfini perduranti oltre i 60 giorni per Euro 1.000, pari al 3,23% del totale delle esposizioni verso istituti di credito. 
Tale dato configura una situazione di crisi, cui occorre porre riparo.</v>
      </c>
      <c r="O38" s="32"/>
    </row>
    <row r="39" spans="1:15" x14ac:dyDescent="0.25">
      <c r="D39" s="33" t="s">
        <v>19</v>
      </c>
      <c r="E39" s="42"/>
      <c r="F39" s="42"/>
      <c r="G39" s="34">
        <f>+Tabella13[[#This Row],[Scaduti da oltre 60 gg]]+Tabella13[[#This Row],[Altri]]</f>
        <v>0</v>
      </c>
      <c r="H39" s="34">
        <f>+IFERROR(Tabella13[[#This Row],[Scaduti da oltre 60 gg]]/G36,0)</f>
        <v>0</v>
      </c>
      <c r="I39" s="34"/>
      <c r="O39" s="32"/>
    </row>
    <row r="40" spans="1:15" x14ac:dyDescent="0.25">
      <c r="D40" s="33" t="s">
        <v>12</v>
      </c>
      <c r="E40" s="34">
        <f>SUBTOTAL(109,Tabella13[Scaduti da oltre 60 gg])</f>
        <v>1000</v>
      </c>
      <c r="F40" s="34">
        <f>SUBTOTAL(109,Tabella13[Altri])</f>
        <v>30000</v>
      </c>
      <c r="G40" s="34">
        <f>SUBTOTAL(109,Tabella13[Totale])</f>
        <v>31000</v>
      </c>
      <c r="H40" s="34">
        <f>+IFERROR(Tabella13[[#Totals],[Scaduti da oltre 60 gg]]/Tabella13[[#Totals],[Totale]],0)</f>
        <v>3.2258064516129031E-2</v>
      </c>
      <c r="I40" s="34"/>
      <c r="O40" s="32"/>
    </row>
    <row r="41" spans="1:15" x14ac:dyDescent="0.25">
      <c r="O41" s="32"/>
    </row>
    <row r="42" spans="1:15" x14ac:dyDescent="0.25">
      <c r="O42" s="32"/>
    </row>
    <row r="43" spans="1:15" x14ac:dyDescent="0.2">
      <c r="A43" s="13">
        <f>+IF(A7,5000,MAX(15000,G45*0.3))</f>
        <v>15000</v>
      </c>
      <c r="C43" s="28" t="s">
        <v>29</v>
      </c>
      <c r="D43" s="19"/>
      <c r="E43" s="19"/>
      <c r="F43" s="19"/>
      <c r="G43" s="19"/>
      <c r="H43" s="19"/>
      <c r="I43" s="19"/>
      <c r="J43" s="29" cm="1">
        <f t="array" ref="J43">+Tabella134[Indicatore]</f>
        <v>6000</v>
      </c>
      <c r="L43" s="13" t="str">
        <f>+IF(InserimentoDati!J43&gt;=InserimentoDati!A43,"rosso",IF(InserimentoDati!J43&gt;0,"giallo","verde"))</f>
        <v>giallo</v>
      </c>
      <c r="M43" s="13" t="str">
        <f>+VLOOKUP(L43,L45:M47,2,0)</f>
        <v>Si segnala che alla data del 31/12/2024 non sono stati versati contributi INPS da oltre 90 giorni per Euro 6.000, pari al 600,00% dlel'importo dei contributi dovuti per l'anno precedente. 
Sebbene la soglia prevista dal codice della crisinon sia ancora stata superata, si raccomanda un attento monitoraggio per non peggiorare la situazione.</v>
      </c>
      <c r="O43" s="32"/>
    </row>
    <row r="44" spans="1:15" ht="22.5" x14ac:dyDescent="0.25">
      <c r="C44" s="30"/>
      <c r="M44" s="13" t="str">
        <f>+"L'azienda "&amp;IF(nodip,"non "," ")&amp;" dispone di lavoratori subordinati o parasubordinati."</f>
        <v>L'azienda   dispone di lavoratori subordinati o parasubordinati.</v>
      </c>
      <c r="O44" s="32"/>
    </row>
    <row r="45" spans="1:15" x14ac:dyDescent="0.25">
      <c r="D45" s="14" t="s">
        <v>27</v>
      </c>
      <c r="G45" s="43">
        <v>1000</v>
      </c>
      <c r="L45" s="13" t="s">
        <v>4</v>
      </c>
      <c r="M45" s="13" t="s">
        <v>30</v>
      </c>
      <c r="O45" s="32"/>
    </row>
    <row r="46" spans="1:15" x14ac:dyDescent="0.25">
      <c r="L46" s="13" t="s">
        <v>5</v>
      </c>
      <c r="M46" s="13" t="str">
        <f>+"Si segnala che alla data del "&amp;TEXT(d,"gg/mm/aaaa")&amp; " non sono stati versati contributi INPS da oltre 90 giorni per Euro "&amp;TEXT(E48,"#.000")&amp;", pari al "&amp;TEXT(IFERROR(J43/G45,0),"0,00%")&amp;" dlel'importo dei contributi dovuti per l'anno precedente. "&amp;CHAR(10)&amp;"Sebbene la soglia prevista dal codice della crisinon sia ancora stata superata, si raccomanda un attento monitoraggio per non peggiorare la situazione."</f>
        <v>Si segnala che alla data del 31/12/2024 non sono stati versati contributi INPS da oltre 90 giorni per Euro 6.000, pari al 600,00% dlel'importo dei contributi dovuti per l'anno precedente. 
Sebbene la soglia prevista dal codice della crisinon sia ancora stata superata, si raccomanda un attento monitoraggio per non peggiorare la situazione.</v>
      </c>
      <c r="O46" s="32"/>
    </row>
    <row r="47" spans="1:15" ht="28.5" x14ac:dyDescent="0.25">
      <c r="D47" s="31" t="s">
        <v>13</v>
      </c>
      <c r="E47" s="31" t="s">
        <v>25</v>
      </c>
      <c r="F47" s="31" t="s">
        <v>11</v>
      </c>
      <c r="G47" s="31" t="s">
        <v>12</v>
      </c>
      <c r="H47" s="31" t="s">
        <v>14</v>
      </c>
      <c r="I47" s="31"/>
      <c r="L47" s="13" t="s">
        <v>3</v>
      </c>
      <c r="M47" s="13" t="str">
        <f>"Si segnala che alla data del "&amp;
TEXT(d,"gg/mm/aaaa")&amp;
" non sono stati versati contributi INPS da oltre 90 giorni per "&amp;
TEXT(E48,"#.000")&amp;
", pari al "&amp;TEXT(IFERROR(J43/G45,0),"0,00%")&amp;
" dei contributi dovuti nell'esercizio precedente "&amp;
CHAR(10)&amp;"Tale dato configura una situazione di crisi, cui occorre porre riparo."</f>
        <v>Si segnala che alla data del 31/12/2024 non sono stati versati contributi INPS da oltre 90 giorni per 6.000, pari al 600,00% dei contributi dovuti nell'esercizio precedente 
Tale dato configura una situazione di crisi, cui occorre porre riparo.</v>
      </c>
      <c r="O47" s="32"/>
    </row>
    <row r="48" spans="1:15" x14ac:dyDescent="0.25">
      <c r="D48" s="33" t="s">
        <v>28</v>
      </c>
      <c r="E48" s="42">
        <v>6000</v>
      </c>
      <c r="F48" s="42">
        <v>30000</v>
      </c>
      <c r="G48" s="34">
        <f>+Tabella134[[#This Row],[Scaduti da oltre 90 gg]]+Tabella134[[#This Row],[Altri]]</f>
        <v>36000</v>
      </c>
      <c r="H48" s="34">
        <f>+Tabella134[[#This Row],[Scaduti da oltre 90 gg]]</f>
        <v>6000</v>
      </c>
      <c r="I48" s="34"/>
      <c r="O48" s="32"/>
    </row>
    <row r="49" spans="1:15" x14ac:dyDescent="0.25">
      <c r="O49" s="32"/>
    </row>
    <row r="50" spans="1:15" x14ac:dyDescent="0.25">
      <c r="O50" s="32"/>
    </row>
    <row r="51" spans="1:15" x14ac:dyDescent="0.2">
      <c r="A51" s="13">
        <v>5000</v>
      </c>
      <c r="C51" s="28" t="s">
        <v>31</v>
      </c>
      <c r="D51" s="19"/>
      <c r="E51" s="19"/>
      <c r="F51" s="19"/>
      <c r="G51" s="19"/>
      <c r="H51" s="19"/>
      <c r="I51" s="19"/>
      <c r="J51" s="29" cm="1">
        <f t="array" ref="J51">+Tabella1346[Indicatore]</f>
        <v>0</v>
      </c>
      <c r="L51" s="13" t="str">
        <f>+IF(InserimentoDati!J51&gt;=InserimentoDati!A51,"rosso",IF(InserimentoDati!J51&gt;0,"giallo","verde"))</f>
        <v>verde</v>
      </c>
      <c r="M51" s="13" t="str">
        <f>+VLOOKUP(L51,L53:M55,2,0)</f>
        <v>Non si segnalano contributi INAIL non versati da oltre 90 giorni</v>
      </c>
      <c r="O51" s="32"/>
    </row>
    <row r="52" spans="1:15" ht="22.5" x14ac:dyDescent="0.25">
      <c r="C52" s="30"/>
      <c r="O52" s="32"/>
    </row>
    <row r="53" spans="1:15" hidden="1" x14ac:dyDescent="0.25">
      <c r="D53" s="35"/>
      <c r="E53" s="35"/>
      <c r="F53" s="35"/>
      <c r="G53" s="35"/>
      <c r="L53" s="13" t="s">
        <v>4</v>
      </c>
      <c r="M53" s="13" t="s">
        <v>32</v>
      </c>
      <c r="O53" s="32"/>
    </row>
    <row r="54" spans="1:15" x14ac:dyDescent="0.25">
      <c r="L54" s="13" t="s">
        <v>5</v>
      </c>
      <c r="M54" s="13" t="str">
        <f>+"Si segnala che alla data del "&amp;TEXT(d,"gg/mm/aaaa")&amp; " non sono stati versati contributi INAIL da oltre 90 giorni per Euro "&amp;TEXT(E56,"#.000")&amp;", pari al "&amp;TEXT(IFERROR(J51/G53,0),"0,00%")&amp;" dlel'importo dei contributi dovuti per l'anno precedente. "&amp;CHAR(10)&amp;"Sebbene la soglia prevista dal codice della crisinon sia ancora stata superata, si raccomanda un attento monitoraggio per non peggiorare la situazione."</f>
        <v>Si segnala che alla data del 31/12/2024 non sono stati versati contributi INAIL da oltre 90 giorni per Euro 000, pari al 0,00% dlel'importo dei contributi dovuti per l'anno precedente. 
Sebbene la soglia prevista dal codice della crisinon sia ancora stata superata, si raccomanda un attento monitoraggio per non peggiorare la situazione.</v>
      </c>
      <c r="O54" s="32"/>
    </row>
    <row r="55" spans="1:15" ht="28.5" x14ac:dyDescent="0.25">
      <c r="D55" s="31" t="s">
        <v>13</v>
      </c>
      <c r="E55" s="31" t="s">
        <v>25</v>
      </c>
      <c r="F55" s="31" t="s">
        <v>11</v>
      </c>
      <c r="G55" s="31" t="s">
        <v>12</v>
      </c>
      <c r="H55" s="31" t="s">
        <v>14</v>
      </c>
      <c r="I55" s="31"/>
      <c r="L55" s="13" t="s">
        <v>3</v>
      </c>
      <c r="M55" s="13" t="str">
        <f>"Si segnala che alla data del "&amp;
TEXT(d,"gg/mm/aaaa")&amp;
" non sono stati versati contributi da oltre 90 giorni per "&amp;
TEXT(E56,"#.000")&amp;
", pari al "&amp;TEXT(IFERROR(J51/G53,0),"0,00%")&amp;
" dei contributi dovuti nell'esercizio precedente "&amp;
CHAR(10)&amp;"Tale dato configura una situazione di crisi, cui occorre porre riparo."</f>
        <v>Si segnala che alla data del 31/12/2024 non sono stati versati contributi da oltre 90 giorni per 000, pari al 0,00% dei contributi dovuti nell'esercizio precedente 
Tale dato configura una situazione di crisi, cui occorre porre riparo.</v>
      </c>
      <c r="O55" s="32"/>
    </row>
    <row r="56" spans="1:15" x14ac:dyDescent="0.25">
      <c r="D56" s="33" t="s">
        <v>33</v>
      </c>
      <c r="E56" s="42"/>
      <c r="F56" s="42">
        <v>30000</v>
      </c>
      <c r="G56" s="34">
        <f>+Tabella1346[[#This Row],[Scaduti da oltre 90 gg]]+Tabella1346[[#This Row],[Altri]]</f>
        <v>30000</v>
      </c>
      <c r="H56" s="34">
        <f>+Tabella1346[[#This Row],[Scaduti da oltre 90 gg]]</f>
        <v>0</v>
      </c>
      <c r="I56" s="34"/>
      <c r="O56" s="32"/>
    </row>
    <row r="57" spans="1:15" x14ac:dyDescent="0.25">
      <c r="O57" s="32"/>
    </row>
    <row r="58" spans="1:15" x14ac:dyDescent="0.25">
      <c r="O58" s="32"/>
    </row>
    <row r="59" spans="1:15" x14ac:dyDescent="0.2">
      <c r="A59" s="36">
        <f>10%*G61</f>
        <v>100000</v>
      </c>
      <c r="B59" s="37"/>
      <c r="C59" s="28" t="s">
        <v>34</v>
      </c>
      <c r="D59" s="19"/>
      <c r="E59" s="19"/>
      <c r="F59" s="19"/>
      <c r="G59" s="19"/>
      <c r="H59" s="19"/>
      <c r="I59" s="19"/>
      <c r="J59" s="29" cm="1">
        <f t="array" ref="J59">+Tabella13467[Indicatore]</f>
        <v>21000</v>
      </c>
      <c r="L59" s="13" t="str">
        <f>+IF(J59&gt;20000,"rosso",
IF(
AND(InserimentoDati!J59&gt;=InserimentoDati!A59,J59&gt;5000),
"rosso",IF(InserimentoDati!J59&gt;0,"giallo","verde")))</f>
        <v>rosso</v>
      </c>
      <c r="M59" s="13" t="str">
        <f>+VLOOKUP(L59,L61:M63,2,0)</f>
        <v>Si segnala che alla data del 31/12/2024 non è stata versata IVA per 21.000, pari al 2,10% del volume d'affari dell'anno di imposta precedente 
Tale dato configura una situazione di crisi, cui occorre porre riparo.</v>
      </c>
      <c r="O59" s="32"/>
    </row>
    <row r="60" spans="1:15" ht="22.5" x14ac:dyDescent="0.25">
      <c r="C60" s="30"/>
      <c r="O60" s="32"/>
    </row>
    <row r="61" spans="1:15" x14ac:dyDescent="0.25">
      <c r="D61" s="14" t="s">
        <v>36</v>
      </c>
      <c r="E61" s="35"/>
      <c r="F61" s="35"/>
      <c r="G61" s="43">
        <v>1000000</v>
      </c>
      <c r="L61" s="13" t="s">
        <v>4</v>
      </c>
      <c r="M61" s="13" t="s">
        <v>57</v>
      </c>
      <c r="O61" s="32"/>
    </row>
    <row r="62" spans="1:15" x14ac:dyDescent="0.25">
      <c r="L62" s="13" t="s">
        <v>5</v>
      </c>
      <c r="M62" s="13" t="str">
        <f>+"Si segnala che alla data del "&amp;TEXT(d,"gg/mm/aaaa")&amp; " non è stata versata IVA per Euro "&amp;TEXT(E64,"#.000")&amp;", pari al "&amp;TEXT(IFERROR(J59/G61,0),"0,00%")&amp;" dell'importo del "&amp;D61&amp;"."&amp;CHAR(10)&amp;"Sebbene la soglia prevista dal codice della crisinon sia ancora stata superata, si raccomanda un attento monitoraggio per non peggiorare la situazione."</f>
        <v>Si segnala che alla data del 31/12/2024 non è stata versata IVA per Euro 21.000, pari al 2,10% dell'importo del Volume d'affari dichiarazione anno d'imposta precedente.
Sebbene la soglia prevista dal codice della crisinon sia ancora stata superata, si raccomanda un attento monitoraggio per non peggiorare la situazione.</v>
      </c>
      <c r="O62" s="32"/>
    </row>
    <row r="63" spans="1:15" x14ac:dyDescent="0.25">
      <c r="D63" s="31" t="s">
        <v>13</v>
      </c>
      <c r="E63" s="31" t="s">
        <v>37</v>
      </c>
      <c r="F63" s="31" t="s">
        <v>11</v>
      </c>
      <c r="G63" s="31" t="s">
        <v>12</v>
      </c>
      <c r="H63" s="31" t="s">
        <v>14</v>
      </c>
      <c r="I63" s="31"/>
      <c r="L63" s="13" t="s">
        <v>3</v>
      </c>
      <c r="M63" s="13" t="str">
        <f>"Si segnala che alla data del "&amp;
TEXT(d,"gg/mm/aaaa")&amp;
" non è stata versata IVA per "&amp;
TEXT(E64,"#.000")&amp;
", pari al "&amp;TEXT(IFERROR(J59/G61,0),"0,00%")&amp;
" del volume d'affari dell'anno di imposta precedente "&amp;
CHAR(10)&amp;"Tale dato configura una situazione di crisi, cui occorre porre riparo."</f>
        <v>Si segnala che alla data del 31/12/2024 non è stata versata IVA per 21.000, pari al 2,10% del volume d'affari dell'anno di imposta precedente 
Tale dato configura una situazione di crisi, cui occorre porre riparo.</v>
      </c>
      <c r="O63" s="32"/>
    </row>
    <row r="64" spans="1:15" x14ac:dyDescent="0.25">
      <c r="D64" s="33" t="s">
        <v>35</v>
      </c>
      <c r="E64" s="42">
        <v>21000</v>
      </c>
      <c r="F64" s="42">
        <v>30000</v>
      </c>
      <c r="G64" s="34">
        <f>+Tabella13467[[#This Row],[Scaduti]]+Tabella13467[[#This Row],[Altri]]</f>
        <v>51000</v>
      </c>
      <c r="H64" s="34">
        <f>+Tabella13467[[#This Row],[Scaduti]]</f>
        <v>21000</v>
      </c>
      <c r="I64" s="34"/>
      <c r="O64" s="32"/>
    </row>
    <row r="65" spans="1:15" x14ac:dyDescent="0.25">
      <c r="O65" s="32"/>
    </row>
    <row r="66" spans="1:15" x14ac:dyDescent="0.25">
      <c r="O66" s="32"/>
    </row>
    <row r="67" spans="1:15" hidden="1" x14ac:dyDescent="0.25">
      <c r="O67" s="32"/>
    </row>
    <row r="68" spans="1:15" x14ac:dyDescent="0.2">
      <c r="A68" s="36">
        <f>+IF(F6="Azienda individuale",100000,IF(F6="Società di persone",300000,500000))</f>
        <v>100000</v>
      </c>
      <c r="B68" s="37"/>
      <c r="C68" s="28" t="s">
        <v>38</v>
      </c>
      <c r="D68" s="19"/>
      <c r="E68" s="19"/>
      <c r="F68" s="19"/>
      <c r="G68" s="19"/>
      <c r="H68" s="19"/>
      <c r="I68" s="19"/>
      <c r="J68" s="29" cm="1">
        <f t="array" ref="J68">+Tabella134678[Indicatore]</f>
        <v>200000</v>
      </c>
      <c r="L68" s="13" t="str">
        <f>+IF(InserimentoDati!J68&gt;=InserimentoDati!A68,"rosso",IF(InserimentoDati!J68&gt;0,"giallo","verde"))</f>
        <v>rosso</v>
      </c>
      <c r="M68" s="13" t="str">
        <f>+VLOOKUP(L68,L70:M72,2,0)</f>
        <v>si segnala che alla data del 31/12/2024 sussistono debiti affidati per la riscossione, autodichiarati o definitivamente accertati e scaduti da oltre novanta giorni per 200.000
Tale dato configura una situazione di crisi, cui occorre porre riparo.</v>
      </c>
      <c r="O68" s="32"/>
    </row>
    <row r="69" spans="1:15" ht="22.5" x14ac:dyDescent="0.25">
      <c r="C69" s="30"/>
      <c r="O69" s="32"/>
    </row>
    <row r="70" spans="1:15" ht="28.5" x14ac:dyDescent="0.25">
      <c r="D70" s="31" t="s">
        <v>13</v>
      </c>
      <c r="E70" s="31" t="s">
        <v>25</v>
      </c>
      <c r="F70" s="31" t="s">
        <v>11</v>
      </c>
      <c r="G70" s="31" t="s">
        <v>12</v>
      </c>
      <c r="H70" s="31" t="s">
        <v>14</v>
      </c>
      <c r="L70" s="13" t="s">
        <v>4</v>
      </c>
      <c r="M70" s="13" t="s">
        <v>59</v>
      </c>
      <c r="O70" s="32"/>
    </row>
    <row r="71" spans="1:15" x14ac:dyDescent="0.25">
      <c r="D71" s="33" t="s">
        <v>39</v>
      </c>
      <c r="E71" s="42">
        <v>200000</v>
      </c>
      <c r="F71" s="42">
        <v>30000</v>
      </c>
      <c r="G71" s="34">
        <f>+Tabella134678[[#This Row],[Scaduti da oltre 90 gg]]+Tabella134678[[#This Row],[Altri]]</f>
        <v>230000</v>
      </c>
      <c r="H71" s="34">
        <f>+Tabella134678[[#This Row],[Scaduti da oltre 90 gg]]</f>
        <v>200000</v>
      </c>
      <c r="L71" s="13" t="s">
        <v>5</v>
      </c>
      <c r="M71" s="13" t="str">
        <f>+"si segnala che alla data del "&amp;TEXT(d,"gg/mm/aaaa")&amp; " sussistono debiti affidati per la riscossione, autodichiarati o definitivamente accertati e scaduti da oltre novanta giorni per "&amp;TEXT(E71,"#.000")&amp;CHAR(10)&amp;"Sebbene la soglia prevista dal codice della crisinon sia ancora stata superata, si raccomanda un attento monitoraggio per non peggiorare la situazione."</f>
        <v>si segnala che alla data del 31/12/2024 sussistono debiti affidati per la riscossione, autodichiarati o definitivamente accertati e scaduti da oltre novanta giorni per 200.000
Sebbene la soglia prevista dal codice della crisinon sia ancora stata superata, si raccomanda un attento monitoraggio per non peggiorare la situazione.</v>
      </c>
      <c r="O71" s="32"/>
    </row>
    <row r="72" spans="1:15" x14ac:dyDescent="0.25">
      <c r="I72" s="31"/>
      <c r="L72" s="13" t="s">
        <v>3</v>
      </c>
      <c r="M72" s="13" t="str">
        <f>+"si segnala che alla data del "&amp;TEXT(d,"gg/mm/aaaa")&amp; " sussistono debiti affidati per la riscossione, autodichiarati o definitivamente accertati e scaduti da oltre novanta giorni per "&amp;TEXT(E71,"#.000")&amp;CHAR(10)&amp;
CHAR(10)&amp;"Tale dato configura una situazione di crisi, cui occorre porre riparo."</f>
        <v>si segnala che alla data del 31/12/2024 sussistono debiti affidati per la riscossione, autodichiarati o definitivamente accertati e scaduti da oltre novanta giorni per 200.000
Tale dato configura una situazione di crisi, cui occorre porre riparo.</v>
      </c>
      <c r="O72" s="32"/>
    </row>
    <row r="73" spans="1:15" x14ac:dyDescent="0.25">
      <c r="I73" s="34"/>
      <c r="O73" s="32"/>
    </row>
    <row r="74" spans="1:15" x14ac:dyDescent="0.25">
      <c r="L74" s="13" t="str">
        <f>+IF(M77&gt;0,"rosso",IF(M76&gt;0,"giallo","verde"))</f>
        <v>rosso</v>
      </c>
      <c r="N74" s="13" t="str">
        <f>+VLOOKUP(L74,L75:N77,3,0)</f>
        <v>3 indicatori hanno superato le soglie e  3 indicatori presentano valori degni di attenzione. La situazione ai sensi dell'art. 3 ccii denota uno stato di crisi e impone di assumere senza indugio le iniziative necessarie a farvi fronte.</v>
      </c>
      <c r="O74" s="32"/>
    </row>
    <row r="75" spans="1:15" x14ac:dyDescent="0.25">
      <c r="L75" s="13" t="s">
        <v>4</v>
      </c>
      <c r="M75" s="13">
        <f>+COUNTIF($L$20:$L$72,L75)-7</f>
        <v>1</v>
      </c>
      <c r="N75" s="13" t="s">
        <v>46</v>
      </c>
      <c r="O75" s="32"/>
    </row>
    <row r="76" spans="1:15" x14ac:dyDescent="0.25">
      <c r="L76" s="13" t="s">
        <v>5</v>
      </c>
      <c r="M76" s="13">
        <f t="shared" ref="M76:M77" si="0">+COUNTIF($L$20:$L$72,L76)-7</f>
        <v>3</v>
      </c>
      <c r="N76" s="13" t="str">
        <f>+M76&amp;" indicatori presentano valori degni di attenzione, ancorchè con valori al di sotto delle soglie di segnalazione. Si raccomanda di tenere costantemente monitorata la situazione e gli altri fattori che potrebbero influenzare la continuità aziendale"</f>
        <v>3 indicatori presentano valori degni di attenzione, ancorchè con valori al di sotto delle soglie di segnalazione. Si raccomanda di tenere costantemente monitorata la situazione e gli altri fattori che potrebbero influenzare la continuità aziendale</v>
      </c>
      <c r="O76" s="32"/>
    </row>
    <row r="77" spans="1:15" x14ac:dyDescent="0.25">
      <c r="L77" s="13" t="s">
        <v>3</v>
      </c>
      <c r="M77" s="13">
        <f t="shared" si="0"/>
        <v>3</v>
      </c>
      <c r="N77" s="13" t="str">
        <f>+M77&amp; " indicatori hanno superato le soglie e  "&amp;M76&amp;" indicatori presentano valori degni di attenzione. La situazione ai sensi dell'art. 3 ccii denota uno stato di crisi e impone di assumere senza indugio le iniziative necessarie a farvi fronte."</f>
        <v>3 indicatori hanno superato le soglie e  3 indicatori presentano valori degni di attenzione. La situazione ai sensi dell'art. 3 ccii denota uno stato di crisi e impone di assumere senza indugio le iniziative necessarie a farvi fronte.</v>
      </c>
      <c r="O77" s="32"/>
    </row>
    <row r="78" spans="1:15" x14ac:dyDescent="0.25">
      <c r="O78" s="32"/>
    </row>
    <row r="79" spans="1:15" x14ac:dyDescent="0.25">
      <c r="O79" s="32"/>
    </row>
    <row r="80" spans="1:15" x14ac:dyDescent="0.25">
      <c r="O80" s="32"/>
    </row>
    <row r="86" spans="4:4" ht="22.5" x14ac:dyDescent="0.25">
      <c r="D86" s="38"/>
    </row>
    <row r="87" spans="4:4" ht="22.5" x14ac:dyDescent="0.25">
      <c r="D87" s="38"/>
    </row>
    <row r="88" spans="4:4" ht="22.5" x14ac:dyDescent="0.25">
      <c r="D88" s="38"/>
    </row>
    <row r="89" spans="4:4" ht="22.5" x14ac:dyDescent="0.25">
      <c r="D89" s="38"/>
    </row>
    <row r="90" spans="4:4" ht="22.5" x14ac:dyDescent="0.25">
      <c r="D90" s="38"/>
    </row>
    <row r="91" spans="4:4" ht="22.5" x14ac:dyDescent="0.25">
      <c r="D91" s="38"/>
    </row>
    <row r="92" spans="4:4" ht="22.5" x14ac:dyDescent="0.25">
      <c r="D92" s="38"/>
    </row>
    <row r="93" spans="4:4" ht="22.5" x14ac:dyDescent="0.25">
      <c r="D93" s="38"/>
    </row>
    <row r="94" spans="4:4" ht="22.5" x14ac:dyDescent="0.25">
      <c r="D94" s="38"/>
    </row>
  </sheetData>
  <mergeCells count="7">
    <mergeCell ref="F4:H4"/>
    <mergeCell ref="D14:H14"/>
    <mergeCell ref="D15:H15"/>
    <mergeCell ref="D16:H16"/>
    <mergeCell ref="L14:Z14"/>
    <mergeCell ref="L15:Z15"/>
    <mergeCell ref="L16:Z16"/>
  </mergeCells>
  <dataValidations disablePrompts="1" count="1">
    <dataValidation type="list" allowBlank="1" showInputMessage="1" showErrorMessage="1" sqref="F6" xr:uid="{08FBCE49-6BB5-4D4F-9E22-D0CF43D8A6E1}">
      <formula1>"Azienda individuale,Società di persone, Altra società"</formula1>
    </dataValidation>
  </dataValidations>
  <pageMargins left="0.19685039370078741" right="0.27559055118110237" top="0.74803149606299213" bottom="0.74803149606299213" header="0.31496062992125984" footer="0.31496062992125984"/>
  <pageSetup paperSize="9" scale="67" fitToHeight="0" orientation="portrait" horizontalDpi="200" verticalDpi="200" r:id="rId1"/>
  <rowBreaks count="1" manualBreakCount="1">
    <brk id="58" min="2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4" r:id="rId4" name="Check Box 20">
              <controlPr defaultSize="0" autoFill="0" autoLine="0" autoPict="0">
                <anchor moveWithCells="1">
                  <from>
                    <xdr:col>4</xdr:col>
                    <xdr:colOff>1285875</xdr:colOff>
                    <xdr:row>6</xdr:row>
                    <xdr:rowOff>38100</xdr:rowOff>
                  </from>
                  <to>
                    <xdr:col>5</xdr:col>
                    <xdr:colOff>295275</xdr:colOff>
                    <xdr:row>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5" name="Group Box 80">
              <controlPr defaultSize="0" autoFill="0" autoPict="0" altText="Sì-No">
                <anchor moveWithCells="1">
                  <from>
                    <xdr:col>9</xdr:col>
                    <xdr:colOff>19050</xdr:colOff>
                    <xdr:row>13</xdr:row>
                    <xdr:rowOff>0</xdr:rowOff>
                  </from>
                  <to>
                    <xdr:col>10</xdr:col>
                    <xdr:colOff>0</xdr:colOff>
                    <xdr:row>13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6" name="Option Button 81">
              <controlPr defaultSize="0" autoFill="0" autoLine="0" autoPict="0">
                <anchor moveWithCells="1">
                  <from>
                    <xdr:col>9</xdr:col>
                    <xdr:colOff>57150</xdr:colOff>
                    <xdr:row>13</xdr:row>
                    <xdr:rowOff>152400</xdr:rowOff>
                  </from>
                  <to>
                    <xdr:col>9</xdr:col>
                    <xdr:colOff>323850</xdr:colOff>
                    <xdr:row>13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7" name="Option Button 83">
              <controlPr defaultSize="0" autoFill="0" autoLine="0" autoPict="0">
                <anchor moveWithCells="1">
                  <from>
                    <xdr:col>9</xdr:col>
                    <xdr:colOff>457200</xdr:colOff>
                    <xdr:row>13</xdr:row>
                    <xdr:rowOff>152400</xdr:rowOff>
                  </from>
                  <to>
                    <xdr:col>9</xdr:col>
                    <xdr:colOff>723900</xdr:colOff>
                    <xdr:row>13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" name="Group Box 86">
              <controlPr defaultSize="0" autoFill="0" autoPict="0" altText="Sì-No">
                <anchor moveWithCells="1">
                  <from>
                    <xdr:col>9</xdr:col>
                    <xdr:colOff>19050</xdr:colOff>
                    <xdr:row>14</xdr:row>
                    <xdr:rowOff>0</xdr:rowOff>
                  </from>
                  <to>
                    <xdr:col>10</xdr:col>
                    <xdr:colOff>0</xdr:colOff>
                    <xdr:row>14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9" name="Option Button 87">
              <controlPr defaultSize="0" autoFill="0" autoLine="0" autoPict="0">
                <anchor moveWithCells="1">
                  <from>
                    <xdr:col>9</xdr:col>
                    <xdr:colOff>57150</xdr:colOff>
                    <xdr:row>14</xdr:row>
                    <xdr:rowOff>104775</xdr:rowOff>
                  </from>
                  <to>
                    <xdr:col>9</xdr:col>
                    <xdr:colOff>323850</xdr:colOff>
                    <xdr:row>14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10" name="Option Button 88">
              <controlPr defaultSize="0" autoFill="0" autoLine="0" autoPict="0">
                <anchor moveWithCells="1">
                  <from>
                    <xdr:col>9</xdr:col>
                    <xdr:colOff>457200</xdr:colOff>
                    <xdr:row>14</xdr:row>
                    <xdr:rowOff>104775</xdr:rowOff>
                  </from>
                  <to>
                    <xdr:col>9</xdr:col>
                    <xdr:colOff>723900</xdr:colOff>
                    <xdr:row>14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11" name="Option Button 89">
              <controlPr defaultSize="0" autoFill="0" autoLine="0" autoPict="0">
                <anchor moveWithCells="1">
                  <from>
                    <xdr:col>9</xdr:col>
                    <xdr:colOff>57150</xdr:colOff>
                    <xdr:row>15</xdr:row>
                    <xdr:rowOff>152400</xdr:rowOff>
                  </from>
                  <to>
                    <xdr:col>9</xdr:col>
                    <xdr:colOff>323850</xdr:colOff>
                    <xdr:row>15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12" name="Option Button 90">
              <controlPr defaultSize="0" autoFill="0" autoLine="0" autoPict="0">
                <anchor moveWithCells="1">
                  <from>
                    <xdr:col>9</xdr:col>
                    <xdr:colOff>457200</xdr:colOff>
                    <xdr:row>15</xdr:row>
                    <xdr:rowOff>152400</xdr:rowOff>
                  </from>
                  <to>
                    <xdr:col>9</xdr:col>
                    <xdr:colOff>723900</xdr:colOff>
                    <xdr:row>15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13" name="Group Box 91">
              <controlPr defaultSize="0" autoFill="0" autoPict="0" altText="Sì-No">
                <anchor moveWithCells="1">
                  <from>
                    <xdr:col>9</xdr:col>
                    <xdr:colOff>19050</xdr:colOff>
                    <xdr:row>15</xdr:row>
                    <xdr:rowOff>9525</xdr:rowOff>
                  </from>
                  <to>
                    <xdr:col>10</xdr:col>
                    <xdr:colOff>0</xdr:colOff>
                    <xdr:row>15</xdr:row>
                    <xdr:rowOff>428625</xdr:rowOff>
                  </to>
                </anchor>
              </controlPr>
            </control>
          </mc:Choice>
        </mc:AlternateContent>
      </controls>
    </mc:Choice>
  </mc:AlternateContent>
  <tableParts count="7">
    <tablePart r:id="rId14"/>
    <tablePart r:id="rId15"/>
    <tablePart r:id="rId16"/>
    <tablePart r:id="rId17"/>
    <tablePart r:id="rId18"/>
    <tablePart r:id="rId19"/>
    <tablePart r:id="rId20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D46FC-A220-491D-95D6-0BF9545C8440}">
  <sheetPr codeName="Foglio2"/>
  <dimension ref="A2:M4"/>
  <sheetViews>
    <sheetView workbookViewId="0">
      <selection activeCell="A4" sqref="A4"/>
    </sheetView>
  </sheetViews>
  <sheetFormatPr defaultRowHeight="85.7" customHeight="1" x14ac:dyDescent="0.25"/>
  <cols>
    <col min="1" max="1" width="16.140625" customWidth="1"/>
    <col min="13" max="13" width="20.140625" customWidth="1"/>
  </cols>
  <sheetData>
    <row r="2" spans="1:13" ht="85.7" customHeight="1" x14ac:dyDescent="0.25">
      <c r="A2" s="1" t="s">
        <v>3</v>
      </c>
    </row>
    <row r="3" spans="1:13" ht="85.7" customHeight="1" x14ac:dyDescent="0.25">
      <c r="A3" s="1" t="s">
        <v>4</v>
      </c>
      <c r="M3" s="2"/>
    </row>
    <row r="4" spans="1:13" ht="85.7" customHeight="1" x14ac:dyDescent="0.25">
      <c r="A4" s="1" t="s">
        <v>5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AE01F-82EB-4644-A96A-B89FD910791F}">
  <sheetPr codeName="Foglio3"/>
  <dimension ref="A1:XFB22"/>
  <sheetViews>
    <sheetView showGridLines="0" topLeftCell="B1" zoomScaleNormal="100" zoomScalePageLayoutView="40" workbookViewId="0">
      <selection activeCell="B2" sqref="B2"/>
    </sheetView>
  </sheetViews>
  <sheetFormatPr defaultColWidth="0" defaultRowHeight="15" x14ac:dyDescent="0.2"/>
  <cols>
    <col min="1" max="1" width="13.28515625" style="3" hidden="1" customWidth="1"/>
    <col min="2" max="2" width="120.5703125" style="4" customWidth="1"/>
    <col min="3" max="16382" width="9" style="4" hidden="1"/>
    <col min="16383" max="16383" width="3.28515625" style="4" customWidth="1"/>
    <col min="16384" max="16384" width="7.28515625" style="4" customWidth="1"/>
  </cols>
  <sheetData>
    <row r="1" spans="1:2" ht="74.45" customHeight="1" x14ac:dyDescent="0.2"/>
    <row r="2" spans="1:2" ht="74.45" customHeight="1" x14ac:dyDescent="0.25">
      <c r="B2" s="50" t="str">
        <f>+InserimentoDati!F4</f>
        <v>ALFA S.R.L.</v>
      </c>
    </row>
    <row r="3" spans="1:2" ht="39" customHeight="1" x14ac:dyDescent="0.2">
      <c r="B3" s="49">
        <f>+d</f>
        <v>45657</v>
      </c>
    </row>
    <row r="4" spans="1:2" ht="48.4" customHeight="1" x14ac:dyDescent="0.2">
      <c r="B4" s="5" t="s">
        <v>47</v>
      </c>
    </row>
    <row r="6" spans="1:2" s="6" customFormat="1" ht="20.100000000000001" customHeight="1" x14ac:dyDescent="0.25">
      <c r="B6" s="7" t="s">
        <v>48</v>
      </c>
    </row>
    <row r="7" spans="1:2" ht="60" customHeight="1" x14ac:dyDescent="0.2">
      <c r="A7" s="3" t="s">
        <v>52</v>
      </c>
      <c r="B7" s="6" t="str">
        <f>+A7&amp;InserimentoDati!M8</f>
        <v>Dall'esame dell'assetto contabile, amministrativo e organizzativo dell'impresa è emerso che l'assetto dell'azienda appare non del tutto adeguato alle finalità di cui all'art. 3 del Codice della crisi di impresa e dell'insolvenza, per motivazioni di seguito descritte.</v>
      </c>
    </row>
    <row r="8" spans="1:2" s="6" customFormat="1" ht="50.1" customHeight="1" x14ac:dyDescent="0.25">
      <c r="B8" s="8" t="str">
        <f>+InserimentoDati!L14</f>
        <v>- L'azienda è in grado di rilevare eventuali squilibri di carattere patrimoniale o economico-finanziario, rapportati alle specifiche caratteristiche dell’impresa e dell’attività imprenditoriale svolta dal debitore;</v>
      </c>
    </row>
    <row r="9" spans="1:2" s="6" customFormat="1" ht="50.1" customHeight="1" x14ac:dyDescent="0.25">
      <c r="B9" s="8" t="str">
        <f>+InserimentoDati!L15</f>
        <v>- L'azienda non è in grado di verificare la sostenibilità dei debiti e le prospettive di continuità aziendale almeno per i dodici mesi successivi e rilevare i segnali di cui al comma 4;</v>
      </c>
    </row>
    <row r="10" spans="1:2" ht="50.1" customHeight="1" x14ac:dyDescent="0.2">
      <c r="B10" s="9" t="str">
        <f>+InserimentoDati!L16</f>
        <v>- L'azienda è in grado di ricavare le informazioni necessarie a utilizzare la lista di controllo particolareggiata (cd check list) e a effettuare il test pratico per la verifica della ragionevole perseguibilità del risanamento di cui all’articolo 13, al comma 2.</v>
      </c>
    </row>
    <row r="12" spans="1:2" s="6" customFormat="1" ht="20.100000000000001" customHeight="1" x14ac:dyDescent="0.25">
      <c r="B12" s="7" t="s">
        <v>53</v>
      </c>
    </row>
    <row r="13" spans="1:2" s="6" customFormat="1" ht="20.100000000000001" customHeight="1" x14ac:dyDescent="0.25">
      <c r="B13" s="9" t="str">
        <f>+InserimentoDati!M20</f>
        <v>Si segnala che alla data del 31/12/2024 esistono debiti scaduti per Euro 10.000, pari al 16,67% del totale dei debiti. 
Sebbene la soglia prevista dal codice della crisi non sia ancora stata superata, si raccomanda un attento monitoraggio per non peggiorare la situazione.</v>
      </c>
    </row>
    <row r="14" spans="1:2" ht="52.7" customHeight="1" x14ac:dyDescent="0.2">
      <c r="A14" s="3" t="s">
        <v>54</v>
      </c>
      <c r="B14" s="9" t="str">
        <f>+A14&amp;InserimentoDati!M26</f>
        <v>Per quanto riguarda i dipendenti, si segnala che alla data del 31/12/2024 esistono debiti scaduti per Euro 200.000, pari a 2,50 volte l'importo delle retribuzioni. 
Tale dato configura una situazione di crisi, cui occorre porre riparo.</v>
      </c>
    </row>
    <row r="15" spans="1:2" ht="120" x14ac:dyDescent="0.2">
      <c r="A15" s="3" t="s">
        <v>23</v>
      </c>
      <c r="B15" s="9" t="str">
        <f>+A15&amp;CHAR(10)&amp;InserimentoDati!M34</f>
        <v>Dall'esame della Centrale Rischi è emerso quanto di seguito riportato.
Si segnala che alla data del 31/12/2024 esistono debiti verso banche scaduti da più di 60 giorni per Euro 1.000, pari a 0,03 il totale delle esposizioni 
Sebbene la soglia prevista dal codice della crisinon sia ancora stata superata, si raccomanda un attento monitoraggio per non peggiorare la situazione.</v>
      </c>
    </row>
    <row r="16" spans="1:2" ht="135" x14ac:dyDescent="0.2">
      <c r="A16" s="3" t="s">
        <v>56</v>
      </c>
      <c r="B16" s="6" t="str">
        <f>+A16</f>
        <v>La verifica della regolarità contributiva ha condotto agli esiti che seguono.</v>
      </c>
    </row>
    <row r="17" spans="1:2" ht="70.5" customHeight="1" x14ac:dyDescent="0.2">
      <c r="B17" s="10" t="str">
        <f>+InserimentoDati!M43</f>
        <v>Si segnala che alla data del 31/12/2024 non sono stati versati contributi INPS da oltre 90 giorni per Euro 6.000, pari al 600,00% dlel'importo dei contributi dovuti per l'anno precedente. 
Sebbene la soglia prevista dal codice della crisinon sia ancora stata superata, si raccomanda un attento monitoraggio per non peggiorare la situazione.</v>
      </c>
    </row>
    <row r="18" spans="1:2" s="6" customFormat="1" ht="52.7" customHeight="1" x14ac:dyDescent="0.25">
      <c r="B18" s="10" t="str">
        <f>+InserimentoDati!M51</f>
        <v>Non si segnalano contributi INAIL non versati da oltre 90 giorni</v>
      </c>
    </row>
    <row r="19" spans="1:2" ht="75" x14ac:dyDescent="0.2">
      <c r="A19" s="3" t="s">
        <v>58</v>
      </c>
      <c r="B19" s="11" t="str">
        <f>+A19&amp;InserimentoDati!M68</f>
        <v>Infine per quanto riguarda i debiti tributari, si segnala che alla data del 31/12/2024 sussistono debiti affidati per la riscossione, autodichiarati o definitivamente accertati e scaduti da oltre novanta giorni per 200.000
Tale dato configura una situazione di crisi, cui occorre porre riparo.</v>
      </c>
    </row>
    <row r="21" spans="1:2" x14ac:dyDescent="0.2">
      <c r="B21" s="12" t="s">
        <v>60</v>
      </c>
    </row>
    <row r="22" spans="1:2" ht="120" x14ac:dyDescent="0.2">
      <c r="A22" s="3" t="s">
        <v>61</v>
      </c>
      <c r="B22" s="4" t="str">
        <f>+A22&amp;InserimentoDati!N74</f>
        <v>Dall'esame dei segnali che denotano uno stato di difficolta e/o di crisi, risulta che 3 indicatori hanno superato le soglie e  3 indicatori presentano valori degni di attenzione. La situazione ai sensi dell'art. 3 ccii denota uno stato di crisi e impone di assumere senza indugio le iniziative necessarie a farvi fronte.</v>
      </c>
    </row>
  </sheetData>
  <sheetProtection algorithmName="SHA-512" hashValue="o8rMf/iRpRV2uoCqAdJiydLdM2XLSVjHuvlFR1WbsjbDh+F4FuDL1ehamk49f0iudTn9MAd4h0uEEt2qLhtqsw==" saltValue="qAWKQaN974j3/qrJAmpJOw==" spinCount="100000" sheet="1" objects="1" scenarios="1"/>
  <pageMargins left="0.70866141732283472" right="0.70866141732283472" top="1.03" bottom="0.74803149606299213" header="0.31496062992125984" footer="0.31496062992125984"/>
  <pageSetup paperSize="9" scale="95" orientation="portrait" horizontalDpi="200" verticalDpi="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17031-4869-48BB-8AAE-1B199F7DD4C7}">
  <sheetPr codeName="Foglio4"/>
  <dimension ref="A1:C23"/>
  <sheetViews>
    <sheetView showGridLines="0" tabSelected="1" topLeftCell="A2" zoomScaleNormal="100" workbookViewId="0">
      <selection activeCell="C13" sqref="C13"/>
    </sheetView>
  </sheetViews>
  <sheetFormatPr defaultColWidth="0" defaultRowHeight="15" zeroHeight="1" x14ac:dyDescent="0.25"/>
  <cols>
    <col min="1" max="1" width="130.85546875" customWidth="1"/>
    <col min="2" max="2" width="9.140625" customWidth="1"/>
    <col min="3" max="3" width="16.140625" customWidth="1"/>
    <col min="4" max="15" width="9.140625" hidden="1" customWidth="1"/>
    <col min="16" max="16384" width="9.140625" hidden="1"/>
  </cols>
  <sheetData>
    <row r="1" spans="1:1" ht="90.75" customHeight="1" x14ac:dyDescent="0.25"/>
    <row r="2" spans="1:1" ht="35.25" customHeight="1" x14ac:dyDescent="0.25">
      <c r="A2" s="44" t="s">
        <v>66</v>
      </c>
    </row>
    <row r="3" spans="1:1" ht="15.75" customHeight="1" x14ac:dyDescent="0.25">
      <c r="A3" s="47" t="str">
        <f>+InserimentoDati!F4</f>
        <v>ALFA S.R.L.</v>
      </c>
    </row>
    <row r="4" spans="1:1" x14ac:dyDescent="0.25">
      <c r="A4" s="48">
        <f>+d</f>
        <v>45657</v>
      </c>
    </row>
    <row r="5" spans="1:1" x14ac:dyDescent="0.25">
      <c r="A5" s="51" t="str" cm="1">
        <f t="array" ref="A5:A19">+_xlfn._xlws.FILTER(Relazione!B6:B1048576,Relazione!B6:B1048576&gt;0)</f>
        <v>Caratteristiche dell'assetto dell'impresa</v>
      </c>
    </row>
    <row r="6" spans="1:1" ht="30" x14ac:dyDescent="0.25">
      <c r="A6" s="45" t="str">
        <v>Dall'esame dell'assetto contabile, amministrativo e organizzativo dell'impresa è emerso che l'assetto dell'azienda appare non del tutto adeguato alle finalità di cui all'art. 3 del Codice della crisi di impresa e dell'insolvenza, per motivazioni di seguito descritte.</v>
      </c>
    </row>
    <row r="7" spans="1:1" ht="30" x14ac:dyDescent="0.25">
      <c r="A7" s="45" t="str">
        <v>- L'azienda è in grado di rilevare eventuali squilibri di carattere patrimoniale o economico-finanziario, rapportati alle specifiche caratteristiche dell’impresa e dell’attività imprenditoriale svolta dal debitore;</v>
      </c>
    </row>
    <row r="8" spans="1:1" ht="30" x14ac:dyDescent="0.25">
      <c r="A8" s="45" t="str">
        <v>- L'azienda non è in grado di verificare la sostenibilità dei debiti e le prospettive di continuità aziendale almeno per i dodici mesi successivi e rilevare i segnali di cui al comma 4;</v>
      </c>
    </row>
    <row r="9" spans="1:1" ht="30" x14ac:dyDescent="0.25">
      <c r="A9" s="45" t="str">
        <v>- L'azienda è in grado di ricavare le informazioni necessarie a utilizzare la lista di controllo particolareggiata (cd check list) e a effettuare il test pratico per la verifica della ragionevole perseguibilità del risanamento di cui all’articolo 13, al comma 2.</v>
      </c>
    </row>
    <row r="10" spans="1:1" x14ac:dyDescent="0.25">
      <c r="A10" s="46" t="str">
        <v>Esame dei segnali rilevatori di uno stato di crisi</v>
      </c>
    </row>
    <row r="11" spans="1:1" x14ac:dyDescent="0.25">
      <c r="A11" s="45" t="str">
        <v>Si segnala che alla data del 31/12/2024 esistono debiti scaduti per Euro 10.000, pari al 16,67% del totale dei debiti. 
Sebbene la soglia prevista dal codice della crisi non sia ancora stata superata, si raccomanda un attento monitoraggio per non peggiorare la situazione.</v>
      </c>
    </row>
    <row r="12" spans="1:1" ht="45" x14ac:dyDescent="0.25">
      <c r="A12" s="45" t="str">
        <v>Per quanto riguarda i dipendenti, si segnala che alla data del 31/12/2024 esistono debiti scaduti per Euro 200.000, pari a 2,50 volte l'importo delle retribuzioni. 
Tale dato configura una situazione di crisi, cui occorre porre riparo.</v>
      </c>
    </row>
    <row r="13" spans="1:1" ht="75" x14ac:dyDescent="0.25">
      <c r="A13" s="45" t="str">
        <v>Dall'esame della Centrale Rischi è emerso quanto di seguito riportato.
Si segnala che alla data del 31/12/2024 esistono debiti verso banche scaduti da più di 60 giorni per Euro 1.000, pari a 0,03 il totale delle esposizioni 
Sebbene la soglia prevista dal codice della crisinon sia ancora stata superata, si raccomanda un attento monitoraggio per non peggiorare la situazione.</v>
      </c>
    </row>
    <row r="14" spans="1:1" x14ac:dyDescent="0.25">
      <c r="A14" s="46" t="str">
        <v>La verifica della regolarità contributiva ha condotto agli esiti che seguono.</v>
      </c>
    </row>
    <row r="15" spans="1:1" ht="60" x14ac:dyDescent="0.25">
      <c r="A15" s="45" t="str">
        <v>Si segnala che alla data del 31/12/2024 non sono stati versati contributi INPS da oltre 90 giorni per Euro 6.000, pari al 600,00% dlel'importo dei contributi dovuti per l'anno precedente. 
Sebbene la soglia prevista dal codice della crisinon sia ancora stata superata, si raccomanda un attento monitoraggio per non peggiorare la situazione.</v>
      </c>
    </row>
    <row r="16" spans="1:1" x14ac:dyDescent="0.25">
      <c r="A16" s="46" t="str">
        <v>Non si segnalano contributi INAIL non versati da oltre 90 giorni</v>
      </c>
    </row>
    <row r="17" spans="1:1" ht="60" x14ac:dyDescent="0.25">
      <c r="A17" s="45" t="str">
        <v>Infine per quanto riguarda i debiti tributari, si segnala che alla data del 31/12/2024 sussistono debiti affidati per la riscossione, autodichiarati o definitivamente accertati e scaduti da oltre novanta giorni per 200.000
Tale dato configura una situazione di crisi, cui occorre porre riparo.</v>
      </c>
    </row>
    <row r="18" spans="1:1" ht="22.5" customHeight="1" x14ac:dyDescent="0.25">
      <c r="A18" s="46" t="str">
        <v>Conclusioni in merito a quanto rilevato</v>
      </c>
    </row>
    <row r="19" spans="1:1" ht="45" x14ac:dyDescent="0.25">
      <c r="A19" s="45" t="str">
        <v>Dall'esame dei segnali che denotano uno stato di difficolta e/o di crisi, risulta che 3 indicatori hanno superato le soglie e  3 indicatori presentano valori degni di attenzione. La situazione ai sensi dell'art. 3 ccii denota uno stato di crisi e impone di assumere senza indugio le iniziative necessarie a farvi fronte.</v>
      </c>
    </row>
    <row r="20" spans="1:1" x14ac:dyDescent="0.25"/>
    <row r="21" spans="1:1" x14ac:dyDescent="0.25"/>
    <row r="22" spans="1:1" x14ac:dyDescent="0.25"/>
    <row r="23" spans="1:1" x14ac:dyDescent="0.25"/>
  </sheetData>
  <pageMargins left="0.7" right="0.7" top="0.75" bottom="0.75" header="0.3" footer="0.3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B2E99503D3AD4DA2231F0D240043DD" ma:contentTypeVersion="19" ma:contentTypeDescription="Creare un nuovo documento." ma:contentTypeScope="" ma:versionID="5d22b860b2d7b05646517e191754a185">
  <xsd:schema xmlns:xsd="http://www.w3.org/2001/XMLSchema" xmlns:xs="http://www.w3.org/2001/XMLSchema" xmlns:p="http://schemas.microsoft.com/office/2006/metadata/properties" xmlns:ns2="77a3f60d-3740-4b8f-aea2-18b203205ead" xmlns:ns3="6c014026-a0ef-45dc-9ca9-ac355db24e99" targetNamespace="http://schemas.microsoft.com/office/2006/metadata/properties" ma:root="true" ma:fieldsID="c3ef981538194d0481c402a9a66d521d" ns2:_="" ns3:_="">
    <xsd:import namespace="77a3f60d-3740-4b8f-aea2-18b203205ead"/>
    <xsd:import namespace="6c014026-a0ef-45dc-9ca9-ac355db24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a3f60d-3740-4b8f-aea2-18b203205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bbff36a2-fd21-4e1e-a182-03a870c089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14026-a0ef-45dc-9ca9-ac355db24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c17ed12-4c7d-4ce0-86b8-91d9357e9166}" ma:internalName="TaxCatchAll" ma:showField="CatchAllData" ma:web="6c014026-a0ef-45dc-9ca9-ac355db24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014026-a0ef-45dc-9ca9-ac355db24e99" xsi:nil="true"/>
    <lcf76f155ced4ddcb4097134ff3c332f xmlns="77a3f60d-3740-4b8f-aea2-18b203205e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3AA7C5-A3D0-417B-8402-CF0EC2B76104}"/>
</file>

<file path=customXml/itemProps2.xml><?xml version="1.0" encoding="utf-8"?>
<ds:datastoreItem xmlns:ds="http://schemas.openxmlformats.org/officeDocument/2006/customXml" ds:itemID="{61D1ABE1-FD31-42EA-8355-D05597FBD7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0C2909-71DB-4314-8648-D44FB5999D3E}">
  <ds:schemaRefs>
    <ds:schemaRef ds:uri="http://schemas.microsoft.com/office/2006/metadata/properties"/>
    <ds:schemaRef ds:uri="http://schemas.microsoft.com/office/infopath/2007/PartnerControls"/>
    <ds:schemaRef ds:uri="6c014026-a0ef-45dc-9ca9-ac355db24e99"/>
    <ds:schemaRef ds:uri="77a3f60d-3740-4b8f-aea2-18b203205e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8</vt:i4>
      </vt:variant>
    </vt:vector>
  </HeadingPairs>
  <TitlesOfParts>
    <vt:vector size="11" baseType="lpstr">
      <vt:lpstr>InserimentoDati</vt:lpstr>
      <vt:lpstr>Relazione</vt:lpstr>
      <vt:lpstr>Relazione Compatta (Solo 365)</vt:lpstr>
      <vt:lpstr>InserimentoDati!Area_stampa</vt:lpstr>
      <vt:lpstr>Relazione!Area_stampa</vt:lpstr>
      <vt:lpstr>'Relazione Compatta (Solo 365)'!Area_stampa</vt:lpstr>
      <vt:lpstr>d</vt:lpstr>
      <vt:lpstr>giallo</vt:lpstr>
      <vt:lpstr>nodip</vt:lpstr>
      <vt:lpstr>rosso</vt:lpstr>
      <vt:lpstr>verde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Mattavelli</dc:creator>
  <cp:lastModifiedBy>Alessandro Mattavelli</cp:lastModifiedBy>
  <cp:lastPrinted>2023-03-20T09:28:09Z</cp:lastPrinted>
  <dcterms:created xsi:type="dcterms:W3CDTF">2023-03-18T08:41:46Z</dcterms:created>
  <dcterms:modified xsi:type="dcterms:W3CDTF">2024-12-10T17:54:46Z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0x01010049B2E99503D3AD4DA2231F0D240043DD</vt:lpwstr>
  </property>
  <property fmtid="{D5CDD505-2E9C-101B-9397-08002B2CF9AE}" pid="3" name="MediaServiceImageTags">
    <vt:lpwstr/>
  </property>
</Properties>
</file>