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BF Eternal Transcendence" sheetId="1" r:id="rId4"/>
  </sheets>
  <definedNames/>
  <calcPr/>
</workbook>
</file>

<file path=xl/sharedStrings.xml><?xml version="1.0" encoding="utf-8"?>
<sst xmlns="http://schemas.openxmlformats.org/spreadsheetml/2006/main" count="107" uniqueCount="86">
  <si>
    <t>1.4.7</t>
  </si>
  <si>
    <t>Step</t>
  </si>
  <si>
    <t>Have</t>
  </si>
  <si>
    <t>millions</t>
  </si>
  <si>
    <t>Don't modify anything under this point</t>
  </si>
  <si>
    <t>Missing</t>
  </si>
  <si>
    <t>Missing - Totals</t>
  </si>
  <si>
    <t>Rough Estimates</t>
  </si>
  <si>
    <t>Other Estimates</t>
  </si>
  <si>
    <t>Flawed
Prisms
Months</t>
  </si>
  <si>
    <t>Flawed
Prisms
AH</t>
  </si>
  <si>
    <t>Flawed
Prisms
V.Trial</t>
  </si>
  <si>
    <t>Notes</t>
  </si>
  <si>
    <t>Changelog</t>
  </si>
  <si>
    <t>- Whorls needed for Revenant Weapon ele-change
has been added to Fire &amp; Dark whorls (the less used
ones)</t>
  </si>
  <si>
    <t>v1.4.6</t>
  </si>
  <si>
    <t>bugfix</t>
  </si>
  <si>
    <t>v1.4.5</t>
  </si>
  <si>
    <t>added Rupee count</t>
  </si>
  <si>
    <t>v1.4.4</t>
  </si>
  <si>
    <t>added dragon estimates</t>
  </si>
  <si>
    <t>v1.4.3</t>
  </si>
  <si>
    <t>fixed the three end game raid estimates</t>
  </si>
  <si>
    <t>v1.4.2</t>
  </si>
  <si>
    <t>changed the Kirin &amp; Huanglong estimate</t>
  </si>
  <si>
    <t>v1.4.1</t>
  </si>
  <si>
    <t>fixed incorrect Luster value for sidewheel eternals</t>
  </si>
  <si>
    <t>v1.4</t>
  </si>
  <si>
    <t>final</t>
  </si>
  <si>
    <t>v1.3.3</t>
  </si>
  <si>
    <t>fixed Flawed Prisms Monsths estimation and some Thumbnails</t>
  </si>
  <si>
    <t>v1.3.2</t>
  </si>
  <si>
    <t>added Notes, whorls needed for gw weapons added divided into dark &amp; fire totals, fixed estimates</t>
  </si>
  <si>
    <t>v1.3.1</t>
  </si>
  <si>
    <t>fixed needed flawed prisms</t>
  </si>
  <si>
    <t>v1.3</t>
  </si>
  <si>
    <t>lvl 120 &amp; 130 added</t>
  </si>
  <si>
    <t>v1.2.5</t>
  </si>
  <si>
    <t>changed flawed trade estimation to "month", added lapis merits, preparation for lvl 120 &amp; 130</t>
  </si>
  <si>
    <t>v1.2.4</t>
  </si>
  <si>
    <t>added valor badges and made preparations for lvl 120 to 140</t>
  </si>
  <si>
    <t>v1.2.3</t>
  </si>
  <si>
    <t>increased flawed rate in AH and VT estimations, fixed flawed daily trade estimation</t>
  </si>
  <si>
    <t>v1.2.2</t>
  </si>
  <si>
    <t>fixed proto bahamut estimation</t>
  </si>
  <si>
    <t>v1.2.1</t>
  </si>
  <si>
    <t>reduced flawed rate in the AH estimation, added Violet Trial (Hard) estimation</t>
  </si>
  <si>
    <t>v1.2</t>
  </si>
  <si>
    <t>more Estimates, and fixes</t>
  </si>
  <si>
    <t>v1.1</t>
  </si>
  <si>
    <t>added Totals and some Estimates</t>
  </si>
  <si>
    <t>v1.0</t>
  </si>
  <si>
    <t>initial release (Lvl 110 only)</t>
  </si>
  <si>
    <t>Don't touch this</t>
  </si>
  <si>
    <t>Uno</t>
  </si>
  <si>
    <t>Song</t>
  </si>
  <si>
    <t>Sarasa</t>
  </si>
  <si>
    <t>Quatre</t>
  </si>
  <si>
    <t>Funf</t>
  </si>
  <si>
    <t>Six</t>
  </si>
  <si>
    <t>Siete</t>
  </si>
  <si>
    <t>Okto</t>
  </si>
  <si>
    <t>Nio</t>
  </si>
  <si>
    <t>Esser</t>
  </si>
  <si>
    <t>Sidewheel notes</t>
  </si>
  <si>
    <t>Brick</t>
  </si>
  <si>
    <t>Shard</t>
  </si>
  <si>
    <t>DamaC</t>
  </si>
  <si>
    <t>Rusted</t>
  </si>
  <si>
    <t>Halo</t>
  </si>
  <si>
    <t>Dragon</t>
  </si>
  <si>
    <t>Lapis</t>
  </si>
  <si>
    <t>Spirit</t>
  </si>
  <si>
    <t>Mantle</t>
  </si>
  <si>
    <t>M2 Anima</t>
  </si>
  <si>
    <t>Urn</t>
  </si>
  <si>
    <t>BHL Horn</t>
  </si>
  <si>
    <t>Red Merit</t>
  </si>
  <si>
    <t>Revenant Frags</t>
  </si>
  <si>
    <t>HL Anima</t>
  </si>
  <si>
    <t>Luster</t>
  </si>
  <si>
    <t>Stone</t>
  </si>
  <si>
    <t>Quartz</t>
  </si>
  <si>
    <t>Jewel</t>
  </si>
  <si>
    <t>Lindwurm</t>
  </si>
  <si>
    <t>Rupee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</si>
</sst>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0.0"/>
      <color rgb="FF000000"/>
      <name val="Arial"/>
      <scheme val="minor"/>
    </font>
    <font>
      <b/>
      <i/>
      <sz val="8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  <font>
      <color rgb="FFD9D9D9"/>
      <name val="Arial"/>
      <scheme val="minor"/>
    </font>
    <font>
      <u/>
      <color rgb="FF0000FF"/>
    </font>
    <font>
      <sz val="10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Border="1" applyFill="1" applyFont="1"/>
    <xf borderId="2" fillId="5" fontId="2" numFmtId="0" xfId="0" applyAlignment="1" applyBorder="1" applyFill="1" applyFont="1">
      <alignment readingOrder="0"/>
    </xf>
    <xf borderId="2" fillId="3" fontId="2" numFmtId="0" xfId="0" applyBorder="1" applyFont="1"/>
    <xf borderId="2" fillId="4" fontId="2" numFmtId="0" xfId="0" applyAlignment="1" applyBorder="1" applyFont="1">
      <alignment readingOrder="0"/>
    </xf>
    <xf borderId="2" fillId="6" fontId="2" numFmtId="0" xfId="0" applyAlignment="1" applyBorder="1" applyFill="1" applyFont="1">
      <alignment readingOrder="0"/>
    </xf>
    <xf borderId="2" fillId="7" fontId="2" numFmtId="0" xfId="0" applyBorder="1" applyFill="1" applyFont="1"/>
    <xf borderId="2" fillId="7" fontId="2" numFmtId="0" xfId="0" applyAlignment="1" applyBorder="1" applyFont="1">
      <alignment readingOrder="0"/>
    </xf>
    <xf borderId="3" fillId="8" fontId="2" numFmtId="0" xfId="0" applyBorder="1" applyFill="1" applyFont="1"/>
    <xf borderId="4" fillId="2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5" fillId="5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6" fillId="8" fontId="2" numFmtId="0" xfId="0" applyAlignment="1" applyBorder="1" applyFont="1">
      <alignment readingOrder="0"/>
    </xf>
    <xf borderId="7" fillId="9" fontId="2" numFmtId="0" xfId="0" applyBorder="1" applyFill="1" applyFont="1"/>
    <xf borderId="8" fillId="9" fontId="2" numFmtId="0" xfId="0" applyAlignment="1" applyBorder="1" applyFont="1">
      <alignment readingOrder="0"/>
    </xf>
    <xf borderId="9" fillId="9" fontId="2" numFmtId="0" xfId="0" applyBorder="1" applyFont="1"/>
    <xf borderId="9" fillId="9" fontId="2" numFmtId="0" xfId="0" applyAlignment="1" applyBorder="1" applyFont="1">
      <alignment readingOrder="0"/>
    </xf>
    <xf borderId="10" fillId="0" fontId="2" numFmtId="0" xfId="0" applyBorder="1" applyFont="1"/>
    <xf borderId="0" fillId="0" fontId="2" numFmtId="0" xfId="0" applyAlignment="1" applyFont="1">
      <alignment readingOrder="0"/>
    </xf>
    <xf borderId="10" fillId="10" fontId="2" numFmtId="0" xfId="0" applyAlignment="1" applyBorder="1" applyFill="1" applyFont="1">
      <alignment readingOrder="0"/>
    </xf>
    <xf borderId="11" fillId="10" fontId="2" numFmtId="0" xfId="0" applyAlignment="1" applyBorder="1" applyFont="1">
      <alignment readingOrder="0"/>
    </xf>
    <xf borderId="0" fillId="10" fontId="2" numFmtId="0" xfId="0" applyAlignment="1" applyFont="1">
      <alignment readingOrder="0"/>
    </xf>
    <xf borderId="0" fillId="10" fontId="2" numFmtId="0" xfId="0" applyFont="1"/>
    <xf borderId="10" fillId="11" fontId="2" numFmtId="0" xfId="0" applyBorder="1" applyFill="1" applyFont="1"/>
    <xf borderId="0" fillId="11" fontId="2" numFmtId="0" xfId="0" applyFont="1"/>
    <xf borderId="10" fillId="7" fontId="2" numFmtId="0" xfId="0" applyAlignment="1" applyBorder="1" applyFont="1">
      <alignment readingOrder="0"/>
    </xf>
    <xf borderId="11" fillId="7" fontId="2" numFmtId="0" xfId="0" applyAlignment="1" applyBorder="1" applyFont="1">
      <alignment readingOrder="0"/>
    </xf>
    <xf borderId="0" fillId="7" fontId="2" numFmtId="0" xfId="0" applyFont="1"/>
    <xf borderId="0" fillId="8" fontId="2" numFmtId="0" xfId="0" applyFont="1"/>
    <xf borderId="11" fillId="8" fontId="2" numFmtId="0" xfId="0" applyAlignment="1" applyBorder="1" applyFont="1">
      <alignment readingOrder="0"/>
    </xf>
    <xf borderId="10" fillId="7" fontId="2" numFmtId="0" xfId="0" applyBorder="1" applyFont="1"/>
    <xf borderId="10" fillId="9" fontId="2" numFmtId="0" xfId="0" applyBorder="1" applyFont="1"/>
    <xf borderId="11" fillId="9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1" fillId="3" fontId="2" numFmtId="0" xfId="0" applyAlignment="1" applyBorder="1" applyFont="1">
      <alignment readingOrder="0"/>
    </xf>
    <xf borderId="0" fillId="3" fontId="2" numFmtId="0" xfId="0" applyFont="1"/>
    <xf borderId="10" fillId="3" fontId="2" numFmtId="0" xfId="0" applyBorder="1" applyFont="1"/>
    <xf borderId="0" fillId="5" fontId="2" numFmtId="0" xfId="0" applyFont="1"/>
    <xf borderId="11" fillId="5" fontId="2" numFmtId="0" xfId="0" applyAlignment="1" applyBorder="1" applyFont="1">
      <alignment readingOrder="0"/>
    </xf>
    <xf borderId="0" fillId="3" fontId="3" numFmtId="0" xfId="0" applyFont="1"/>
    <xf borderId="10" fillId="5" fontId="2" numFmtId="0" xfId="0" applyBorder="1" applyFont="1"/>
    <xf borderId="10" fillId="5" fontId="2" numFmtId="0" xfId="0" applyAlignment="1" applyBorder="1" applyFont="1">
      <alignment readingOrder="0"/>
    </xf>
    <xf borderId="0" fillId="5" fontId="3" numFmtId="0" xfId="0" applyFont="1"/>
    <xf borderId="10" fillId="4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0" fillId="4" fontId="2" numFmtId="0" xfId="0" applyFont="1"/>
    <xf borderId="10" fillId="4" fontId="2" numFmtId="0" xfId="0" applyBorder="1" applyFont="1"/>
    <xf borderId="0" fillId="4" fontId="3" numFmtId="0" xfId="0" applyFont="1"/>
    <xf borderId="10" fillId="8" fontId="2" numFmtId="0" xfId="0" applyAlignment="1" applyBorder="1" applyFont="1">
      <alignment readingOrder="0"/>
    </xf>
    <xf borderId="0" fillId="6" fontId="2" numFmtId="0" xfId="0" applyFont="1"/>
    <xf borderId="11" fillId="6" fontId="2" numFmtId="0" xfId="0" applyAlignment="1" applyBorder="1" applyFont="1">
      <alignment readingOrder="0"/>
    </xf>
    <xf borderId="10" fillId="8" fontId="2" numFmtId="0" xfId="0" applyBorder="1" applyFont="1"/>
    <xf borderId="0" fillId="8" fontId="3" numFmtId="0" xfId="0" applyFont="1"/>
    <xf borderId="10" fillId="6" fontId="2" numFmtId="0" xfId="0" applyBorder="1" applyFont="1"/>
    <xf borderId="10" fillId="6" fontId="2" numFmtId="0" xfId="0" applyAlignment="1" applyBorder="1" applyFont="1">
      <alignment readingOrder="0"/>
    </xf>
    <xf borderId="0" fillId="6" fontId="3" numFmtId="0" xfId="0" applyFont="1"/>
    <xf borderId="11" fillId="11" fontId="2" numFmtId="0" xfId="0" applyAlignment="1" applyBorder="1" applyFont="1">
      <alignment readingOrder="0"/>
    </xf>
    <xf borderId="0" fillId="11" fontId="3" numFmtId="0" xfId="0" applyFont="1"/>
    <xf borderId="0" fillId="11" fontId="2" numFmtId="0" xfId="0" applyAlignment="1" applyFont="1">
      <alignment readingOrder="0"/>
    </xf>
    <xf borderId="0" fillId="7" fontId="3" numFmtId="0" xfId="0" applyFont="1"/>
    <xf borderId="12" fillId="5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5" fillId="5" fontId="2" numFmtId="0" xfId="0" applyBorder="1" applyFont="1"/>
    <xf borderId="5" fillId="7" fontId="2" numFmtId="0" xfId="0" applyBorder="1" applyFont="1"/>
    <xf borderId="6" fillId="7" fontId="2" numFmtId="0" xfId="0" applyAlignment="1" applyBorder="1" applyFont="1">
      <alignment readingOrder="0"/>
    </xf>
    <xf borderId="5" fillId="10" fontId="2" numFmtId="0" xfId="0" applyBorder="1" applyFont="1"/>
    <xf borderId="6" fillId="10" fontId="2" numFmtId="0" xfId="0" applyAlignment="1" applyBorder="1" applyFont="1">
      <alignment readingOrder="0"/>
    </xf>
    <xf borderId="12" fillId="5" fontId="2" numFmtId="0" xfId="0" applyBorder="1" applyFont="1"/>
    <xf borderId="5" fillId="5" fontId="3" numFmtId="0" xfId="0" applyBorder="1" applyFont="1"/>
    <xf borderId="12" fillId="7" fontId="2" numFmtId="0" xfId="0" applyBorder="1" applyFont="1"/>
    <xf borderId="12" fillId="4" fontId="2" numFmtId="0" xfId="0" applyBorder="1" applyFont="1"/>
    <xf borderId="6" fillId="4" fontId="2" numFmtId="0" xfId="0" applyAlignment="1" applyBorder="1" applyFont="1">
      <alignment readingOrder="0"/>
    </xf>
    <xf borderId="12" fillId="6" fontId="2" numFmtId="0" xfId="0" applyBorder="1" applyFont="1"/>
    <xf borderId="6" fillId="6" fontId="2" numFmtId="0" xfId="0" applyAlignment="1" applyBorder="1" applyFont="1">
      <alignment readingOrder="0"/>
    </xf>
    <xf borderId="5" fillId="10" fontId="3" numFmtId="0" xfId="0" applyBorder="1" applyFont="1"/>
    <xf borderId="5" fillId="10" fontId="2" numFmtId="0" xfId="0" applyAlignment="1" applyBorder="1" applyFont="1">
      <alignment readingOrder="0"/>
    </xf>
    <xf borderId="7" fillId="12" fontId="4" numFmtId="0" xfId="0" applyAlignment="1" applyBorder="1" applyFill="1" applyFont="1">
      <alignment readingOrder="0"/>
    </xf>
    <xf borderId="9" fillId="12" fontId="2" numFmtId="0" xfId="0" applyBorder="1" applyFont="1"/>
    <xf borderId="8" fillId="12" fontId="2" numFmtId="0" xfId="0" applyBorder="1" applyFont="1"/>
    <xf borderId="7" fillId="13" fontId="2" numFmtId="0" xfId="0" applyBorder="1" applyFill="1" applyFont="1"/>
    <xf borderId="8" fillId="13" fontId="2" numFmtId="0" xfId="0" applyAlignment="1" applyBorder="1" applyFont="1">
      <alignment readingOrder="0"/>
    </xf>
    <xf borderId="9" fillId="13" fontId="2" numFmtId="0" xfId="0" applyAlignment="1" applyBorder="1" applyFont="1">
      <alignment readingOrder="0"/>
    </xf>
    <xf borderId="11" fillId="10" fontId="2" numFmtId="0" xfId="0" applyBorder="1" applyFont="1"/>
    <xf borderId="7" fillId="14" fontId="5" numFmtId="0" xfId="0" applyAlignment="1" applyBorder="1" applyFill="1" applyFont="1">
      <alignment readingOrder="0"/>
    </xf>
    <xf borderId="9" fillId="14" fontId="5" numFmtId="0" xfId="0" applyAlignment="1" applyBorder="1" applyFont="1">
      <alignment readingOrder="0"/>
    </xf>
    <xf borderId="9" fillId="14" fontId="5" numFmtId="0" xfId="0" applyBorder="1" applyFont="1"/>
    <xf borderId="8" fillId="14" fontId="5" numFmtId="0" xfId="0" applyBorder="1" applyFont="1"/>
    <xf borderId="10" fillId="0" fontId="5" numFmtId="0" xfId="0" applyBorder="1" applyFont="1"/>
    <xf borderId="0" fillId="0" fontId="5" numFmtId="0" xfId="0" applyFont="1"/>
    <xf borderId="12" fillId="10" fontId="2" numFmtId="0" xfId="0" applyAlignment="1" applyBorder="1" applyFont="1">
      <alignment readingOrder="0"/>
    </xf>
    <xf borderId="7" fillId="10" fontId="2" numFmtId="0" xfId="0" applyBorder="1" applyFont="1"/>
    <xf borderId="8" fillId="10" fontId="2" numFmtId="0" xfId="0" applyAlignment="1" applyBorder="1" applyFont="1">
      <alignment readingOrder="0"/>
    </xf>
    <xf borderId="8" fillId="10" fontId="2" numFmtId="0" xfId="0" applyBorder="1" applyFont="1"/>
    <xf borderId="9" fillId="10" fontId="2" numFmtId="0" xfId="0" applyBorder="1" applyFont="1"/>
    <xf borderId="7" fillId="14" fontId="5" numFmtId="0" xfId="0" applyBorder="1" applyFont="1"/>
    <xf borderId="2" fillId="14" fontId="5" numFmtId="0" xfId="0" applyAlignment="1" applyBorder="1" applyFont="1">
      <alignment readingOrder="0"/>
    </xf>
    <xf borderId="2" fillId="14" fontId="5" numFmtId="0" xfId="0" applyBorder="1" applyFont="1"/>
    <xf borderId="3" fillId="14" fontId="5" numFmtId="0" xfId="0" applyBorder="1" applyFont="1"/>
    <xf borderId="7" fillId="10" fontId="2" numFmtId="0" xfId="0" applyAlignment="1" applyBorder="1" applyFont="1">
      <alignment readingOrder="0"/>
    </xf>
    <xf borderId="9" fillId="1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  <color rgb="FFFFFFFF"/>
      </font>
      <fill>
        <patternFill patternType="solid">
          <fgColor rgb="FF9900FF"/>
          <bgColor rgb="FF9900FF"/>
        </patternFill>
      </fill>
      <border/>
    </dxf>
    <dxf>
      <font>
        <b/>
        <color rgb="FFF3F3F3"/>
      </font>
      <fill>
        <patternFill patternType="solid">
          <fgColor rgb="FF674EA7"/>
          <bgColor rgb="FF674EA7"/>
        </patternFill>
      </fill>
      <border/>
    </dxf>
    <dxf>
      <font>
        <b/>
      </font>
      <fill>
        <patternFill patternType="solid">
          <fgColor rgb="FF8E7CC3"/>
          <bgColor rgb="FF8E7CC3"/>
        </patternFill>
      </fill>
      <border/>
    </dxf>
    <dxf>
      <font>
        <b/>
      </font>
      <fill>
        <patternFill patternType="solid">
          <fgColor rgb="FFB4A7D6"/>
          <bgColor rgb="FFB4A7D6"/>
        </patternFill>
      </fill>
      <border/>
    </dxf>
    <dxf>
      <font>
        <b/>
      </font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24" width="6.25"/>
  </cols>
  <sheetData>
    <row r="1" ht="37.5" customHeight="1">
      <c r="A1" s="1" t="s">
        <v>0</v>
      </c>
      <c r="B1" s="2" t="str">
        <f>IMAGE(CONCAT(CONCAT("https://prd-game-a-granbluefantasy.akamaized.net/assets_en/img_low/sp/assets/npc/s/3040030000_0", IF(B2&gt;100, "4", "3")), ".jpg"))</f>
        <v/>
      </c>
      <c r="C1" s="3" t="str">
        <f>IMAGE(CONCAT(CONCAT("https://prd-game-a-granbluefantasy.akamaized.net/assets_en/img_low/sp/assets/npc/s/3040031000_0", IF(C2&gt;100, "4", "3")), ".jpg"))</f>
        <v/>
      </c>
      <c r="D1" s="4" t="str">
        <f>IMAGE(CONCAT(CONCAT("https://prd-game-a-granbluefantasy.akamaized.net/assets_en/img_low/sp/assets/npc/s/3040032000_0", IF(D2&gt;100, "4", "3")), ".jpg"))</f>
        <v/>
      </c>
      <c r="E1" s="5" t="str">
        <f>IMAGE(CONCAT(CONCAT("https://prd-game-a-granbluefantasy.akamaized.net/assets_en/img_low/sp/assets/npc/s/3040033000_0", IF(E2&gt;100, "4", "3")), ".jpg"))</f>
        <v/>
      </c>
      <c r="F1" s="6" t="str">
        <f>IMAGE(CONCAT(CONCAT("https://prd-game-a-granbluefantasy.akamaized.net/assets_en/img_low/sp/assets/npc/s/3040034000_0", IF(F2&gt;100, "4", "3")), ".jpg"))</f>
        <v/>
      </c>
      <c r="G1" s="7" t="str">
        <f>IMAGE(CONCAT(CONCAT("https://prd-game-a-granbluefantasy.akamaized.net/assets_en/img_low/sp/assets/npc/s/3040035000_0", IF(G2&gt;100, "4", "3")), ".jpg"))</f>
        <v/>
      </c>
      <c r="H1" s="8" t="str">
        <f>IMAGE(CONCAT(CONCAT("https://prd-game-a-granbluefantasy.akamaized.net/assets_en/img_low/sp/assets/npc/s/3040036000_0", IF(H2&gt;100, "4", "3")), ".jpg"))</f>
        <v/>
      </c>
      <c r="I1" s="4" t="str">
        <f>IMAGE(CONCAT(CONCAT("https://prd-game-a-granbluefantasy.akamaized.net/assets_en/img_low/sp/assets/npc/s/3040037000_0", IF(I2&gt;100, "4", "3")), ".jpg"))</f>
        <v/>
      </c>
      <c r="J1" s="9" t="str">
        <f>IMAGE(CONCAT(CONCAT("https://prd-game-a-granbluefantasy.akamaized.net/assets_en/img_low/sp/assets/npc/s/3040038000_0", IF(J2&gt;100, "4", "3")), ".jpg"))</f>
        <v/>
      </c>
      <c r="K1" s="10" t="str">
        <f>IMAGE(CONCAT(CONCAT("https://prd-game-a-granbluefantasy.akamaized.net/assets_en/img_low/sp/assets/npc/s/3040039000_0", IF(K2&gt;100, "4", "3")), ".jpg"))</f>
        <v/>
      </c>
    </row>
    <row r="2">
      <c r="A2" s="11" t="s">
        <v>1</v>
      </c>
      <c r="B2" s="12">
        <v>100.0</v>
      </c>
      <c r="C2" s="13">
        <v>100.0</v>
      </c>
      <c r="D2" s="14">
        <v>100.0</v>
      </c>
      <c r="E2" s="12">
        <v>100.0</v>
      </c>
      <c r="F2" s="13">
        <v>100.0</v>
      </c>
      <c r="G2" s="15">
        <v>100.0</v>
      </c>
      <c r="H2" s="16">
        <v>100.0</v>
      </c>
      <c r="I2" s="14">
        <v>100.0</v>
      </c>
      <c r="J2" s="16">
        <v>100.0</v>
      </c>
      <c r="K2" s="17">
        <v>100.0</v>
      </c>
    </row>
    <row r="3">
      <c r="A3" s="18"/>
      <c r="B3" s="19" t="s">
        <v>2</v>
      </c>
      <c r="C3" s="20"/>
      <c r="D3" s="19" t="s">
        <v>2</v>
      </c>
      <c r="E3" s="20"/>
      <c r="F3" s="19" t="s">
        <v>2</v>
      </c>
      <c r="G3" s="20"/>
      <c r="H3" s="19" t="s">
        <v>2</v>
      </c>
      <c r="I3" s="20"/>
      <c r="J3" s="19" t="s">
        <v>2</v>
      </c>
      <c r="K3" s="18"/>
      <c r="L3" s="19" t="s">
        <v>2</v>
      </c>
      <c r="M3" s="18"/>
      <c r="N3" s="19" t="s">
        <v>2</v>
      </c>
      <c r="O3" s="18"/>
      <c r="P3" s="19" t="s">
        <v>2</v>
      </c>
      <c r="Q3" s="18"/>
      <c r="R3" s="19" t="s">
        <v>2</v>
      </c>
      <c r="S3" s="18"/>
      <c r="T3" s="19" t="s">
        <v>2</v>
      </c>
      <c r="U3" s="18"/>
      <c r="V3" s="21" t="s">
        <v>2</v>
      </c>
      <c r="W3" s="22"/>
      <c r="X3" s="23"/>
    </row>
    <row r="4" ht="37.5" customHeight="1">
      <c r="A4" s="24" t="str">
        <f>IMAGE("https://prd-game-a-granbluefantasy.akamaized.net/assets_en/img_low/sp/assets/item/evolution/s/20004.jpg")</f>
        <v/>
      </c>
      <c r="B4" s="25">
        <v>0.0</v>
      </c>
      <c r="C4" s="26" t="str">
        <f>IMAGE("https://prd-game-a-granbluefantasy.akamaized.net/assets_en/img_low/sp/assets/item/article/s/203.jpg")
</f>
        <v/>
      </c>
      <c r="D4" s="25">
        <v>0.0</v>
      </c>
      <c r="E4" s="27" t="str">
        <f>IMAGE("https://prd-game-a-granbluefantasy.akamaized.net/assets_en/img_low/sp/assets/item/article/s/1202.jpg")</f>
        <v/>
      </c>
      <c r="F4" s="25">
        <v>0.0</v>
      </c>
      <c r="G4" s="27" t="str">
        <f>IMAGE("https://prd-game-a-granbluefantasy.akamaized.net/assets_en/img_low/sp/assets/item/article/s/91001.jpg")</f>
        <v/>
      </c>
      <c r="H4" s="25">
        <v>0.0</v>
      </c>
      <c r="I4" s="27" t="str">
        <f>IMAGE("https://prd-game-a-granbluefantasy.akamaized.net/assets_en/img_low/sp/assets/item/article/s/6510.jpg")</f>
        <v/>
      </c>
      <c r="J4" s="25">
        <v>0.0</v>
      </c>
      <c r="K4" s="27" t="str">
        <f>IMAGE("https://prd-game-a-granbluefantasy.akamaized.net/assets_en/img_low/sp/assets/item/article/s/6511.jpg")</f>
        <v/>
      </c>
      <c r="L4" s="25">
        <v>0.0</v>
      </c>
      <c r="M4" s="27" t="str">
        <f>IMAGE("https://prd-game-a-granbluefantasy.akamaized.net/assets_en/img_low/sp/assets/item/article/s/6512.jpg")</f>
        <v/>
      </c>
      <c r="N4" s="25">
        <v>0.0</v>
      </c>
      <c r="O4" s="27" t="str">
        <f>IMAGE("https://prd-game-a-granbluefantasy.akamaized.net/assets_en/img_low/sp/assets/item/article/s/538.jpg")</f>
        <v/>
      </c>
      <c r="P4" s="25">
        <v>0.0</v>
      </c>
      <c r="Q4" s="27" t="str">
        <f>IMAGE("https://prd-game-a-granbluefantasy.akamaized.net/assets_en/img_low/sp/assets/item/article/s/555.jpg")</f>
        <v/>
      </c>
      <c r="R4" s="25">
        <v>0.0</v>
      </c>
      <c r="S4" s="27" t="str">
        <f>IMAGE("https://prd-game-a-granbluefantasy.akamaized.net/assets_en/img_low/sp/assets/item/article/s/570.jpg")</f>
        <v/>
      </c>
      <c r="T4" s="25">
        <v>0.0</v>
      </c>
      <c r="U4" s="28"/>
      <c r="V4" s="29"/>
      <c r="W4" s="22"/>
    </row>
    <row r="5" ht="37.5" customHeight="1">
      <c r="A5" s="30" t="str">
        <f>IMAGE("https://prd-game-a-granbluefantasy.akamaized.net/assets_en/img_low/sp/assets/item/article/s/5411.jpg")</f>
        <v/>
      </c>
      <c r="B5" s="31">
        <v>0.0</v>
      </c>
      <c r="C5" s="32" t="str">
        <f>IMAGE("https://prd-game-a-granbluefantasy.akamaized.net/assets_en/img_low/sp/assets/weapon/s/1030003800.jpg")</f>
        <v/>
      </c>
      <c r="D5" s="31">
        <v>0.0</v>
      </c>
      <c r="E5" s="33" t="str">
        <f>IMAGE("https://prd-game-a-granbluefantasy.akamaized.net/assets_en/img_low/sp/assets/item/article/s/1313.jpg")</f>
        <v/>
      </c>
      <c r="F5" s="34">
        <v>0.0</v>
      </c>
      <c r="G5" s="33" t="str">
        <f>IMAGE("https://prd-game-a-granbluefantasy.akamaized.net/assets_en/img_low/sp/assets/item/article/s/549.jpg")</f>
        <v/>
      </c>
      <c r="H5" s="34">
        <v>0.0</v>
      </c>
      <c r="I5" s="35" t="str">
        <f>IMAGE("https://prd-game-a-granbluefantasy.akamaized.net/assets_en/img_low/sp/assets/weapon/s/1040001800.jpg")</f>
        <v/>
      </c>
      <c r="J5" s="31">
        <v>0.0</v>
      </c>
      <c r="K5" s="32" t="str">
        <f>IMAGE("https://prd-game-a-granbluefantasy.akamaized.net/assets_en/img_low/sp/assets/item/article/s/5671.jpg")</f>
        <v/>
      </c>
      <c r="L5" s="31">
        <v>0.0</v>
      </c>
      <c r="M5" s="36" t="str">
        <f>IMAGE("https://prd-game-a-granbluefantasy.akamaized.net/assets_en/img_low/sp/assets/item/article/s/511.jpg")</f>
        <v/>
      </c>
      <c r="N5" s="37">
        <v>0.0</v>
      </c>
      <c r="O5" s="36" t="str">
        <f>IMAGE("https://prd-game-a-granbluefantasy.akamaized.net/assets_en/img_low/sp/assets/item/article/s/111.jpg")</f>
        <v/>
      </c>
      <c r="P5" s="37">
        <v>0.0</v>
      </c>
      <c r="Q5" s="36" t="str">
        <f>IMAGE("https://prd-game-a-granbluefantasy.akamaized.net/assets_en/img_low/sp/assets/item/article/s/5011.jpg")</f>
        <v/>
      </c>
      <c r="R5" s="37">
        <v>0.0</v>
      </c>
      <c r="S5" s="32" t="str">
        <f>IMAGE("https://prd-game-a-granbluefantasy.akamaized.net/assets_en/img_low/sp/assets/item/article/s/4011.jpg")</f>
        <v/>
      </c>
      <c r="T5" s="31">
        <v>0.0</v>
      </c>
      <c r="U5" s="36" t="str">
        <f>IMAGE("https://prd-game-a-granbluefantasy.akamaized.net/assets_en/img_low/sp/assets/item/article/s/557.jpg")</f>
        <v/>
      </c>
      <c r="V5" s="37">
        <v>0.0</v>
      </c>
      <c r="W5" s="22"/>
      <c r="X5" s="23"/>
    </row>
    <row r="6" ht="37.5" customHeight="1">
      <c r="A6" s="38" t="str">
        <f>IMAGE("https://prd-game-a-granbluefantasy.akamaized.net/assets_en/img_low/sp/assets/item/article/s/5421.jpg")</f>
        <v/>
      </c>
      <c r="B6" s="39">
        <v>0.0</v>
      </c>
      <c r="C6" s="40" t="str">
        <f>IMAGE("https://prd-game-a-granbluefantasy.akamaized.net/assets_en/img_low/sp/assets/weapon/s/1030103200.jpg")</f>
        <v/>
      </c>
      <c r="D6" s="39">
        <v>0.0</v>
      </c>
      <c r="E6" s="40" t="str">
        <f>IMAGE("https://prd-game-a-granbluefantasy.akamaized.net/assets_en/img_low/sp/assets/item/article/s/1323.jpg")</f>
        <v/>
      </c>
      <c r="F6" s="39">
        <v>0.0</v>
      </c>
      <c r="G6" s="40" t="str">
        <f>IMAGE("https://prd-game-a-granbluefantasy.akamaized.net/assets_en/img_low/sp/assets/item/article/s/550.jpg")</f>
        <v/>
      </c>
      <c r="H6" s="39">
        <v>0.0</v>
      </c>
      <c r="I6" s="41" t="str">
        <f>IMAGE("https://prd-game-a-granbluefantasy.akamaized.net/assets_en/img_low/sp/assets/weapon/s/1040101700.jpg")</f>
        <v/>
      </c>
      <c r="J6" s="39">
        <v>0.0</v>
      </c>
      <c r="K6" s="40" t="str">
        <f>IMAGE("https://prd-game-a-granbluefantasy.akamaized.net/assets_en/img_low/sp/assets/item/article/s/5641.jpg")</f>
        <v/>
      </c>
      <c r="L6" s="39">
        <v>0.0</v>
      </c>
      <c r="M6" s="41" t="str">
        <f>IMAGE("https://prd-game-a-granbluefantasy.akamaized.net/assets_en/img_low/sp/assets/item/article/s/513.jpg")</f>
        <v/>
      </c>
      <c r="N6" s="39">
        <v>0.0</v>
      </c>
      <c r="O6" s="41" t="str">
        <f>IMAGE("https://prd-game-a-granbluefantasy.akamaized.net/assets_en/img_low/sp/assets/item/article/s/112.jpg")</f>
        <v/>
      </c>
      <c r="P6" s="39">
        <v>0.0</v>
      </c>
      <c r="Q6" s="41" t="str">
        <f>IMAGE("https://prd-game-a-granbluefantasy.akamaized.net/assets_en/img_low/sp/assets/item/article/s/5021.jpg")</f>
        <v/>
      </c>
      <c r="R6" s="39">
        <v>0.0</v>
      </c>
      <c r="S6" s="40" t="str">
        <f>IMAGE("https://prd-game-a-granbluefantasy.akamaized.net/assets_en/img_low/sp/assets/item/article/s/4021.jpg")</f>
        <v/>
      </c>
      <c r="T6" s="39">
        <v>0.0</v>
      </c>
      <c r="U6" s="41" t="str">
        <f>IMAGE("https://prd-game-a-granbluefantasy.akamaized.net/assets_en/img_low/sp/assets/item/article/s/558.jpg")</f>
        <v/>
      </c>
      <c r="V6" s="39">
        <v>0.0</v>
      </c>
      <c r="W6" s="22"/>
      <c r="X6" s="23"/>
    </row>
    <row r="7" ht="37.5" customHeight="1">
      <c r="A7" s="38" t="str">
        <f>IMAGE("https://prd-game-a-granbluefantasy.akamaized.net/assets_en/img_low/sp/assets/item/article/s/5431.jpg")</f>
        <v/>
      </c>
      <c r="B7" s="39">
        <v>0.0</v>
      </c>
      <c r="C7" s="40" t="str">
        <f>IMAGE("https://prd-game-a-granbluefantasy.akamaized.net/assets_en/img_low/sp/assets/weapon/s/1030203000.jpg")</f>
        <v/>
      </c>
      <c r="D7" s="39">
        <v>0.0</v>
      </c>
      <c r="E7" s="42" t="str">
        <f>IMAGE("https://prd-game-a-granbluefantasy.akamaized.net/assets_en/img_low/sp/assets/item/article/s/1333.jpg")</f>
        <v/>
      </c>
      <c r="F7" s="43">
        <v>0.0</v>
      </c>
      <c r="G7" s="42" t="str">
        <f>IMAGE("https://prd-game-a-granbluefantasy.akamaized.net/assets_en/img_low/sp/assets/item/article/s/551.jpg")</f>
        <v/>
      </c>
      <c r="H7" s="43">
        <v>0.0</v>
      </c>
      <c r="I7" s="41" t="str">
        <f>IMAGE("https://prd-game-a-granbluefantasy.akamaized.net/assets_en/img_low/sp/assets/weapon/s/1040201600.jpg")</f>
        <v/>
      </c>
      <c r="J7" s="39">
        <v>0.0</v>
      </c>
      <c r="K7" s="44" t="str">
        <f>IMAGE("https://prd-game-a-granbluefantasy.akamaized.net/assets_en/img_low/sp/assets/item/article/s/5611.jpg")</f>
        <v/>
      </c>
      <c r="L7" s="39">
        <v>0.0</v>
      </c>
      <c r="M7" s="45" t="str">
        <f>IMAGE("https://prd-game-a-granbluefantasy.akamaized.net/assets_en/img_low/sp/assets/item/article/s/515.jpg")</f>
        <v/>
      </c>
      <c r="N7" s="43">
        <v>0.0</v>
      </c>
      <c r="O7" s="45" t="str">
        <f>IMAGE("https://prd-game-a-granbluefantasy.akamaized.net/assets_en/img_low/sp/assets/item/article/s/113.jpg")</f>
        <v/>
      </c>
      <c r="P7" s="43">
        <v>0.0</v>
      </c>
      <c r="Q7" s="45" t="str">
        <f>IMAGE("https://prd-game-a-granbluefantasy.akamaized.net/assets_en/img_low/sp/assets/item/article/s/5031.jpg")</f>
        <v/>
      </c>
      <c r="R7" s="43">
        <v>0.0</v>
      </c>
      <c r="S7" s="44" t="str">
        <f>IMAGE("https://prd-game-a-granbluefantasy.akamaized.net/assets_en/img_low/sp/assets/item/article/s/4031.jpg")</f>
        <v/>
      </c>
      <c r="T7" s="39">
        <v>0.0</v>
      </c>
      <c r="U7" s="45" t="str">
        <f>IMAGE("https://prd-game-a-granbluefantasy.akamaized.net/assets_en/img_low/sp/assets/item/article/s/559.jpg")</f>
        <v/>
      </c>
      <c r="V7" s="43">
        <v>0.0</v>
      </c>
      <c r="W7" s="22"/>
      <c r="X7" s="23"/>
    </row>
    <row r="8" ht="37.5" customHeight="1">
      <c r="A8" s="46" t="str">
        <f>IMAGE("https://prd-game-a-granbluefantasy.akamaized.net/assets_en/img_low/sp/assets/item/article/s/5441.jpg")</f>
        <v/>
      </c>
      <c r="B8" s="43">
        <v>0.0</v>
      </c>
      <c r="C8" s="42" t="str">
        <f>IMAGE("https://prd-game-a-granbluefantasy.akamaized.net/assets_en/img_low/sp/assets/weapon/s/1030302400.jpg")</f>
        <v/>
      </c>
      <c r="D8" s="43">
        <v>0.0</v>
      </c>
      <c r="E8" s="32" t="str">
        <f>IMAGE("https://prd-game-a-granbluefantasy.akamaized.net/assets_en/img_low/sp/assets/item/article/s/1343.jpg")</f>
        <v/>
      </c>
      <c r="F8" s="31">
        <v>0.0</v>
      </c>
      <c r="G8" s="32" t="str">
        <f>IMAGE("https://prd-game-a-granbluefantasy.akamaized.net/assets_en/img_low/sp/assets/item/article/s/552.jpg")</f>
        <v/>
      </c>
      <c r="H8" s="31">
        <v>0.0</v>
      </c>
      <c r="I8" s="45" t="str">
        <f>IMAGE("https://prd-game-a-granbluefantasy.akamaized.net/assets_en/img_low/sp/assets/weapon/s/1040301300.jpg")</f>
        <v/>
      </c>
      <c r="J8" s="43">
        <v>0.0</v>
      </c>
      <c r="K8" s="47" t="str">
        <f>IMAGE("https://prd-game-a-granbluefantasy.akamaized.net/assets_en/img_low/sp/assets/item/article/s/5631.jpg")</f>
        <v/>
      </c>
      <c r="L8" s="43">
        <v>0.0</v>
      </c>
      <c r="M8" s="35" t="str">
        <f>IMAGE("https://prd-game-a-granbluefantasy.akamaized.net/assets_en/img_low/sp/assets/item/article/s/517.jpg")</f>
        <v/>
      </c>
      <c r="N8" s="31">
        <v>0.0</v>
      </c>
      <c r="O8" s="35" t="str">
        <f>IMAGE("https://prd-game-a-granbluefantasy.akamaized.net/assets_en/img_low/sp/assets/item/article/s/114.jpg")</f>
        <v/>
      </c>
      <c r="P8" s="31">
        <v>0.0</v>
      </c>
      <c r="Q8" s="35" t="str">
        <f>IMAGE("https://prd-game-a-granbluefantasy.akamaized.net/assets_en/img_low/sp/assets/item/article/s/5041.jpg")</f>
        <v/>
      </c>
      <c r="R8" s="31">
        <v>0.0</v>
      </c>
      <c r="S8" s="47" t="str">
        <f>IMAGE("https://prd-game-a-granbluefantasy.akamaized.net/assets_en/img_low/sp/assets/item/article/s/4041.jpg")</f>
        <v/>
      </c>
      <c r="T8" s="43">
        <v>0.0</v>
      </c>
      <c r="U8" s="35" t="str">
        <f>IMAGE("https://prd-game-a-granbluefantasy.akamaized.net/assets_en/img_low/sp/assets/item/article/s/560.jpg")</f>
        <v/>
      </c>
      <c r="V8" s="31">
        <v>0.0</v>
      </c>
      <c r="W8" s="22"/>
      <c r="X8" s="23"/>
    </row>
    <row r="9" ht="37.5" customHeight="1">
      <c r="A9" s="48" t="str">
        <f>IMAGE("https://prd-game-a-granbluefantasy.akamaized.net/assets_en/img_low/sp/assets/item/article/s/5451.jpg")</f>
        <v/>
      </c>
      <c r="B9" s="49">
        <v>0.0</v>
      </c>
      <c r="C9" s="50" t="str">
        <f>IMAGE("https://prd-game-a-granbluefantasy.akamaized.net/assets_en/img_low/sp/assets/weapon/s/1030402700.jpg")</f>
        <v/>
      </c>
      <c r="D9" s="49">
        <v>0.0</v>
      </c>
      <c r="E9" s="50" t="str">
        <f>IMAGE("https://prd-game-a-granbluefantasy.akamaized.net/assets_en/img_low/sp/assets/item/article/s/1353.jpg")</f>
        <v/>
      </c>
      <c r="F9" s="49">
        <v>0.0</v>
      </c>
      <c r="G9" s="50" t="str">
        <f>IMAGE("https://prd-game-a-granbluefantasy.akamaized.net/assets_en/img_low/sp/assets/item/article/s/553.jpg")</f>
        <v/>
      </c>
      <c r="H9" s="49">
        <v>0.0</v>
      </c>
      <c r="I9" s="51" t="str">
        <f>IMAGE("https://prd-game-a-granbluefantasy.akamaized.net/assets_en/img_low/sp/assets/weapon/s/1040401800.jpg")</f>
        <v/>
      </c>
      <c r="J9" s="49">
        <v>0.0</v>
      </c>
      <c r="K9" s="52" t="str">
        <f>IMAGE("https://prd-game-a-granbluefantasy.akamaized.net/assets_en/img_low/sp/assets/item/article/s/5651.jpg")</f>
        <v/>
      </c>
      <c r="L9" s="49">
        <v>0.0</v>
      </c>
      <c r="M9" s="51" t="str">
        <f>IMAGE("https://prd-game-a-granbluefantasy.akamaized.net/assets_en/img_low/sp/assets/item/article/s/519.jpg")</f>
        <v/>
      </c>
      <c r="N9" s="49">
        <v>0.0</v>
      </c>
      <c r="O9" s="51" t="str">
        <f>IMAGE("https://prd-game-a-granbluefantasy.akamaized.net/assets_en/img_low/sp/assets/item/article/s/115.jpg")</f>
        <v/>
      </c>
      <c r="P9" s="49">
        <v>0.0</v>
      </c>
      <c r="Q9" s="51" t="str">
        <f>IMAGE("https://prd-game-a-granbluefantasy.akamaized.net/assets_en/img_low/sp/assets/item/article/s/5051.jpg")</f>
        <v/>
      </c>
      <c r="R9" s="49">
        <v>0.0</v>
      </c>
      <c r="S9" s="52" t="str">
        <f>IMAGE("https://prd-game-a-granbluefantasy.akamaized.net/assets_en/img_low/sp/assets/item/article/s/4051.jpg")</f>
        <v/>
      </c>
      <c r="T9" s="49">
        <v>0.0</v>
      </c>
      <c r="U9" s="51" t="str">
        <f>IMAGE("https://prd-game-a-granbluefantasy.akamaized.net/assets_en/img_low/sp/assets/item/article/s/561.jpg")</f>
        <v/>
      </c>
      <c r="V9" s="49">
        <v>0.0</v>
      </c>
      <c r="W9" s="22"/>
      <c r="X9" s="23"/>
    </row>
    <row r="10" ht="37.5" customHeight="1">
      <c r="A10" s="53" t="str">
        <f>IMAGE("https://prd-game-a-granbluefantasy.akamaized.net/assets_en/img_low/sp/assets/item/article/s/5461.jpg")</f>
        <v/>
      </c>
      <c r="B10" s="34">
        <v>0.0</v>
      </c>
      <c r="C10" s="33" t="str">
        <f>IMAGE("https://prd-game-a-granbluefantasy.akamaized.net/assets_en/img_low/sp/assets/weapon/s/1030501900.jpg")</f>
        <v/>
      </c>
      <c r="D10" s="34">
        <v>0.0</v>
      </c>
      <c r="E10" s="54" t="str">
        <f>IMAGE("https://prd-game-a-granbluefantasy.akamaized.net/assets_en/img_low/sp/assets/item/article/s/1363.jpg")</f>
        <v/>
      </c>
      <c r="F10" s="55">
        <v>0.0</v>
      </c>
      <c r="G10" s="54" t="str">
        <f>IMAGE("https://prd-game-a-granbluefantasy.akamaized.net/assets_en/img_low/sp/assets/item/article/s/554.jpg")</f>
        <v/>
      </c>
      <c r="H10" s="55">
        <v>0.0</v>
      </c>
      <c r="I10" s="56" t="str">
        <f>IMAGE("https://prd-game-a-granbluefantasy.akamaized.net/assets_en/img_low/sp/assets/weapon/s/1040500800.jpg")</f>
        <v/>
      </c>
      <c r="J10" s="34">
        <v>0.0</v>
      </c>
      <c r="K10" s="57" t="str">
        <f>IMAGE("https://prd-game-a-granbluefantasy.akamaized.net/assets_en/img_low/sp/assets/item/article/s/5701.jpg")</f>
        <v/>
      </c>
      <c r="L10" s="34">
        <v>0.0</v>
      </c>
      <c r="M10" s="58" t="str">
        <f>IMAGE("https://prd-game-a-granbluefantasy.akamaized.net/assets_en/img_low/sp/assets/item/article/s/521.jpg")</f>
        <v/>
      </c>
      <c r="N10" s="55">
        <v>0.0</v>
      </c>
      <c r="O10" s="58" t="str">
        <f>IMAGE("https://prd-game-a-granbluefantasy.akamaized.net/assets_en/img_low/sp/assets/item/article/s/116.jpg")</f>
        <v/>
      </c>
      <c r="P10" s="55">
        <v>0.0</v>
      </c>
      <c r="Q10" s="58" t="str">
        <f>IMAGE("https://prd-game-a-granbluefantasy.akamaized.net/assets_en/img_low/sp/assets/item/article/s/5061.jpg")</f>
        <v/>
      </c>
      <c r="R10" s="55">
        <v>0.0</v>
      </c>
      <c r="S10" s="57" t="str">
        <f>IMAGE("https://prd-game-a-granbluefantasy.akamaized.net/assets_en/img_low/sp/assets/item/article/s/4061.jpg")</f>
        <v/>
      </c>
      <c r="T10" s="34">
        <v>0.0</v>
      </c>
      <c r="U10" s="58" t="str">
        <f>IMAGE("https://prd-game-a-granbluefantasy.akamaized.net/assets_en/img_low/sp/assets/item/article/s/562.jpg")</f>
        <v/>
      </c>
      <c r="V10" s="55">
        <v>0.0</v>
      </c>
      <c r="W10" s="22"/>
      <c r="X10" s="23"/>
    </row>
    <row r="11" ht="37.5" customHeight="1">
      <c r="A11" s="59" t="str">
        <f>IMAGE("https://prd-game-a-granbluefantasy.akamaized.net/assets_en/img_low/sp/assets/item/article/s/5471.jpg")</f>
        <v/>
      </c>
      <c r="B11" s="55">
        <v>0.0</v>
      </c>
      <c r="C11" s="54" t="str">
        <f>IMAGE("https://prd-game-a-granbluefantasy.akamaized.net/assets_en/img_low/sp/assets/weapon/s/1030603100.jpg")</f>
        <v/>
      </c>
      <c r="D11" s="55">
        <v>0.0</v>
      </c>
      <c r="E11" s="33" t="str">
        <f>IMAGE("https://prd-game-a-granbluefantasy.akamaized.net/assets_en/img_low/sp/assets/item/article/s/5211.jpg")</f>
        <v/>
      </c>
      <c r="F11" s="34">
        <v>0.0</v>
      </c>
      <c r="G11" s="27" t="str">
        <f>IMAGE("https://prd-game-a-granbluefantasy.akamaized.net/assets_en/img_low/sp/assets/item/normal/s/jp.jpg")</f>
        <v/>
      </c>
      <c r="H11" s="25">
        <v>0.0</v>
      </c>
      <c r="I11" s="58" t="str">
        <f>IMAGE("https://prd-game-a-granbluefantasy.akamaized.net/assets_en/img_low/sp/assets/weapon/s/1040600800.jpg")</f>
        <v/>
      </c>
      <c r="J11" s="55">
        <v>0.0</v>
      </c>
      <c r="K11" s="60" t="str">
        <f>IMAGE("https://prd-game-a-granbluefantasy.akamaized.net/assets_en/img_low/sp/assets/item/article/s/5661.jpg")</f>
        <v/>
      </c>
      <c r="L11" s="55">
        <v>0.0</v>
      </c>
      <c r="M11" s="36" t="str">
        <f>IMAGE("https://prd-game-a-granbluefantasy.akamaized.net/assets_en/img_low/sp/assets/item/article/s/25070.jpg")</f>
        <v/>
      </c>
      <c r="N11" s="37">
        <v>0.0</v>
      </c>
      <c r="O11" s="51" t="str">
        <f>IMAGE("https://prd-game-a-granbluefantasy.akamaized.net/assets_en/img_low/sp/assets/item/article/s/206.jpg")</f>
        <v/>
      </c>
      <c r="P11" s="49">
        <v>0.0</v>
      </c>
      <c r="Q11" s="58" t="str">
        <f>IMAGE("https://prd-game-a-granbluefantasy.akamaized.net/assets_en/img_low/sp/assets/item/article/s/208.jpg")</f>
        <v/>
      </c>
      <c r="R11" s="55">
        <v>0.0</v>
      </c>
      <c r="S11" s="60" t="str">
        <f>IMAGE("https://prd-game-a-granbluefantasy.akamaized.net/assets_en/img_low/sp/assets/item/article/s/4071.jpg")</f>
        <v/>
      </c>
      <c r="T11" s="55">
        <v>0.0</v>
      </c>
      <c r="U11" s="29"/>
      <c r="V11" s="61"/>
      <c r="W11" s="22"/>
      <c r="X11" s="23"/>
    </row>
    <row r="12" ht="37.5" customHeight="1">
      <c r="A12" s="48" t="str">
        <f>IMAGE("https://prd-game-a-granbluefantasy.akamaized.net/assets_en/img_low/sp/assets/item/article/s/5481.jpg")</f>
        <v/>
      </c>
      <c r="B12" s="49">
        <v>0.0</v>
      </c>
      <c r="C12" s="50" t="str">
        <f>IMAGE("https://prd-game-a-granbluefantasy.akamaized.net/assets_en/img_low/sp/assets/weapon/s/1030702000.jpg")</f>
        <v/>
      </c>
      <c r="D12" s="49">
        <v>0.0</v>
      </c>
      <c r="E12" s="40" t="str">
        <f>IMAGE("https://prd-game-a-granbluefantasy.akamaized.net/assets_en/img_low/sp/assets/item/article/s/5221.jpg")</f>
        <v/>
      </c>
      <c r="F12" s="39">
        <v>0.0</v>
      </c>
      <c r="G12" s="27" t="str">
        <f>IMAGE("https://prd-game-a-granbluefantasy.akamaized.net/assets_en/img_low/sp/assets/item/article/s/79.jpg")</f>
        <v/>
      </c>
      <c r="H12" s="25">
        <v>0.0</v>
      </c>
      <c r="I12" s="51" t="str">
        <f>IMAGE("https://prd-game-a-granbluefantasy.akamaized.net/assets_en/img_low/sp/assets/weapon/s/1040700500.jpg")</f>
        <v/>
      </c>
      <c r="J12" s="49">
        <v>0.0</v>
      </c>
      <c r="K12" s="52" t="str">
        <f>IMAGE("https://prd-game-a-granbluefantasy.akamaized.net/assets_en/img_low/sp/assets/item/article/s/5621.jpg")</f>
        <v/>
      </c>
      <c r="L12" s="49">
        <v>0.0</v>
      </c>
      <c r="M12" s="41" t="str">
        <f>IMAGE("https://prd-game-a-granbluefantasy.akamaized.net/assets_en/img_low/sp/assets/item/article/s/25071.jpg")</f>
        <v/>
      </c>
      <c r="N12" s="39">
        <v>0.0</v>
      </c>
      <c r="O12" s="51" t="str">
        <f>IMAGE("https://prd-game-a-granbluefantasy.akamaized.net/assets_en/img_low/sp/assets/item/article/s/207.jpg")</f>
        <v/>
      </c>
      <c r="P12" s="49">
        <v>0.0</v>
      </c>
      <c r="Q12" s="58" t="str">
        <f>IMAGE("https://prd-game-a-granbluefantasy.akamaized.net/assets_en/img_low/sp/assets/item/article/s/209.jpg")</f>
        <v/>
      </c>
      <c r="R12" s="55">
        <v>0.0</v>
      </c>
      <c r="S12" s="52" t="str">
        <f>IMAGE("https://prd-game-a-granbluefantasy.akamaized.net/assets_en/img_low/sp/assets/item/article/s/4081.jpg")</f>
        <v/>
      </c>
      <c r="T12" s="49">
        <v>0.0</v>
      </c>
      <c r="U12" s="62"/>
      <c r="V12" s="63"/>
      <c r="W12" s="22"/>
    </row>
    <row r="13" ht="37.5" customHeight="1">
      <c r="A13" s="30" t="str">
        <f>IMAGE("https://prd-game-a-granbluefantasy.akamaized.net/assets_en/img_low/sp/assets/item/article/s/5491.jpg")</f>
        <v/>
      </c>
      <c r="B13" s="31">
        <v>0.0</v>
      </c>
      <c r="C13" s="32" t="str">
        <f>IMAGE("https://prd-game-a-granbluefantasy.akamaized.net/assets_en/img_low/sp/assets/weapon/s/1030801500.jpg")</f>
        <v/>
      </c>
      <c r="D13" s="31">
        <v>0.0</v>
      </c>
      <c r="E13" s="42" t="str">
        <f>IMAGE("https://prd-game-a-granbluefantasy.akamaized.net/assets_en/img_low/sp/assets/item/article/s/5231.jpg")</f>
        <v/>
      </c>
      <c r="F13" s="43">
        <v>0.0</v>
      </c>
      <c r="G13" s="27" t="str">
        <f>IMAGE("https://prd-game-a-granbluefantasy.akamaized.net/assets_en/img_low/sp/assets/item/article/s/2003.jpg")</f>
        <v/>
      </c>
      <c r="H13" s="25">
        <v>0.0</v>
      </c>
      <c r="I13" s="35" t="str">
        <f>IMAGE("https://prd-game-a-granbluefantasy.akamaized.net/assets_en/img_low/sp/assets/weapon/s/1040800300.jpg")</f>
        <v/>
      </c>
      <c r="J13" s="31">
        <v>0.0</v>
      </c>
      <c r="K13" s="64" t="str">
        <f>IMAGE("https://prd-game-a-granbluefantasy.akamaized.net/assets_en/img_low/sp/assets/item/article/s/5691.jpg")</f>
        <v/>
      </c>
      <c r="L13" s="31">
        <v>0.0</v>
      </c>
      <c r="M13" s="45" t="str">
        <f>IMAGE("https://prd-game-a-granbluefantasy.akamaized.net/assets_en/img_low/sp/assets/item/article/s/25072.jpg")</f>
        <v/>
      </c>
      <c r="N13" s="43">
        <v>0.0</v>
      </c>
      <c r="O13" s="51" t="str">
        <f>IMAGE("https://prd-game-a-granbluefantasy.akamaized.net/assets_en/img_low/sp/assets/item/article/s/528.jpg")</f>
        <v/>
      </c>
      <c r="P13" s="49">
        <v>0.0</v>
      </c>
      <c r="Q13" s="58" t="str">
        <f>IMAGE("https://prd-game-a-granbluefantasy.akamaized.net/assets_en/img_low/sp/assets/item/article/s/530.jpg")</f>
        <v/>
      </c>
      <c r="R13" s="55">
        <v>0.0</v>
      </c>
      <c r="S13" s="64" t="str">
        <f>IMAGE("https://prd-game-a-granbluefantasy.akamaized.net/assets_en/img_low/sp/assets/item/article/s/4091.jpg")</f>
        <v/>
      </c>
      <c r="T13" s="31">
        <v>0.0</v>
      </c>
      <c r="U13" s="62"/>
      <c r="V13" s="63" t="s">
        <v>3</v>
      </c>
      <c r="W13" s="22"/>
    </row>
    <row r="14" ht="37.5" customHeight="1">
      <c r="A14" s="65" t="str">
        <f>IMAGE("https://prd-game-a-granbluefantasy.akamaized.net/assets_en/img_low/sp/assets/item/article/s/5501.jpg")</f>
        <v/>
      </c>
      <c r="B14" s="66">
        <v>0.0</v>
      </c>
      <c r="C14" s="67" t="str">
        <f>IMAGE("https://prd-game-a-granbluefantasy.akamaized.net/assets_en/img_low/sp/assets/weapon/s/1030901000.jpg")</f>
        <v/>
      </c>
      <c r="D14" s="66">
        <v>0.0</v>
      </c>
      <c r="E14" s="68" t="str">
        <f>IMAGE("https://prd-game-a-granbluefantasy.akamaized.net/assets_en/img_low/sp/assets/item/article/s/5241.jpg")</f>
        <v/>
      </c>
      <c r="F14" s="69">
        <v>0.0</v>
      </c>
      <c r="G14" s="70" t="str">
        <f>IMAGE("https://prd-game-a-granbluefantasy.akamaized.net/assets_en/img_low/sp/assets/item/article/s/547.jpg")</f>
        <v/>
      </c>
      <c r="H14" s="71">
        <v>0.0</v>
      </c>
      <c r="I14" s="72" t="str">
        <f>IMAGE("https://prd-game-a-granbluefantasy.akamaized.net/assets_en/img_low/sp/assets/weapon/s/1040900500.jpg")</f>
        <v/>
      </c>
      <c r="J14" s="66">
        <v>0.0</v>
      </c>
      <c r="K14" s="73" t="str">
        <f>IMAGE("https://prd-game-a-granbluefantasy.akamaized.net/assets_en/img_low/sp/assets/item/article/s/5681.jpg")</f>
        <v/>
      </c>
      <c r="L14" s="66">
        <v>0.0</v>
      </c>
      <c r="M14" s="74" t="str">
        <f>IMAGE("https://prd-game-a-granbluefantasy.akamaized.net/assets_en/img_low/sp/assets/item/article/s/25073.jpg")</f>
        <v/>
      </c>
      <c r="N14" s="69">
        <v>0.0</v>
      </c>
      <c r="O14" s="75" t="str">
        <f>IMAGE("https://prd-game-a-granbluefantasy.akamaized.net/assets_en/img_low/sp/assets/item/article/s/529.jpg")</f>
        <v/>
      </c>
      <c r="P14" s="76">
        <v>0.0</v>
      </c>
      <c r="Q14" s="77" t="str">
        <f>IMAGE("https://prd-game-a-granbluefantasy.akamaized.net/assets_en/img_low/sp/assets/item/article/s/531.jpg")</f>
        <v/>
      </c>
      <c r="R14" s="78">
        <v>0.0</v>
      </c>
      <c r="S14" s="73" t="str">
        <f>IMAGE("https://prd-game-a-granbluefantasy.akamaized.net/assets_en/img_low/sp/assets/item/article/s/4101.jpg")</f>
        <v/>
      </c>
      <c r="T14" s="66">
        <v>0.0</v>
      </c>
      <c r="U14" s="79" t="str">
        <f>IMAGE("https://prd-game-a-granbluefantasy.akamaized.net/assets_en/img_low/sp/assets/item/normal/s/lupi.jpg")</f>
        <v/>
      </c>
      <c r="V14" s="80">
        <v>0.0</v>
      </c>
      <c r="W14" s="22"/>
    </row>
    <row r="15">
      <c r="B15" s="81" t="s">
        <v>4</v>
      </c>
      <c r="C15" s="82"/>
      <c r="D15" s="82"/>
      <c r="E15" s="82"/>
      <c r="F15" s="83"/>
    </row>
    <row r="16">
      <c r="A16" s="84"/>
      <c r="B16" s="85" t="s">
        <v>5</v>
      </c>
      <c r="C16" s="84"/>
      <c r="D16" s="85" t="s">
        <v>5</v>
      </c>
      <c r="E16" s="84"/>
      <c r="F16" s="85" t="s">
        <v>5</v>
      </c>
      <c r="G16" s="84"/>
      <c r="H16" s="85" t="s">
        <v>5</v>
      </c>
      <c r="I16" s="84"/>
      <c r="J16" s="85" t="s">
        <v>5</v>
      </c>
      <c r="K16" s="84"/>
      <c r="L16" s="85" t="s">
        <v>5</v>
      </c>
      <c r="M16" s="84"/>
      <c r="N16" s="85" t="s">
        <v>5</v>
      </c>
      <c r="O16" s="84"/>
      <c r="P16" s="85" t="s">
        <v>5</v>
      </c>
      <c r="Q16" s="84"/>
      <c r="R16" s="85" t="s">
        <v>5</v>
      </c>
      <c r="S16" s="84"/>
      <c r="T16" s="85" t="s">
        <v>5</v>
      </c>
      <c r="U16" s="84"/>
      <c r="V16" s="86" t="s">
        <v>5</v>
      </c>
      <c r="W16" s="22"/>
      <c r="X16" s="23"/>
    </row>
    <row r="17" ht="37.5" customHeight="1">
      <c r="A17" s="24" t="str">
        <f>IMAGE("https://prd-game-a-granbluefantasy.akamaized.net/assets_en/img_low/sp/assets/item/evolution/s/20004.jpg")</f>
        <v/>
      </c>
      <c r="B17" s="25">
        <f>MAX(0, SUM(B140:K140)-B4)</f>
        <v>10</v>
      </c>
      <c r="C17" s="26" t="str">
        <f>IMAGE("https://prd-game-a-granbluefantasy.akamaized.net/assets_en/img_low/sp/assets/item/article/s/203.jpg")
</f>
        <v/>
      </c>
      <c r="D17" s="25">
        <f>MAX(0, SUM(B142:K142)-D4)</f>
        <v>200</v>
      </c>
      <c r="E17" s="27" t="str">
        <f>IMAGE("https://prd-game-a-granbluefantasy.akamaized.net/assets_en/img_low/sp/assets/item/article/s/1202.jpg")</f>
        <v/>
      </c>
      <c r="F17" s="25">
        <f>MAX((SUM(D18:D27)+SUM(L18:L27)/5)*250-F4, 0)</f>
        <v>100000</v>
      </c>
      <c r="G17" s="27" t="str">
        <f>IMAGE("https://prd-game-a-granbluefantasy.akamaized.net/assets_en/img_low/sp/assets/item/article/s/91001.jpg")</f>
        <v/>
      </c>
      <c r="H17" s="87">
        <f>MAX(0, 300*J17-H4)</f>
        <v>3000</v>
      </c>
      <c r="I17" s="27" t="str">
        <f>IMAGE("https://prd-game-a-granbluefantasy.akamaized.net/assets_en/img_low/sp/assets/item/article/s/6510.jpg")</f>
        <v/>
      </c>
      <c r="J17" s="87">
        <f>MAX(0, SUM(B147:K147)-J4)</f>
        <v>10</v>
      </c>
      <c r="K17" s="27" t="str">
        <f>IMAGE("https://prd-game-a-granbluefantasy.akamaized.net/assets_en/img_low/sp/assets/item/article/s/6511.jpg")</f>
        <v/>
      </c>
      <c r="L17" s="87">
        <f>MAX(0, SUM(B146:L146)-L4)+N17</f>
        <v>20</v>
      </c>
      <c r="M17" s="27" t="str">
        <f>IMAGE("https://prd-game-a-granbluefantasy.akamaized.net/assets_en/img_low/sp/assets/item/article/s/6512.jpg")</f>
        <v/>
      </c>
      <c r="N17" s="25">
        <f>MAX(0, SUM(B148:L148)-N4)</f>
        <v>10</v>
      </c>
      <c r="O17" s="27" t="str">
        <f>IMAGE("https://prd-game-a-granbluefantasy.akamaized.net/assets_en/img_low/sp/assets/item/article/s/538.jpg")</f>
        <v/>
      </c>
      <c r="P17" s="25">
        <f>MAX(0, N17*30-P4)</f>
        <v>300</v>
      </c>
      <c r="Q17" s="27" t="str">
        <f>IMAGE("https://prd-game-a-granbluefantasy.akamaized.net/assets_en/img_low/sp/assets/item/article/s/555.jpg")</f>
        <v/>
      </c>
      <c r="R17" s="25">
        <f>MAX(0, N17*30-R4)</f>
        <v>300</v>
      </c>
      <c r="S17" s="27" t="str">
        <f>IMAGE("https://prd-game-a-granbluefantasy.akamaized.net/assets_en/img_low/sp/assets/item/article/s/570.jpg")</f>
        <v/>
      </c>
      <c r="T17" s="25">
        <f>MAX(0, N17*30-T4)</f>
        <v>300</v>
      </c>
      <c r="U17" s="28"/>
      <c r="V17" s="29"/>
      <c r="W17" s="22"/>
    </row>
    <row r="18" ht="37.5" customHeight="1">
      <c r="A18" s="30" t="str">
        <f>IMAGE("https://prd-game-a-granbluefantasy.akamaized.net/assets_en/img_low/sp/assets/item/article/s/5411.jpg")</f>
        <v/>
      </c>
      <c r="B18" s="31">
        <f>MAX($H141-B5, 0)</f>
        <v>200</v>
      </c>
      <c r="C18" s="32" t="str">
        <f>IMAGE("https://prd-game-a-granbluefantasy.akamaized.net/assets_en/img_low/sp/assets/weapon/s/1030003800.jpg")</f>
        <v/>
      </c>
      <c r="D18" s="31">
        <f>MAX($H143-D5, 0)</f>
        <v>30</v>
      </c>
      <c r="E18" s="33" t="str">
        <f>IMAGE("https://prd-game-a-granbluefantasy.akamaized.net/assets_en/img_low/sp/assets/item/article/s/1313.jpg")</f>
        <v/>
      </c>
      <c r="F18" s="34">
        <f>MAX(D23*250+(SUM(L18:L27)/(2*5))-F5, 0)</f>
        <v>7550</v>
      </c>
      <c r="G18" s="33" t="str">
        <f>IMAGE("https://prd-game-a-granbluefantasy.akamaized.net/assets_en/img_low/sp/assets/item/article/s/549.jpg")</f>
        <v/>
      </c>
      <c r="H18" s="34">
        <f>MAX(K145-H5, 0)</f>
        <v>50</v>
      </c>
      <c r="I18" s="35" t="str">
        <f>IMAGE("https://prd-game-a-granbluefantasy.akamaized.net/assets_en/img_low/sp/assets/weapon/s/1040001800.jpg")</f>
        <v/>
      </c>
      <c r="J18" s="31">
        <f t="shared" ref="J18:J27" si="1">MAX((L18/5)*4-J5, 0)</f>
        <v>40</v>
      </c>
      <c r="K18" s="32" t="str">
        <f>IMAGE("https://prd-game-a-granbluefantasy.akamaized.net/assets_en/img_low/sp/assets/item/article/s/5671.jpg")</f>
        <v/>
      </c>
      <c r="L18" s="31">
        <f>MAX($H153-L5, 0)</f>
        <v>50</v>
      </c>
      <c r="M18" s="36" t="str">
        <f>IMAGE("https://prd-game-a-granbluefantasy.akamaized.net/assets_en/img_low/sp/assets/item/article/s/511.jpg")</f>
        <v/>
      </c>
      <c r="N18" s="37">
        <f>MAX(K149-N5, 0)</f>
        <v>50</v>
      </c>
      <c r="O18" s="36" t="str">
        <f>IMAGE("https://prd-game-a-granbluefantasy.akamaized.net/assets_en/img_low/sp/assets/item/article/s/111.jpg")</f>
        <v/>
      </c>
      <c r="P18" s="37">
        <f>MAX(K150-P5, 0)</f>
        <v>300</v>
      </c>
      <c r="Q18" s="36" t="str">
        <f>IMAGE("https://prd-game-a-granbluefantasy.akamaized.net/assets_en/img_low/sp/assets/item/article/s/5011.jpg")</f>
        <v/>
      </c>
      <c r="R18" s="37">
        <f>MAX(K157-R5, 0)</f>
        <v>2000</v>
      </c>
      <c r="S18" s="32" t="str">
        <f>IMAGE("https://prd-game-a-granbluefantasy.akamaized.net/assets_en/img_low/sp/assets/item/article/s/4011.jpg")</f>
        <v/>
      </c>
      <c r="T18" s="31">
        <f>MAX($H156-T5, 0)</f>
        <v>2000</v>
      </c>
      <c r="U18" s="36" t="str">
        <f>IMAGE("https://prd-game-a-granbluefantasy.akamaized.net/assets_en/img_low/sp/assets/item/article/s/557.jpg")</f>
        <v/>
      </c>
      <c r="V18" s="37">
        <f>MAX(K158-V5, 0)</f>
        <v>300</v>
      </c>
      <c r="W18" s="22"/>
      <c r="X18" s="23"/>
    </row>
    <row r="19" ht="37.5" customHeight="1">
      <c r="A19" s="38" t="str">
        <f>IMAGE("https://prd-game-a-granbluefantasy.akamaized.net/assets_en/img_low/sp/assets/item/article/s/5421.jpg")</f>
        <v/>
      </c>
      <c r="B19" s="39">
        <f>MAX($E141-B6, 0)</f>
        <v>200</v>
      </c>
      <c r="C19" s="40" t="str">
        <f>IMAGE("https://prd-game-a-granbluefantasy.akamaized.net/assets_en/img_low/sp/assets/weapon/s/1030103200.jpg")</f>
        <v/>
      </c>
      <c r="D19" s="39">
        <f>MAX($E143-D6, 0)</f>
        <v>30</v>
      </c>
      <c r="E19" s="40" t="str">
        <f>IMAGE("https://prd-game-a-granbluefantasy.akamaized.net/assets_en/img_low/sp/assets/item/article/s/1323.jpg")</f>
        <v/>
      </c>
      <c r="F19" s="39">
        <f>MAX((D19+D20)*250-F6, 0)</f>
        <v>15000</v>
      </c>
      <c r="G19" s="40" t="str">
        <f>IMAGE("https://prd-game-a-granbluefantasy.akamaized.net/assets_en/img_low/sp/assets/item/article/s/550.jpg")</f>
        <v/>
      </c>
      <c r="H19" s="39">
        <f>MAX(B145+E145-H6, 0)</f>
        <v>100</v>
      </c>
      <c r="I19" s="41" t="str">
        <f>IMAGE("https://prd-game-a-granbluefantasy.akamaized.net/assets_en/img_low/sp/assets/weapon/s/1040101700.jpg")</f>
        <v/>
      </c>
      <c r="J19" s="39">
        <f t="shared" si="1"/>
        <v>40</v>
      </c>
      <c r="K19" s="40" t="str">
        <f>IMAGE("https://prd-game-a-granbluefantasy.akamaized.net/assets_en/img_low/sp/assets/item/article/s/5641.jpg")</f>
        <v/>
      </c>
      <c r="L19" s="39">
        <f>MAX($E153-L6, 0)</f>
        <v>50</v>
      </c>
      <c r="M19" s="41" t="str">
        <f>IMAGE("https://prd-game-a-granbluefantasy.akamaized.net/assets_en/img_low/sp/assets/item/article/s/513.jpg")</f>
        <v/>
      </c>
      <c r="N19" s="39">
        <f>MAX(B149+E149-N6, 0)</f>
        <v>100</v>
      </c>
      <c r="O19" s="41" t="str">
        <f>IMAGE("https://prd-game-a-granbluefantasy.akamaized.net/assets_en/img_low/sp/assets/item/article/s/112.jpg")</f>
        <v/>
      </c>
      <c r="P19" s="39">
        <f>MAX(B150+E150-P6, 0)</f>
        <v>600</v>
      </c>
      <c r="Q19" s="41" t="str">
        <f>IMAGE("https://prd-game-a-granbluefantasy.akamaized.net/assets_en/img_low/sp/assets/item/article/s/5021.jpg")</f>
        <v/>
      </c>
      <c r="R19" s="39">
        <f>MAX(B157+E157-R6, 0)</f>
        <v>4000</v>
      </c>
      <c r="S19" s="40" t="str">
        <f>IMAGE("https://prd-game-a-granbluefantasy.akamaized.net/assets_en/img_low/sp/assets/item/article/s/4021.jpg")</f>
        <v/>
      </c>
      <c r="T19" s="39">
        <f>MAX($E156-T6, 0)</f>
        <v>2000</v>
      </c>
      <c r="U19" s="41" t="str">
        <f>IMAGE("https://prd-game-a-granbluefantasy.akamaized.net/assets_en/img_low/sp/assets/item/article/s/558.jpg")</f>
        <v/>
      </c>
      <c r="V19" s="39">
        <f>MAX(B158+E158-V6, 0)</f>
        <v>600</v>
      </c>
      <c r="W19" s="22"/>
      <c r="X19" s="23"/>
    </row>
    <row r="20" ht="37.5" customHeight="1">
      <c r="A20" s="38" t="str">
        <f>IMAGE("https://prd-game-a-granbluefantasy.akamaized.net/assets_en/img_low/sp/assets/item/article/s/5431.jpg")</f>
        <v/>
      </c>
      <c r="B20" s="39">
        <f>MAX($B141-B7, 0)</f>
        <v>200</v>
      </c>
      <c r="C20" s="40" t="str">
        <f>IMAGE("https://prd-game-a-granbluefantasy.akamaized.net/assets_en/img_low/sp/assets/weapon/s/1030203000.jpg")</f>
        <v/>
      </c>
      <c r="D20" s="39">
        <f>MAX($B143-D7, 0)</f>
        <v>30</v>
      </c>
      <c r="E20" s="42" t="str">
        <f>IMAGE("https://prd-game-a-granbluefantasy.akamaized.net/assets_en/img_low/sp/assets/item/article/s/1333.jpg")</f>
        <v/>
      </c>
      <c r="F20" s="43">
        <f>MAX((D21+D27)*250-F7, 0)</f>
        <v>15000</v>
      </c>
      <c r="G20" s="42" t="str">
        <f>IMAGE("https://prd-game-a-granbluefantasy.akamaized.net/assets_en/img_low/sp/assets/item/article/s/551.jpg")</f>
        <v/>
      </c>
      <c r="H20" s="43">
        <f>MAX(D145+I145-H7, 0)</f>
        <v>100</v>
      </c>
      <c r="I20" s="41" t="str">
        <f>IMAGE("https://prd-game-a-granbluefantasy.akamaized.net/assets_en/img_low/sp/assets/weapon/s/1040201600.jpg")</f>
        <v/>
      </c>
      <c r="J20" s="39">
        <f t="shared" si="1"/>
        <v>40</v>
      </c>
      <c r="K20" s="44" t="str">
        <f>IMAGE("https://prd-game-a-granbluefantasy.akamaized.net/assets_en/img_low/sp/assets/item/article/s/5611.jpg")</f>
        <v/>
      </c>
      <c r="L20" s="39">
        <f>MAX($B153-L7, 0)</f>
        <v>50</v>
      </c>
      <c r="M20" s="45" t="str">
        <f>IMAGE("https://prd-game-a-granbluefantasy.akamaized.net/assets_en/img_low/sp/assets/item/article/s/515.jpg")</f>
        <v/>
      </c>
      <c r="N20" s="43">
        <f>MAX(D149+I149-N7, 0)</f>
        <v>100</v>
      </c>
      <c r="O20" s="45" t="str">
        <f>IMAGE("https://prd-game-a-granbluefantasy.akamaized.net/assets_en/img_low/sp/assets/item/article/s/113.jpg")</f>
        <v/>
      </c>
      <c r="P20" s="43">
        <f>MAX(D150+I150-P7, 0)</f>
        <v>600</v>
      </c>
      <c r="Q20" s="45" t="str">
        <f>IMAGE("https://prd-game-a-granbluefantasy.akamaized.net/assets_en/img_low/sp/assets/item/article/s/5031.jpg")</f>
        <v/>
      </c>
      <c r="R20" s="43">
        <f>MAX(D157+I157-R7, 0)</f>
        <v>4000</v>
      </c>
      <c r="S20" s="44" t="str">
        <f>IMAGE("https://prd-game-a-granbluefantasy.akamaized.net/assets_en/img_low/sp/assets/item/article/s/4031.jpg")</f>
        <v/>
      </c>
      <c r="T20" s="39">
        <f>MAX($B156-T7, 0)</f>
        <v>2000</v>
      </c>
      <c r="U20" s="45" t="str">
        <f>IMAGE("https://prd-game-a-granbluefantasy.akamaized.net/assets_en/img_low/sp/assets/item/article/s/559.jpg")</f>
        <v/>
      </c>
      <c r="V20" s="43">
        <f>MAX(D158+I158-V7, 0)</f>
        <v>600</v>
      </c>
      <c r="W20" s="22"/>
      <c r="X20" s="23"/>
    </row>
    <row r="21" ht="37.5" customHeight="1">
      <c r="A21" s="46" t="str">
        <f>IMAGE("https://prd-game-a-granbluefantasy.akamaized.net/assets_en/img_low/sp/assets/item/article/s/5441.jpg")</f>
        <v/>
      </c>
      <c r="B21" s="43">
        <f>MAX($D141-B8, 0)</f>
        <v>200</v>
      </c>
      <c r="C21" s="42" t="str">
        <f>IMAGE("https://prd-game-a-granbluefantasy.akamaized.net/assets_en/img_low/sp/assets/weapon/s/1030302400.jpg")</f>
        <v/>
      </c>
      <c r="D21" s="43">
        <f>MAX($D143-D8, 0)</f>
        <v>30</v>
      </c>
      <c r="E21" s="32" t="str">
        <f>IMAGE("https://prd-game-a-granbluefantasy.akamaized.net/assets_en/img_low/sp/assets/item/article/s/1343.jpg")</f>
        <v/>
      </c>
      <c r="F21" s="31">
        <f>MAX((D18+D26)*250-F8, 0)</f>
        <v>15000</v>
      </c>
      <c r="G21" s="32" t="str">
        <f>IMAGE("https://prd-game-a-granbluefantasy.akamaized.net/assets_en/img_low/sp/assets/item/article/s/552.jpg")</f>
        <v/>
      </c>
      <c r="H21" s="31">
        <f>MAX(H145+J145-H8, 0)</f>
        <v>100</v>
      </c>
      <c r="I21" s="45" t="str">
        <f>IMAGE("https://prd-game-a-granbluefantasy.akamaized.net/assets_en/img_low/sp/assets/weapon/s/1040301300.jpg")</f>
        <v/>
      </c>
      <c r="J21" s="43">
        <f t="shared" si="1"/>
        <v>40</v>
      </c>
      <c r="K21" s="47" t="str">
        <f>IMAGE("https://prd-game-a-granbluefantasy.akamaized.net/assets_en/img_low/sp/assets/item/article/s/5631.jpg")</f>
        <v/>
      </c>
      <c r="L21" s="43">
        <f>MAX($D153-L8, 0)</f>
        <v>50</v>
      </c>
      <c r="M21" s="35" t="str">
        <f>IMAGE("https://prd-game-a-granbluefantasy.akamaized.net/assets_en/img_low/sp/assets/item/article/s/517.jpg")</f>
        <v/>
      </c>
      <c r="N21" s="31">
        <f>MAX(H149+J149-N8, 0)</f>
        <v>100</v>
      </c>
      <c r="O21" s="35" t="str">
        <f>IMAGE("https://prd-game-a-granbluefantasy.akamaized.net/assets_en/img_low/sp/assets/item/article/s/114.jpg")</f>
        <v/>
      </c>
      <c r="P21" s="31">
        <f>MAX(H150+J150-P8, 0)</f>
        <v>600</v>
      </c>
      <c r="Q21" s="35" t="str">
        <f>IMAGE("https://prd-game-a-granbluefantasy.akamaized.net/assets_en/img_low/sp/assets/item/article/s/5041.jpg")</f>
        <v/>
      </c>
      <c r="R21" s="31">
        <f>MAX(H157+J157-R8, 0)</f>
        <v>4000</v>
      </c>
      <c r="S21" s="47" t="str">
        <f>IMAGE("https://prd-game-a-granbluefantasy.akamaized.net/assets_en/img_low/sp/assets/item/article/s/4041.jpg")</f>
        <v/>
      </c>
      <c r="T21" s="43">
        <f>MAX($D156-T8, 0)</f>
        <v>2000</v>
      </c>
      <c r="U21" s="35" t="str">
        <f>IMAGE("https://prd-game-a-granbluefantasy.akamaized.net/assets_en/img_low/sp/assets/item/article/s/560.jpg")</f>
        <v/>
      </c>
      <c r="V21" s="31">
        <f>MAX(H158+J158-V8, 0)</f>
        <v>600</v>
      </c>
      <c r="W21" s="22"/>
      <c r="X21" s="23"/>
    </row>
    <row r="22" ht="37.5" customHeight="1">
      <c r="A22" s="48" t="str">
        <f>IMAGE("https://prd-game-a-granbluefantasy.akamaized.net/assets_en/img_low/sp/assets/item/article/s/5451.jpg")</f>
        <v/>
      </c>
      <c r="B22" s="49">
        <f>MAX($F141-B9, 0)</f>
        <v>200</v>
      </c>
      <c r="C22" s="50" t="str">
        <f>IMAGE("https://prd-game-a-granbluefantasy.akamaized.net/assets_en/img_low/sp/assets/weapon/s/1030402700.jpg")</f>
        <v/>
      </c>
      <c r="D22" s="49">
        <f>MAX($F143-D9, 0)</f>
        <v>30</v>
      </c>
      <c r="E22" s="50" t="str">
        <f>IMAGE("https://prd-game-a-granbluefantasy.akamaized.net/assets_en/img_low/sp/assets/item/article/s/1353.jpg")</f>
        <v/>
      </c>
      <c r="F22" s="49">
        <f>MAX(((D22+D25)+SUM(L18:L27)/5)*250-F9, 0)</f>
        <v>40000</v>
      </c>
      <c r="G22" s="50" t="str">
        <f>IMAGE("https://prd-game-a-granbluefantasy.akamaized.net/assets_en/img_low/sp/assets/item/article/s/553.jpg")</f>
        <v/>
      </c>
      <c r="H22" s="49">
        <f>MAX(C145+F145-H9, 0)</f>
        <v>100</v>
      </c>
      <c r="I22" s="51" t="str">
        <f>IMAGE("https://prd-game-a-granbluefantasy.akamaized.net/assets_en/img_low/sp/assets/weapon/s/1040401800.jpg")</f>
        <v/>
      </c>
      <c r="J22" s="49">
        <f t="shared" si="1"/>
        <v>40</v>
      </c>
      <c r="K22" s="52" t="str">
        <f>IMAGE("https://prd-game-a-granbluefantasy.akamaized.net/assets_en/img_low/sp/assets/item/article/s/5651.jpg")</f>
        <v/>
      </c>
      <c r="L22" s="49">
        <f>MAX($F153-L9, 0)</f>
        <v>50</v>
      </c>
      <c r="M22" s="51" t="str">
        <f>IMAGE("https://prd-game-a-granbluefantasy.akamaized.net/assets_en/img_low/sp/assets/item/article/s/519.jpg")</f>
        <v/>
      </c>
      <c r="N22" s="49">
        <f>MAX(C149+F149-N9, 0)</f>
        <v>100</v>
      </c>
      <c r="O22" s="51" t="str">
        <f>IMAGE("https://prd-game-a-granbluefantasy.akamaized.net/assets_en/img_low/sp/assets/item/article/s/115.jpg")</f>
        <v/>
      </c>
      <c r="P22" s="49">
        <f>MAX(C150+F150-P9, 0)</f>
        <v>600</v>
      </c>
      <c r="Q22" s="51" t="str">
        <f>IMAGE("https://prd-game-a-granbluefantasy.akamaized.net/assets_en/img_low/sp/assets/item/article/s/5051.jpg")</f>
        <v/>
      </c>
      <c r="R22" s="49">
        <f>MAX(C157+F157-R9, 0)</f>
        <v>4000</v>
      </c>
      <c r="S22" s="52" t="str">
        <f>IMAGE("https://prd-game-a-granbluefantasy.akamaized.net/assets_en/img_low/sp/assets/item/article/s/4051.jpg")</f>
        <v/>
      </c>
      <c r="T22" s="49">
        <f>MAX($F156-T9, 0)</f>
        <v>2000</v>
      </c>
      <c r="U22" s="51" t="str">
        <f>IMAGE("https://prd-game-a-granbluefantasy.akamaized.net/assets_en/img_low/sp/assets/item/article/s/561.jpg")</f>
        <v/>
      </c>
      <c r="V22" s="49">
        <f>MAX(C158+F158-V9, 0)</f>
        <v>600</v>
      </c>
      <c r="W22" s="22"/>
      <c r="X22" s="23"/>
    </row>
    <row r="23" ht="37.5" customHeight="1">
      <c r="A23" s="53" t="str">
        <f>IMAGE("https://prd-game-a-granbluefantasy.akamaized.net/assets_en/img_low/sp/assets/item/article/s/5461.jpg")</f>
        <v/>
      </c>
      <c r="B23" s="34">
        <f>MAX($K141-B10, 0)</f>
        <v>200</v>
      </c>
      <c r="C23" s="33" t="str">
        <f>IMAGE("https://prd-game-a-granbluefantasy.akamaized.net/assets_en/img_low/sp/assets/weapon/s/1030501900.jpg")</f>
        <v/>
      </c>
      <c r="D23" s="34">
        <f>MAX($K143-D10, 0)</f>
        <v>30</v>
      </c>
      <c r="E23" s="54" t="str">
        <f>IMAGE("https://prd-game-a-granbluefantasy.akamaized.net/assets_en/img_low/sp/assets/item/article/s/1363.jpg")</f>
        <v/>
      </c>
      <c r="F23" s="55">
        <f>MAX(D24+(SUM(L18:L27)/(2*5))*250-F10, 0)</f>
        <v>12530</v>
      </c>
      <c r="G23" s="54" t="str">
        <f>IMAGE("https://prd-game-a-granbluefantasy.akamaized.net/assets_en/img_low/sp/assets/item/article/s/554.jpg")</f>
        <v/>
      </c>
      <c r="H23" s="55">
        <f>MAX(G145-H10, 0)</f>
        <v>50</v>
      </c>
      <c r="I23" s="56" t="str">
        <f>IMAGE("https://prd-game-a-granbluefantasy.akamaized.net/assets_en/img_low/sp/assets/weapon/s/1040500800.jpg")</f>
        <v/>
      </c>
      <c r="J23" s="34">
        <f t="shared" si="1"/>
        <v>40</v>
      </c>
      <c r="K23" s="57" t="str">
        <f>IMAGE("https://prd-game-a-granbluefantasy.akamaized.net/assets_en/img_low/sp/assets/item/article/s/5701.jpg")</f>
        <v/>
      </c>
      <c r="L23" s="34">
        <f>MAX($K153-L10, 0)</f>
        <v>50</v>
      </c>
      <c r="M23" s="58" t="str">
        <f>IMAGE("https://prd-game-a-granbluefantasy.akamaized.net/assets_en/img_low/sp/assets/item/article/s/521.jpg")</f>
        <v/>
      </c>
      <c r="N23" s="55">
        <f>MAX(G149-N10, 0)</f>
        <v>50</v>
      </c>
      <c r="O23" s="58" t="str">
        <f>IMAGE("https://prd-game-a-granbluefantasy.akamaized.net/assets_en/img_low/sp/assets/item/article/s/116.jpg")</f>
        <v/>
      </c>
      <c r="P23" s="55">
        <f>MAX(G150-P10, 0)</f>
        <v>300</v>
      </c>
      <c r="Q23" s="58" t="str">
        <f>IMAGE("https://prd-game-a-granbluefantasy.akamaized.net/assets_en/img_low/sp/assets/item/article/s/5061.jpg")</f>
        <v/>
      </c>
      <c r="R23" s="55">
        <f>MAX(G157-R10, 0)</f>
        <v>2000</v>
      </c>
      <c r="S23" s="57" t="str">
        <f>IMAGE("https://prd-game-a-granbluefantasy.akamaized.net/assets_en/img_low/sp/assets/item/article/s/4061.jpg")</f>
        <v/>
      </c>
      <c r="T23" s="34">
        <f>MAX($K156-T10, 0)</f>
        <v>2000</v>
      </c>
      <c r="U23" s="58" t="str">
        <f>IMAGE("https://prd-game-a-granbluefantasy.akamaized.net/assets_en/img_low/sp/assets/item/article/s/562.jpg")</f>
        <v/>
      </c>
      <c r="V23" s="55">
        <f>MAX(G158-V10, 0)</f>
        <v>300</v>
      </c>
      <c r="W23" s="22"/>
      <c r="X23" s="23"/>
    </row>
    <row r="24" ht="37.5" customHeight="1">
      <c r="A24" s="59" t="str">
        <f>IMAGE("https://prd-game-a-granbluefantasy.akamaized.net/assets_en/img_low/sp/assets/item/article/s/5471.jpg")</f>
        <v/>
      </c>
      <c r="B24" s="55">
        <f>MAX($G141-B11, 0)</f>
        <v>200</v>
      </c>
      <c r="C24" s="54" t="str">
        <f>IMAGE("https://prd-game-a-granbluefantasy.akamaized.net/assets_en/img_low/sp/assets/weapon/s/1030603100.jpg")</f>
        <v/>
      </c>
      <c r="D24" s="55">
        <f>MAX($G143-D11, 0)</f>
        <v>30</v>
      </c>
      <c r="E24" s="33" t="str">
        <f>IMAGE("https://prd-game-a-granbluefantasy.akamaized.net/assets_en/img_low/sp/assets/item/article/s/5211.jpg")</f>
        <v/>
      </c>
      <c r="F24" s="34">
        <f>MAX(C144+K144-F11, 0)</f>
        <v>120</v>
      </c>
      <c r="G24" s="27" t="str">
        <f>IMAGE("https://prd-game-a-granbluefantasy.akamaized.net/assets_en/img_low/sp/assets/item/normal/s/jp.jpg")</f>
        <v/>
      </c>
      <c r="H24" s="25">
        <f>MAX(0, 20000*J17-H11)</f>
        <v>200000</v>
      </c>
      <c r="I24" s="58" t="str">
        <f>IMAGE("https://prd-game-a-granbluefantasy.akamaized.net/assets_en/img_low/sp/assets/weapon/s/1040600800.jpg")</f>
        <v/>
      </c>
      <c r="J24" s="55">
        <f t="shared" si="1"/>
        <v>40</v>
      </c>
      <c r="K24" s="60" t="str">
        <f>IMAGE("https://prd-game-a-granbluefantasy.akamaized.net/assets_en/img_low/sp/assets/item/article/s/5661.jpg")</f>
        <v/>
      </c>
      <c r="L24" s="55">
        <f>MAX($G153-L11, 0)</f>
        <v>50</v>
      </c>
      <c r="M24" s="36" t="str">
        <f>IMAGE("https://prd-game-a-granbluefantasy.akamaized.net/assets_en/img_low/sp/assets/item/article/s/25070.jpg")</f>
        <v/>
      </c>
      <c r="N24" s="37">
        <f>MAX(0, C155+F155+K155-N11)</f>
        <v>60</v>
      </c>
      <c r="O24" s="28"/>
      <c r="P24" s="61"/>
      <c r="Q24" s="28"/>
      <c r="R24" s="61"/>
      <c r="S24" s="60" t="str">
        <f>IMAGE("https://prd-game-a-granbluefantasy.akamaized.net/assets_en/img_low/sp/assets/item/article/s/4071.jpg")</f>
        <v/>
      </c>
      <c r="T24" s="55">
        <f>MAX($G156-T11, 0)</f>
        <v>2000</v>
      </c>
      <c r="U24" s="62"/>
      <c r="V24" s="63"/>
      <c r="W24" s="22"/>
    </row>
    <row r="25" ht="37.5" customHeight="1">
      <c r="A25" s="48" t="str">
        <f>IMAGE("https://prd-game-a-granbluefantasy.akamaized.net/assets_en/img_low/sp/assets/item/article/s/5481.jpg")</f>
        <v/>
      </c>
      <c r="B25" s="49">
        <f>MAX($C141-B12, 0)</f>
        <v>200</v>
      </c>
      <c r="C25" s="50" t="str">
        <f>IMAGE("https://prd-game-a-granbluefantasy.akamaized.net/assets_en/img_low/sp/assets/weapon/s/1030702000.jpg")</f>
        <v/>
      </c>
      <c r="D25" s="49">
        <f>MAX($C143-D12, 0)</f>
        <v>30</v>
      </c>
      <c r="E25" s="40" t="str">
        <f>IMAGE("https://prd-game-a-granbluefantasy.akamaized.net/assets_en/img_low/sp/assets/item/article/s/5221.jpg")</f>
        <v/>
      </c>
      <c r="F25" s="39">
        <f>MAX(B144+E144+G144-F12, 0)</f>
        <v>200</v>
      </c>
      <c r="G25" s="27" t="str">
        <f>IMAGE("https://prd-game-a-granbluefantasy.akamaized.net/assets_en/img_low/sp/assets/item/article/s/79.jpg")</f>
        <v/>
      </c>
      <c r="H25" s="25">
        <f t="shared" ref="H25:H26" si="2">MAX(0, SUM(B151:K151)-H12)</f>
        <v>1000</v>
      </c>
      <c r="I25" s="51" t="str">
        <f>IMAGE("https://prd-game-a-granbluefantasy.akamaized.net/assets_en/img_low/sp/assets/weapon/s/1040700500.jpg")</f>
        <v/>
      </c>
      <c r="J25" s="49">
        <f t="shared" si="1"/>
        <v>40</v>
      </c>
      <c r="K25" s="52" t="str">
        <f>IMAGE("https://prd-game-a-granbluefantasy.akamaized.net/assets_en/img_low/sp/assets/item/article/s/5621.jpg")</f>
        <v/>
      </c>
      <c r="L25" s="49">
        <f>MAX($C153-L12, 0)</f>
        <v>50</v>
      </c>
      <c r="M25" s="41" t="str">
        <f>IMAGE("https://prd-game-a-granbluefantasy.akamaized.net/assets_en/img_low/sp/assets/item/article/s/25071.jpg")</f>
        <v/>
      </c>
      <c r="N25" s="39">
        <f>MAX(0, B155+E155+G155-N12)</f>
        <v>75</v>
      </c>
      <c r="O25" s="28"/>
      <c r="P25" s="61"/>
      <c r="Q25" s="28"/>
      <c r="R25" s="61"/>
      <c r="S25" s="52" t="str">
        <f>IMAGE("https://prd-game-a-granbluefantasy.akamaized.net/assets_en/img_low/sp/assets/item/article/s/4081.jpg")</f>
        <v/>
      </c>
      <c r="T25" s="49">
        <f>MAX($C156-T12, 0)</f>
        <v>2000</v>
      </c>
      <c r="U25" s="62"/>
      <c r="V25" s="63"/>
      <c r="W25" s="22"/>
    </row>
    <row r="26" ht="37.5" customHeight="1">
      <c r="A26" s="30" t="str">
        <f>IMAGE("https://prd-game-a-granbluefantasy.akamaized.net/assets_en/img_low/sp/assets/item/article/s/5491.jpg")</f>
        <v/>
      </c>
      <c r="B26" s="31">
        <f>MAX($J141-B13, 0)</f>
        <v>200</v>
      </c>
      <c r="C26" s="32" t="str">
        <f>IMAGE("https://prd-game-a-granbluefantasy.akamaized.net/assets_en/img_low/sp/assets/weapon/s/1030801500.jpg")</f>
        <v/>
      </c>
      <c r="D26" s="31">
        <f>MAX($J143-D13, 0)</f>
        <v>30</v>
      </c>
      <c r="E26" s="42" t="str">
        <f>IMAGE("https://prd-game-a-granbluefantasy.akamaized.net/assets_en/img_low/sp/assets/item/article/s/5231.jpg")</f>
        <v/>
      </c>
      <c r="F26" s="43">
        <f>MAX(D144+G144+I144-F13, 0)</f>
        <v>200</v>
      </c>
      <c r="G26" s="27" t="str">
        <f>IMAGE("https://prd-game-a-granbluefantasy.akamaized.net/assets_en/img_low/sp/assets/item/article/s/2003.jpg")</f>
        <v/>
      </c>
      <c r="H26" s="25">
        <f t="shared" si="2"/>
        <v>1000</v>
      </c>
      <c r="I26" s="35" t="str">
        <f>IMAGE("https://prd-game-a-granbluefantasy.akamaized.net/assets_en/img_low/sp/assets/weapon/s/1040800300.jpg")</f>
        <v/>
      </c>
      <c r="J26" s="31">
        <f t="shared" si="1"/>
        <v>40</v>
      </c>
      <c r="K26" s="64" t="str">
        <f>IMAGE("https://prd-game-a-granbluefantasy.akamaized.net/assets_en/img_low/sp/assets/item/article/s/5691.jpg")</f>
        <v/>
      </c>
      <c r="L26" s="31">
        <f>MAX($J153-L13, 0)</f>
        <v>50</v>
      </c>
      <c r="M26" s="45" t="str">
        <f>IMAGE("https://prd-game-a-granbluefantasy.akamaized.net/assets_en/img_low/sp/assets/item/article/s/25072.jpg")</f>
        <v/>
      </c>
      <c r="N26" s="43">
        <f>MAX(0, D155+G155+I155-N13)</f>
        <v>75</v>
      </c>
      <c r="O26" s="28"/>
      <c r="P26" s="61"/>
      <c r="Q26" s="28"/>
      <c r="R26" s="61"/>
      <c r="S26" s="64" t="str">
        <f>IMAGE("https://prd-game-a-granbluefantasy.akamaized.net/assets_en/img_low/sp/assets/item/article/s/4091.jpg")</f>
        <v/>
      </c>
      <c r="T26" s="31">
        <f>MAX($J156-T13, 0)</f>
        <v>2000</v>
      </c>
      <c r="U26" s="62"/>
      <c r="V26" s="63" t="s">
        <v>3</v>
      </c>
      <c r="W26" s="22"/>
    </row>
    <row r="27" ht="37.5" customHeight="1">
      <c r="A27" s="46" t="str">
        <f>IMAGE("https://prd-game-a-granbluefantasy.akamaized.net/assets_en/img_low/sp/assets/item/article/s/5501.jpg")</f>
        <v/>
      </c>
      <c r="B27" s="43">
        <f>MAX($I141-B14, 0)</f>
        <v>200</v>
      </c>
      <c r="C27" s="42" t="str">
        <f>IMAGE("https://prd-game-a-granbluefantasy.akamaized.net/assets_en/img_low/sp/assets/weapon/s/1030901000.jpg")</f>
        <v/>
      </c>
      <c r="D27" s="43">
        <f>MAX($I143-D14, 0)</f>
        <v>30</v>
      </c>
      <c r="E27" s="32" t="str">
        <f>IMAGE("https://prd-game-a-granbluefantasy.akamaized.net/assets_en/img_low/sp/assets/item/article/s/5241.jpg")</f>
        <v/>
      </c>
      <c r="F27" s="31">
        <f>MAX(C144+H144+J144-F14, 0)</f>
        <v>200</v>
      </c>
      <c r="G27" s="70" t="str">
        <f>IMAGE("https://prd-game-a-granbluefantasy.akamaized.net/assets_en/img_low/sp/assets/item/article/s/547.jpg")</f>
        <v/>
      </c>
      <c r="H27" s="71">
        <f>MAX(0, SUM(B159:K159)-H14)</f>
        <v>500</v>
      </c>
      <c r="I27" s="72" t="str">
        <f>IMAGE("https://prd-game-a-granbluefantasy.akamaized.net/assets_en/img_low/sp/assets/weapon/s/1040900500.jpg")</f>
        <v/>
      </c>
      <c r="J27" s="43">
        <f t="shared" si="1"/>
        <v>40</v>
      </c>
      <c r="K27" s="73" t="str">
        <f>IMAGE("https://prd-game-a-granbluefantasy.akamaized.net/assets_en/img_low/sp/assets/item/article/s/5681.jpg")</f>
        <v/>
      </c>
      <c r="L27" s="43">
        <f>MAX($I153-L14, 0)</f>
        <v>50</v>
      </c>
      <c r="M27" s="74" t="str">
        <f>IMAGE("https://prd-game-a-granbluefantasy.akamaized.net/assets_en/img_low/sp/assets/item/article/s/25073.jpg")</f>
        <v/>
      </c>
      <c r="N27" s="69">
        <f>MAX(0, C155+F155+H155+J155-N14)</f>
        <v>90</v>
      </c>
      <c r="O27" s="75" t="str">
        <f>IMAGE("https://prd-game-a-granbluefantasy.akamaized.net/assets_en/img_low/sp/assets/item/article/s/529.jpg")</f>
        <v/>
      </c>
      <c r="P27" s="76">
        <f>MAX(C154+F154+H154+J154+K154-P14-QUOTIENT(P13, 10)-QUOTIENT(P12, 10)-QUOTIENT(P11, 50), 0)</f>
        <v>150</v>
      </c>
      <c r="Q27" s="77" t="str">
        <f>IMAGE("https://prd-game-a-granbluefantasy.akamaized.net/assets_en/img_low/sp/assets/item/article/s/531.jpg")</f>
        <v/>
      </c>
      <c r="R27" s="78">
        <f>MAX(B154+D154+E154+G154+I154-R14-QUOTIENT(R13, 10)-QUOTIENT(R12, 10)-QUOTIENT(R11, 50), 0)</f>
        <v>150</v>
      </c>
      <c r="S27" s="73" t="str">
        <f>IMAGE("https://prd-game-a-granbluefantasy.akamaized.net/assets_en/img_low/sp/assets/item/article/s/4101.jpg")</f>
        <v/>
      </c>
      <c r="T27" s="66">
        <f>MAX($I156-T14, 0)</f>
        <v>2000</v>
      </c>
      <c r="U27" s="79" t="str">
        <f>IMAGE("https://prd-game-a-granbluefantasy.akamaized.net/assets_en/img_low/sp/assets/item/normal/s/lupi.jpg")</f>
        <v/>
      </c>
      <c r="V27" s="80">
        <f>MAX(0, SUM(B160:K160)-V14)</f>
        <v>100</v>
      </c>
      <c r="W27" s="22"/>
    </row>
    <row r="28">
      <c r="A28" s="88"/>
      <c r="B28" s="89" t="s">
        <v>6</v>
      </c>
      <c r="C28" s="90"/>
      <c r="D28" s="90"/>
      <c r="E28" s="90"/>
      <c r="F28" s="89"/>
      <c r="G28" s="90"/>
      <c r="H28" s="90"/>
      <c r="I28" s="90"/>
      <c r="J28" s="90"/>
      <c r="K28" s="90"/>
      <c r="L28" s="90"/>
      <c r="M28" s="90"/>
      <c r="N28" s="90"/>
      <c r="O28" s="90"/>
      <c r="P28" s="91"/>
      <c r="Q28" s="90"/>
      <c r="R28" s="90"/>
      <c r="S28" s="90"/>
      <c r="T28" s="91"/>
      <c r="U28" s="90"/>
      <c r="V28" s="90"/>
      <c r="W28" s="92"/>
      <c r="X28" s="93"/>
    </row>
    <row r="29" ht="37.5" customHeight="1">
      <c r="A29" s="94" t="str">
        <f>IMAGE("https://prd-game-a-granbluefantasy.akamaized.net/assets_en/img_low/sp/assets/item/article/s/5411.jpg")</f>
        <v/>
      </c>
      <c r="B29" s="80">
        <f>SUM(B18:B27)</f>
        <v>2000</v>
      </c>
      <c r="C29" s="95" t="str">
        <f>IMAGE("https://prd-game-a-granbluefantasy.akamaized.net/assets_en/img_low/sp/assets/item/article/s/1353.jpg")</f>
        <v/>
      </c>
      <c r="D29" s="96">
        <f>SUM(F18:F23)</f>
        <v>105080</v>
      </c>
      <c r="E29" s="70" t="str">
        <f>IMAGE("https://prd-game-a-granbluefantasy.akamaized.net/assets_en/img_low/sp/assets/item/article/s/5231.jpg")</f>
        <v/>
      </c>
      <c r="F29" s="71">
        <f>SUM(F24:F27)</f>
        <v>720</v>
      </c>
      <c r="G29" s="95"/>
      <c r="H29" s="97"/>
      <c r="I29" s="95"/>
      <c r="J29" s="97"/>
      <c r="K29" s="95"/>
      <c r="L29" s="97"/>
      <c r="M29" s="95"/>
      <c r="N29" s="97"/>
      <c r="O29" s="95"/>
      <c r="P29" s="97"/>
      <c r="Q29" s="95"/>
      <c r="R29" s="97"/>
      <c r="S29" s="95"/>
      <c r="T29" s="97"/>
      <c r="U29" s="95"/>
      <c r="V29" s="98"/>
      <c r="W29" s="22"/>
    </row>
    <row r="30" ht="37.5" customHeight="1">
      <c r="A30" s="95"/>
      <c r="B30" s="97"/>
      <c r="C30" s="95"/>
      <c r="D30" s="97"/>
      <c r="E30" s="95"/>
      <c r="F30" s="97"/>
      <c r="G30" s="95"/>
      <c r="H30" s="97"/>
      <c r="I30" s="95"/>
      <c r="J30" s="97"/>
      <c r="K30" s="95"/>
      <c r="L30" s="97"/>
      <c r="M30" s="95"/>
      <c r="N30" s="97"/>
      <c r="O30" s="95"/>
      <c r="P30" s="97"/>
      <c r="Q30" s="95"/>
      <c r="R30" s="97"/>
      <c r="S30" s="95"/>
      <c r="T30" s="97"/>
      <c r="U30" s="95"/>
      <c r="V30" s="98"/>
      <c r="W30" s="22"/>
    </row>
    <row r="31">
      <c r="A31" s="99"/>
      <c r="B31" s="100" t="s">
        <v>7</v>
      </c>
      <c r="C31" s="90"/>
      <c r="D31" s="101"/>
      <c r="E31" s="90"/>
      <c r="F31" s="101"/>
      <c r="G31" s="90"/>
      <c r="H31" s="101"/>
      <c r="I31" s="90"/>
      <c r="J31" s="101"/>
      <c r="K31" s="90"/>
      <c r="L31" s="101"/>
      <c r="M31" s="90"/>
      <c r="N31" s="101"/>
      <c r="O31" s="90"/>
      <c r="P31" s="102"/>
      <c r="Q31" s="90"/>
      <c r="R31" s="101"/>
      <c r="S31" s="90"/>
      <c r="T31" s="102"/>
      <c r="U31" s="90"/>
      <c r="V31" s="101"/>
      <c r="W31" s="92"/>
      <c r="X31" s="93"/>
    </row>
    <row r="32" ht="26.25" customHeight="1">
      <c r="A32" s="95" t="str">
        <f>IMAGE("https://game-a1.granbluefantasy.jp/assets_en/img_low/sp/quest/assets/lobby/303251.png")</f>
        <v/>
      </c>
      <c r="B32" s="97">
        <f>MAX(B18:B27)*10</f>
        <v>2000</v>
      </c>
      <c r="C32" s="98" t="str">
        <f>IMAGE("https://game-a1.granbluefantasy.jp/assets_en/img_low/sp/quest/assets/lobby/300291.png")</f>
        <v/>
      </c>
      <c r="D32" s="97">
        <f>(SUM(D18:D27)+SUM(L18:L27))*1.1</f>
        <v>880</v>
      </c>
      <c r="E32" s="98" t="str">
        <f>IMAGE("https://game-a1.granbluefantasy.jp/assets_en/img_low/sp/quest/assets/lobby/303291.png")</f>
        <v/>
      </c>
      <c r="F32" s="97">
        <f>MAX(F24:F27)*4</f>
        <v>800</v>
      </c>
      <c r="G32" s="98" t="str">
        <f>IMAGE("https://game-a1.granbluefantasy.jp/assets_en/img_low/sp/quest/assets/banner_chapter_unlimited_1.png")</f>
        <v/>
      </c>
      <c r="H32" s="97">
        <f>ROUND(MAX(F18:F23)/3.5,0)</f>
        <v>11429</v>
      </c>
      <c r="I32" s="98"/>
      <c r="J32" s="97"/>
      <c r="K32" s="98" t="str">
        <f>IMAGE("https://game-a1.granbluefantasy.jp/assets_en/img/sp/quest/assets/lobby/305191.png")</f>
        <v/>
      </c>
      <c r="L32" s="97">
        <f>CEILING(V18/1.5,1)</f>
        <v>200</v>
      </c>
      <c r="M32" s="98" t="str">
        <f>IMAGE("https://game-a1.granbluefantasy.jp/assets_en/img/sp/quest/assets/lobby/305201.png")</f>
        <v/>
      </c>
      <c r="N32" s="97">
        <f>CEILING(V19/1.5,1)</f>
        <v>400</v>
      </c>
      <c r="O32" s="98" t="str">
        <f>IMAGE("https://game-a1.granbluefantasy.jp/assets_en/img/sp/quest/assets/lobby/305211.png")</f>
        <v/>
      </c>
      <c r="P32" s="97">
        <f>CEILING(V20/1.5,1)</f>
        <v>400</v>
      </c>
      <c r="Q32" s="98"/>
      <c r="R32" s="97"/>
      <c r="S32" s="98"/>
      <c r="T32" s="97"/>
      <c r="U32" s="98"/>
      <c r="V32" s="98"/>
      <c r="W32" s="22"/>
    </row>
    <row r="33" ht="26.25" customHeight="1">
      <c r="A33" s="95" t="str">
        <f>IMAGE("https://game-a1.granbluefantasy.jp/assets_en/img_low/sp/quest/assets/banner_chapter_unlimited_5.png")</f>
        <v/>
      </c>
      <c r="B33" s="97">
        <f>SUM(B18:B27)</f>
        <v>2000</v>
      </c>
      <c r="C33" s="98" t="str">
        <f>IMAGE("https://game-a1.granbluefantasy.jp/assets_en/img_low/sp/quest/assets/lobby/303231.png")</f>
        <v/>
      </c>
      <c r="D33" s="97">
        <f>(P27+R27)*7</f>
        <v>2100</v>
      </c>
      <c r="E33" s="98" t="str">
        <f>IMAGE("https://game-a1.granbluefantasy.jp/assets_en/img_low/sp/quest/assets/lobby/303281.png")</f>
        <v/>
      </c>
      <c r="F33" s="97">
        <f>CEILING(P17/1.4,1)</f>
        <v>215</v>
      </c>
      <c r="G33" s="98" t="str">
        <f>IMAGE("https://game-a1.granbluefantasy.jp/assets_en/img_low/sp/quest/assets/lobby/305181.png")</f>
        <v/>
      </c>
      <c r="H33" s="97">
        <f>CEILING(R17/1.4,1)</f>
        <v>215</v>
      </c>
      <c r="I33" s="98" t="str">
        <f>IMAGE("https://game-a1.granbluefantasy.jp/assets_en/img_low/sp/quest/assets/lobby/305281.png")</f>
        <v/>
      </c>
      <c r="J33" s="97">
        <f>CEILING(T17/1.4,1)</f>
        <v>215</v>
      </c>
      <c r="K33" s="98" t="str">
        <f>IMAGE("https://game-a1.granbluefantasy.jp/assets_en/img/sp/quest/assets/lobby/305221.png")</f>
        <v/>
      </c>
      <c r="L33" s="97">
        <f>CEILING(V21/1.5,1)</f>
        <v>400</v>
      </c>
      <c r="M33" s="98" t="str">
        <f>IMAGE("https://game-a1.granbluefantasy.jp/assets_en/img/sp/quest/assets/lobby/305231.png")</f>
        <v/>
      </c>
      <c r="N33" s="97">
        <f>CEILING(V22/1.5,1)</f>
        <v>400</v>
      </c>
      <c r="O33" s="98" t="str">
        <f>IMAGE("https://game-a1.granbluefantasy.jp/assets_en/img/sp/quest/assets/lobby/305241.png")</f>
        <v/>
      </c>
      <c r="P33" s="97">
        <f>CEILING(V23/1.5,1)</f>
        <v>200</v>
      </c>
      <c r="Q33" s="98"/>
      <c r="R33" s="97"/>
      <c r="S33" s="98"/>
      <c r="T33" s="97"/>
      <c r="U33" s="98"/>
      <c r="V33" s="98"/>
      <c r="W33" s="22"/>
    </row>
    <row r="34">
      <c r="A34" s="99"/>
      <c r="B34" s="100" t="s">
        <v>8</v>
      </c>
      <c r="C34" s="90"/>
      <c r="D34" s="101"/>
      <c r="E34" s="90"/>
      <c r="F34" s="101"/>
      <c r="G34" s="90"/>
      <c r="H34" s="101"/>
      <c r="I34" s="90"/>
      <c r="J34" s="101"/>
      <c r="K34" s="90"/>
      <c r="L34" s="101"/>
      <c r="M34" s="90"/>
      <c r="N34" s="101"/>
      <c r="O34" s="90"/>
      <c r="P34" s="102"/>
      <c r="Q34" s="90"/>
      <c r="R34" s="101"/>
      <c r="S34" s="90"/>
      <c r="T34" s="102"/>
      <c r="U34" s="90"/>
      <c r="V34" s="101"/>
      <c r="W34" s="92"/>
      <c r="X34" s="93"/>
    </row>
    <row r="35" ht="37.5" customHeight="1">
      <c r="A35" s="103" t="s">
        <v>9</v>
      </c>
      <c r="B35" s="97">
        <f>CEILING(F17/3840,1)</f>
        <v>27</v>
      </c>
      <c r="C35" s="104" t="s">
        <v>10</v>
      </c>
      <c r="D35" s="97">
        <f>CEILING(F17/3.2,1)</f>
        <v>31250</v>
      </c>
      <c r="E35" s="104" t="s">
        <v>11</v>
      </c>
      <c r="F35" s="97">
        <f>CEILING(F17/5.2,1)</f>
        <v>19231</v>
      </c>
      <c r="G35" s="98"/>
      <c r="H35" s="97"/>
      <c r="I35" s="98"/>
      <c r="J35" s="97"/>
      <c r="K35" s="98"/>
      <c r="L35" s="97"/>
      <c r="M35" s="98"/>
      <c r="N35" s="97"/>
      <c r="O35" s="98"/>
      <c r="P35" s="97"/>
      <c r="Q35" s="98"/>
      <c r="R35" s="97"/>
      <c r="S35" s="98"/>
      <c r="T35" s="97"/>
      <c r="U35" s="98"/>
      <c r="V35" s="98"/>
      <c r="W35" s="22"/>
    </row>
    <row r="38">
      <c r="B38" s="105" t="s">
        <v>12</v>
      </c>
      <c r="J38" s="105" t="s">
        <v>13</v>
      </c>
    </row>
    <row r="39">
      <c r="B39" s="23" t="s">
        <v>14</v>
      </c>
      <c r="J39" s="23" t="s">
        <v>15</v>
      </c>
      <c r="K39" s="23" t="s">
        <v>16</v>
      </c>
    </row>
    <row r="40">
      <c r="J40" s="23" t="s">
        <v>17</v>
      </c>
      <c r="K40" s="23" t="s">
        <v>18</v>
      </c>
    </row>
    <row r="41">
      <c r="J41" s="23" t="s">
        <v>19</v>
      </c>
      <c r="K41" s="23" t="s">
        <v>20</v>
      </c>
    </row>
    <row r="42">
      <c r="J42" s="23" t="s">
        <v>21</v>
      </c>
      <c r="K42" s="23" t="s">
        <v>22</v>
      </c>
    </row>
    <row r="43">
      <c r="B43" s="106" t="str">
        <f>HYPERLINK("https://docs.google.com/spreadsheets/d/1EH8I64JKCY3EKpYQHyMTpgNqpPCdqOkne3pg1vNP4BQ/edit#gid=0","Latest Version")</f>
        <v>Latest Version</v>
      </c>
      <c r="J43" s="23" t="s">
        <v>23</v>
      </c>
      <c r="K43" s="23" t="s">
        <v>24</v>
      </c>
    </row>
    <row r="44">
      <c r="J44" s="23" t="s">
        <v>25</v>
      </c>
      <c r="K44" s="23" t="s">
        <v>26</v>
      </c>
    </row>
    <row r="45">
      <c r="B45" s="107"/>
      <c r="J45" s="23" t="s">
        <v>27</v>
      </c>
      <c r="K45" s="23" t="s">
        <v>28</v>
      </c>
    </row>
    <row r="46">
      <c r="J46" s="23" t="s">
        <v>29</v>
      </c>
      <c r="K46" s="23" t="s">
        <v>30</v>
      </c>
    </row>
    <row r="47">
      <c r="J47" s="23" t="s">
        <v>31</v>
      </c>
      <c r="K47" s="23" t="s">
        <v>32</v>
      </c>
    </row>
    <row r="48">
      <c r="J48" s="23" t="s">
        <v>33</v>
      </c>
      <c r="K48" s="23" t="s">
        <v>34</v>
      </c>
    </row>
    <row r="49">
      <c r="J49" s="23" t="s">
        <v>35</v>
      </c>
      <c r="K49" s="23" t="s">
        <v>36</v>
      </c>
    </row>
    <row r="50">
      <c r="J50" s="23" t="s">
        <v>37</v>
      </c>
      <c r="K50" s="23" t="s">
        <v>38</v>
      </c>
    </row>
    <row r="51">
      <c r="J51" s="23" t="s">
        <v>39</v>
      </c>
      <c r="K51" s="23" t="s">
        <v>40</v>
      </c>
    </row>
    <row r="52">
      <c r="J52" s="23" t="s">
        <v>41</v>
      </c>
      <c r="K52" s="23" t="s">
        <v>42</v>
      </c>
    </row>
    <row r="53">
      <c r="J53" s="23" t="s">
        <v>43</v>
      </c>
      <c r="K53" s="23" t="s">
        <v>44</v>
      </c>
    </row>
    <row r="54">
      <c r="J54" s="23" t="s">
        <v>45</v>
      </c>
      <c r="K54" s="23" t="s">
        <v>46</v>
      </c>
    </row>
    <row r="55">
      <c r="J55" s="23" t="s">
        <v>47</v>
      </c>
      <c r="K55" s="23" t="s">
        <v>48</v>
      </c>
    </row>
    <row r="56">
      <c r="J56" s="23" t="s">
        <v>49</v>
      </c>
      <c r="K56" s="23" t="s">
        <v>50</v>
      </c>
    </row>
    <row r="57">
      <c r="J57" s="23" t="s">
        <v>51</v>
      </c>
      <c r="K57" s="23" t="s">
        <v>52</v>
      </c>
    </row>
    <row r="136">
      <c r="B136" s="23" t="s">
        <v>53</v>
      </c>
    </row>
    <row r="139">
      <c r="B139" s="23" t="s">
        <v>54</v>
      </c>
      <c r="C139" s="23" t="s">
        <v>55</v>
      </c>
      <c r="D139" s="23" t="s">
        <v>56</v>
      </c>
      <c r="E139" s="23" t="s">
        <v>57</v>
      </c>
      <c r="F139" s="23" t="s">
        <v>58</v>
      </c>
      <c r="G139" s="23" t="s">
        <v>59</v>
      </c>
      <c r="H139" s="23" t="s">
        <v>60</v>
      </c>
      <c r="I139" s="23" t="s">
        <v>61</v>
      </c>
      <c r="J139" s="23" t="s">
        <v>62</v>
      </c>
      <c r="K139" s="23" t="s">
        <v>63</v>
      </c>
      <c r="N139" s="23" t="s">
        <v>64</v>
      </c>
    </row>
    <row r="140">
      <c r="A140" s="23" t="s">
        <v>65</v>
      </c>
      <c r="B140" s="108">
        <f t="shared" ref="B140:K140" si="3">IF(B$2=140, 0, IF(B$2=130, 0, IF(B$2=120, 0, IF(B$2=110, 0, IF(B$2=100, 1, 0)))))</f>
        <v>1</v>
      </c>
      <c r="C140" s="108">
        <f t="shared" si="3"/>
        <v>1</v>
      </c>
      <c r="D140" s="108">
        <f t="shared" si="3"/>
        <v>1</v>
      </c>
      <c r="E140" s="108">
        <f t="shared" si="3"/>
        <v>1</v>
      </c>
      <c r="F140" s="108">
        <f t="shared" si="3"/>
        <v>1</v>
      </c>
      <c r="G140" s="108">
        <f t="shared" si="3"/>
        <v>1</v>
      </c>
      <c r="H140" s="108">
        <f t="shared" si="3"/>
        <v>1</v>
      </c>
      <c r="I140" s="108">
        <f t="shared" si="3"/>
        <v>1</v>
      </c>
      <c r="J140" s="108">
        <f t="shared" si="3"/>
        <v>1</v>
      </c>
      <c r="K140" s="108">
        <f t="shared" si="3"/>
        <v>1</v>
      </c>
    </row>
    <row r="141">
      <c r="A141" s="23" t="s">
        <v>66</v>
      </c>
      <c r="B141" s="108">
        <f t="shared" ref="B141:K141" si="4">IF(B$2=140, 0, IF(B$2=130, 0, IF(B$2=120, 0, IF(B$2=110, 0, IF(B$2=100, 200, 0)))))</f>
        <v>200</v>
      </c>
      <c r="C141" s="108">
        <f t="shared" si="4"/>
        <v>200</v>
      </c>
      <c r="D141" s="108">
        <f t="shared" si="4"/>
        <v>200</v>
      </c>
      <c r="E141" s="108">
        <f t="shared" si="4"/>
        <v>200</v>
      </c>
      <c r="F141" s="108">
        <f t="shared" si="4"/>
        <v>200</v>
      </c>
      <c r="G141" s="108">
        <f t="shared" si="4"/>
        <v>200</v>
      </c>
      <c r="H141" s="108">
        <f t="shared" si="4"/>
        <v>200</v>
      </c>
      <c r="I141" s="108">
        <f t="shared" si="4"/>
        <v>200</v>
      </c>
      <c r="J141" s="108">
        <f t="shared" si="4"/>
        <v>200</v>
      </c>
      <c r="K141" s="108">
        <f t="shared" si="4"/>
        <v>200</v>
      </c>
    </row>
    <row r="142">
      <c r="A142" s="23" t="s">
        <v>67</v>
      </c>
      <c r="B142" s="108">
        <f t="shared" ref="B142:K142" si="5">IF(B$2=140, 0, IF(B$2=130, 0, IF(B$2=120, 0, IF(B$2=110, 0, IF(B$2=100, 20, 0)))))</f>
        <v>20</v>
      </c>
      <c r="C142" s="108">
        <f t="shared" si="5"/>
        <v>20</v>
      </c>
      <c r="D142" s="108">
        <f t="shared" si="5"/>
        <v>20</v>
      </c>
      <c r="E142" s="108">
        <f t="shared" si="5"/>
        <v>20</v>
      </c>
      <c r="F142" s="108">
        <f t="shared" si="5"/>
        <v>20</v>
      </c>
      <c r="G142" s="108">
        <f t="shared" si="5"/>
        <v>20</v>
      </c>
      <c r="H142" s="108">
        <f t="shared" si="5"/>
        <v>20</v>
      </c>
      <c r="I142" s="108">
        <f t="shared" si="5"/>
        <v>20</v>
      </c>
      <c r="J142" s="108">
        <f t="shared" si="5"/>
        <v>20</v>
      </c>
      <c r="K142" s="108">
        <f t="shared" si="5"/>
        <v>20</v>
      </c>
    </row>
    <row r="143">
      <c r="A143" s="23" t="s">
        <v>68</v>
      </c>
      <c r="B143" s="108">
        <f t="shared" ref="B143:K143" si="6">IF(B$2=140, 0, IF(B$2=130, 0, IF(B$2=120, 0, IF(B$2=110, 0, IF(B$2=100, 30, 0)))))</f>
        <v>30</v>
      </c>
      <c r="C143" s="108">
        <f t="shared" si="6"/>
        <v>30</v>
      </c>
      <c r="D143" s="108">
        <f t="shared" si="6"/>
        <v>30</v>
      </c>
      <c r="E143" s="108">
        <f t="shared" si="6"/>
        <v>30</v>
      </c>
      <c r="F143" s="108">
        <f t="shared" si="6"/>
        <v>30</v>
      </c>
      <c r="G143" s="108">
        <f t="shared" si="6"/>
        <v>30</v>
      </c>
      <c r="H143" s="108">
        <f t="shared" si="6"/>
        <v>30</v>
      </c>
      <c r="I143" s="108">
        <f t="shared" si="6"/>
        <v>30</v>
      </c>
      <c r="J143" s="108">
        <f t="shared" si="6"/>
        <v>30</v>
      </c>
      <c r="K143" s="108">
        <f t="shared" si="6"/>
        <v>30</v>
      </c>
    </row>
    <row r="144">
      <c r="A144" s="23" t="s">
        <v>69</v>
      </c>
      <c r="B144" s="108">
        <f>IF(B$2=140, 0, IF(B$2=130, 0, IF(B$2=120, 0, IF(B$2=110, 0, IF(B$2=100, 80, 0)))))</f>
        <v>80</v>
      </c>
      <c r="C144" s="108">
        <f>IF(C$2=140, 0, IF(C$2=130, 0, IF(C$2=120, 0, IF(C$2=110, 0, IF(C$2=100, 40, 0)))))</f>
        <v>40</v>
      </c>
      <c r="D144" s="108">
        <f t="shared" ref="D144:E144" si="7">IF(D$2=140, 0, IF(D$2=130, 0, IF(D$2=120, 0, IF(D$2=110, 0, IF(D$2=100, 80, 0)))))</f>
        <v>80</v>
      </c>
      <c r="E144" s="108">
        <f t="shared" si="7"/>
        <v>80</v>
      </c>
      <c r="F144" s="108">
        <f t="shared" ref="F144:G144" si="8">IF(F$2=140, 0, IF(F$2=130, 0, IF(F$2=120, 0, IF(F$2=110, 0, IF(F$2=100, 40, 0)))))</f>
        <v>40</v>
      </c>
      <c r="G144" s="108">
        <f t="shared" si="8"/>
        <v>40</v>
      </c>
      <c r="H144" s="108">
        <f t="shared" ref="H144:K144" si="9">IF(H$2=140, 0, IF(H$2=130, 0, IF(H$2=120, 0, IF(H$2=110, 0, IF(H$2=100, 80, 0)))))</f>
        <v>80</v>
      </c>
      <c r="I144" s="108">
        <f t="shared" si="9"/>
        <v>80</v>
      </c>
      <c r="J144" s="108">
        <f t="shared" si="9"/>
        <v>80</v>
      </c>
      <c r="K144" s="108">
        <f t="shared" si="9"/>
        <v>80</v>
      </c>
      <c r="N144" s="109">
        <v>44228.0</v>
      </c>
    </row>
    <row r="145">
      <c r="A145" s="23" t="s">
        <v>70</v>
      </c>
      <c r="B145" s="108">
        <f t="shared" ref="B145:K145" si="10">IF(B$2=140, 0, IF(B$2=130, 0, IF(B$2=120, 0, IF(B$2=110, 0, IF(B$2=100, 50, 0)))))</f>
        <v>50</v>
      </c>
      <c r="C145" s="108">
        <f t="shared" si="10"/>
        <v>50</v>
      </c>
      <c r="D145" s="108">
        <f t="shared" si="10"/>
        <v>50</v>
      </c>
      <c r="E145" s="108">
        <f t="shared" si="10"/>
        <v>50</v>
      </c>
      <c r="F145" s="108">
        <f t="shared" si="10"/>
        <v>50</v>
      </c>
      <c r="G145" s="108">
        <f t="shared" si="10"/>
        <v>50</v>
      </c>
      <c r="H145" s="108">
        <f t="shared" si="10"/>
        <v>50</v>
      </c>
      <c r="I145" s="108">
        <f t="shared" si="10"/>
        <v>50</v>
      </c>
      <c r="J145" s="108">
        <f t="shared" si="10"/>
        <v>50</v>
      </c>
      <c r="K145" s="108">
        <f t="shared" si="10"/>
        <v>50</v>
      </c>
    </row>
    <row r="146">
      <c r="A146" s="23" t="s">
        <v>71</v>
      </c>
      <c r="B146" s="108">
        <f t="shared" ref="B146:K146" si="11">IF(B$2&gt;120, 0, 1)</f>
        <v>1</v>
      </c>
      <c r="C146" s="108">
        <f t="shared" si="11"/>
        <v>1</v>
      </c>
      <c r="D146" s="108">
        <f t="shared" si="11"/>
        <v>1</v>
      </c>
      <c r="E146" s="108">
        <f t="shared" si="11"/>
        <v>1</v>
      </c>
      <c r="F146" s="108">
        <f t="shared" si="11"/>
        <v>1</v>
      </c>
      <c r="G146" s="108">
        <f t="shared" si="11"/>
        <v>1</v>
      </c>
      <c r="H146" s="108">
        <f t="shared" si="11"/>
        <v>1</v>
      </c>
      <c r="I146" s="108">
        <f t="shared" si="11"/>
        <v>1</v>
      </c>
      <c r="J146" s="108">
        <f t="shared" si="11"/>
        <v>1</v>
      </c>
      <c r="K146" s="108">
        <f t="shared" si="11"/>
        <v>1</v>
      </c>
    </row>
    <row r="147">
      <c r="A147" s="23" t="s">
        <v>72</v>
      </c>
      <c r="B147" s="108">
        <f t="shared" ref="B147:K147" si="12">IF(B$2&gt;110, 0, 1)</f>
        <v>1</v>
      </c>
      <c r="C147" s="108">
        <f t="shared" si="12"/>
        <v>1</v>
      </c>
      <c r="D147" s="108">
        <f t="shared" si="12"/>
        <v>1</v>
      </c>
      <c r="E147" s="108">
        <f t="shared" si="12"/>
        <v>1</v>
      </c>
      <c r="F147" s="108">
        <f t="shared" si="12"/>
        <v>1</v>
      </c>
      <c r="G147" s="108">
        <f t="shared" si="12"/>
        <v>1</v>
      </c>
      <c r="H147" s="108">
        <f t="shared" si="12"/>
        <v>1</v>
      </c>
      <c r="I147" s="108">
        <f t="shared" si="12"/>
        <v>1</v>
      </c>
      <c r="J147" s="108">
        <f t="shared" si="12"/>
        <v>1</v>
      </c>
      <c r="K147" s="108">
        <f t="shared" si="12"/>
        <v>1</v>
      </c>
    </row>
    <row r="148">
      <c r="A148" s="23" t="s">
        <v>73</v>
      </c>
      <c r="B148" s="108">
        <f t="shared" ref="B148:K148" si="13">IF(B$2&gt;140, 0, 1)</f>
        <v>1</v>
      </c>
      <c r="C148" s="108">
        <f t="shared" si="13"/>
        <v>1</v>
      </c>
      <c r="D148" s="108">
        <f t="shared" si="13"/>
        <v>1</v>
      </c>
      <c r="E148" s="108">
        <f t="shared" si="13"/>
        <v>1</v>
      </c>
      <c r="F148" s="108">
        <f t="shared" si="13"/>
        <v>1</v>
      </c>
      <c r="G148" s="108">
        <f t="shared" si="13"/>
        <v>1</v>
      </c>
      <c r="H148" s="108">
        <f t="shared" si="13"/>
        <v>1</v>
      </c>
      <c r="I148" s="108">
        <f t="shared" si="13"/>
        <v>1</v>
      </c>
      <c r="J148" s="108">
        <f t="shared" si="13"/>
        <v>1</v>
      </c>
      <c r="K148" s="108">
        <f t="shared" si="13"/>
        <v>1</v>
      </c>
    </row>
    <row r="149">
      <c r="A149" s="23" t="s">
        <v>74</v>
      </c>
      <c r="B149" s="108">
        <f t="shared" ref="B149:K149" si="14">IF(B$2&gt;110, 0, 50)</f>
        <v>50</v>
      </c>
      <c r="C149" s="108">
        <f t="shared" si="14"/>
        <v>50</v>
      </c>
      <c r="D149" s="108">
        <f t="shared" si="14"/>
        <v>50</v>
      </c>
      <c r="E149" s="108">
        <f t="shared" si="14"/>
        <v>50</v>
      </c>
      <c r="F149" s="108">
        <f t="shared" si="14"/>
        <v>50</v>
      </c>
      <c r="G149" s="108">
        <f t="shared" si="14"/>
        <v>50</v>
      </c>
      <c r="H149" s="108">
        <f t="shared" si="14"/>
        <v>50</v>
      </c>
      <c r="I149" s="108">
        <f t="shared" si="14"/>
        <v>50</v>
      </c>
      <c r="J149" s="108">
        <f t="shared" si="14"/>
        <v>50</v>
      </c>
      <c r="K149" s="108">
        <f t="shared" si="14"/>
        <v>50</v>
      </c>
    </row>
    <row r="150">
      <c r="A150" s="23" t="s">
        <v>75</v>
      </c>
      <c r="B150" s="108">
        <f t="shared" ref="B150:K150" si="15">IF(B$2&gt;110, 0, 300)</f>
        <v>300</v>
      </c>
      <c r="C150" s="108">
        <f t="shared" si="15"/>
        <v>300</v>
      </c>
      <c r="D150" s="108">
        <f t="shared" si="15"/>
        <v>300</v>
      </c>
      <c r="E150" s="108">
        <f t="shared" si="15"/>
        <v>300</v>
      </c>
      <c r="F150" s="108">
        <f t="shared" si="15"/>
        <v>300</v>
      </c>
      <c r="G150" s="108">
        <f t="shared" si="15"/>
        <v>300</v>
      </c>
      <c r="H150" s="108">
        <f t="shared" si="15"/>
        <v>300</v>
      </c>
      <c r="I150" s="108">
        <f t="shared" si="15"/>
        <v>300</v>
      </c>
      <c r="J150" s="108">
        <f t="shared" si="15"/>
        <v>300</v>
      </c>
      <c r="K150" s="108">
        <f t="shared" si="15"/>
        <v>300</v>
      </c>
    </row>
    <row r="151">
      <c r="A151" s="23" t="s">
        <v>76</v>
      </c>
      <c r="B151" s="108">
        <f t="shared" ref="B151:K151" si="16">IF(B$2&gt;110, 0, 100)</f>
        <v>100</v>
      </c>
      <c r="C151" s="108">
        <f t="shared" si="16"/>
        <v>100</v>
      </c>
      <c r="D151" s="108">
        <f t="shared" si="16"/>
        <v>100</v>
      </c>
      <c r="E151" s="108">
        <f t="shared" si="16"/>
        <v>100</v>
      </c>
      <c r="F151" s="108">
        <f t="shared" si="16"/>
        <v>100</v>
      </c>
      <c r="G151" s="108">
        <f t="shared" si="16"/>
        <v>100</v>
      </c>
      <c r="H151" s="108">
        <f t="shared" si="16"/>
        <v>100</v>
      </c>
      <c r="I151" s="108">
        <f t="shared" si="16"/>
        <v>100</v>
      </c>
      <c r="J151" s="108">
        <f t="shared" si="16"/>
        <v>100</v>
      </c>
      <c r="K151" s="108">
        <f t="shared" si="16"/>
        <v>100</v>
      </c>
    </row>
    <row r="152">
      <c r="A152" s="23" t="s">
        <v>77</v>
      </c>
      <c r="B152" s="108">
        <f t="shared" ref="B152:K152" si="17">IF(B$2&gt;110, 0, 100)</f>
        <v>100</v>
      </c>
      <c r="C152" s="108">
        <f t="shared" si="17"/>
        <v>100</v>
      </c>
      <c r="D152" s="108">
        <f t="shared" si="17"/>
        <v>100</v>
      </c>
      <c r="E152" s="108">
        <f t="shared" si="17"/>
        <v>100</v>
      </c>
      <c r="F152" s="108">
        <f t="shared" si="17"/>
        <v>100</v>
      </c>
      <c r="G152" s="108">
        <f t="shared" si="17"/>
        <v>100</v>
      </c>
      <c r="H152" s="108">
        <f t="shared" si="17"/>
        <v>100</v>
      </c>
      <c r="I152" s="108">
        <f t="shared" si="17"/>
        <v>100</v>
      </c>
      <c r="J152" s="108">
        <f t="shared" si="17"/>
        <v>100</v>
      </c>
      <c r="K152" s="108">
        <f t="shared" si="17"/>
        <v>100</v>
      </c>
    </row>
    <row r="153">
      <c r="A153" s="23" t="s">
        <v>78</v>
      </c>
      <c r="B153" s="108">
        <f t="shared" ref="B153:K153" si="18">IF(B$2&gt;110, 0, 50)</f>
        <v>50</v>
      </c>
      <c r="C153" s="108">
        <f t="shared" si="18"/>
        <v>50</v>
      </c>
      <c r="D153" s="108">
        <f t="shared" si="18"/>
        <v>50</v>
      </c>
      <c r="E153" s="108">
        <f t="shared" si="18"/>
        <v>50</v>
      </c>
      <c r="F153" s="108">
        <f t="shared" si="18"/>
        <v>50</v>
      </c>
      <c r="G153" s="108">
        <f t="shared" si="18"/>
        <v>50</v>
      </c>
      <c r="H153" s="108">
        <f t="shared" si="18"/>
        <v>50</v>
      </c>
      <c r="I153" s="108">
        <f t="shared" si="18"/>
        <v>50</v>
      </c>
      <c r="J153" s="108">
        <f t="shared" si="18"/>
        <v>50</v>
      </c>
      <c r="K153" s="108">
        <f t="shared" si="18"/>
        <v>50</v>
      </c>
    </row>
    <row r="154">
      <c r="A154" s="23" t="s">
        <v>79</v>
      </c>
      <c r="B154" s="108">
        <f t="shared" ref="B154:K154" si="19">IF(B$2&gt;130, 0, 30)</f>
        <v>30</v>
      </c>
      <c r="C154" s="108">
        <f t="shared" si="19"/>
        <v>30</v>
      </c>
      <c r="D154" s="108">
        <f t="shared" si="19"/>
        <v>30</v>
      </c>
      <c r="E154" s="108">
        <f t="shared" si="19"/>
        <v>30</v>
      </c>
      <c r="F154" s="108">
        <f t="shared" si="19"/>
        <v>30</v>
      </c>
      <c r="G154" s="108">
        <f t="shared" si="19"/>
        <v>30</v>
      </c>
      <c r="H154" s="108">
        <f t="shared" si="19"/>
        <v>30</v>
      </c>
      <c r="I154" s="108">
        <f t="shared" si="19"/>
        <v>30</v>
      </c>
      <c r="J154" s="108">
        <f t="shared" si="19"/>
        <v>30</v>
      </c>
      <c r="K154" s="108">
        <f t="shared" si="19"/>
        <v>30</v>
      </c>
    </row>
    <row r="155">
      <c r="A155" s="23" t="s">
        <v>80</v>
      </c>
      <c r="B155" s="108">
        <f>IF(B$2&gt;130, 0, 30)</f>
        <v>30</v>
      </c>
      <c r="C155" s="108">
        <f>IF(C$2&gt;130, 0, 15)</f>
        <v>15</v>
      </c>
      <c r="D155" s="108">
        <f t="shared" ref="D155:E155" si="20">IF(D$2&gt;130, 0, 30)</f>
        <v>30</v>
      </c>
      <c r="E155" s="108">
        <f t="shared" si="20"/>
        <v>30</v>
      </c>
      <c r="F155" s="108">
        <f t="shared" ref="F155:G155" si="21">IF(F$2&gt;130, 0, 15)</f>
        <v>15</v>
      </c>
      <c r="G155" s="108">
        <f t="shared" si="21"/>
        <v>15</v>
      </c>
      <c r="H155" s="108">
        <f t="shared" ref="H155:K155" si="22">IF(H$2&gt;130, 0, 30)</f>
        <v>30</v>
      </c>
      <c r="I155" s="108">
        <f t="shared" si="22"/>
        <v>30</v>
      </c>
      <c r="J155" s="108">
        <f t="shared" si="22"/>
        <v>30</v>
      </c>
      <c r="K155" s="108">
        <f t="shared" si="22"/>
        <v>30</v>
      </c>
      <c r="N155" s="109">
        <v>44228.0</v>
      </c>
    </row>
    <row r="156">
      <c r="A156" s="23" t="s">
        <v>81</v>
      </c>
      <c r="B156" s="108">
        <f t="shared" ref="B156:K156" si="23">IF(B$2&gt;130, 0, 2000)</f>
        <v>2000</v>
      </c>
      <c r="C156" s="108">
        <f t="shared" si="23"/>
        <v>2000</v>
      </c>
      <c r="D156" s="108">
        <f t="shared" si="23"/>
        <v>2000</v>
      </c>
      <c r="E156" s="108">
        <f t="shared" si="23"/>
        <v>2000</v>
      </c>
      <c r="F156" s="108">
        <f t="shared" si="23"/>
        <v>2000</v>
      </c>
      <c r="G156" s="108">
        <f t="shared" si="23"/>
        <v>2000</v>
      </c>
      <c r="H156" s="108">
        <f t="shared" si="23"/>
        <v>2000</v>
      </c>
      <c r="I156" s="108">
        <f t="shared" si="23"/>
        <v>2000</v>
      </c>
      <c r="J156" s="108">
        <f t="shared" si="23"/>
        <v>2000</v>
      </c>
      <c r="K156" s="108">
        <f t="shared" si="23"/>
        <v>2000</v>
      </c>
    </row>
    <row r="157">
      <c r="A157" s="23" t="s">
        <v>82</v>
      </c>
      <c r="B157" s="108">
        <f t="shared" ref="B157:K157" si="24">IF(B$2&gt;130, 0, 2000)</f>
        <v>2000</v>
      </c>
      <c r="C157" s="108">
        <f t="shared" si="24"/>
        <v>2000</v>
      </c>
      <c r="D157" s="108">
        <f t="shared" si="24"/>
        <v>2000</v>
      </c>
      <c r="E157" s="108">
        <f t="shared" si="24"/>
        <v>2000</v>
      </c>
      <c r="F157" s="108">
        <f t="shared" si="24"/>
        <v>2000</v>
      </c>
      <c r="G157" s="108">
        <f t="shared" si="24"/>
        <v>2000</v>
      </c>
      <c r="H157" s="108">
        <f t="shared" si="24"/>
        <v>2000</v>
      </c>
      <c r="I157" s="108">
        <f t="shared" si="24"/>
        <v>2000</v>
      </c>
      <c r="J157" s="108">
        <f t="shared" si="24"/>
        <v>2000</v>
      </c>
      <c r="K157" s="108">
        <f t="shared" si="24"/>
        <v>2000</v>
      </c>
    </row>
    <row r="158">
      <c r="A158" s="23" t="s">
        <v>83</v>
      </c>
      <c r="B158" s="108">
        <f t="shared" ref="B158:K158" si="25">IF(B$2&gt;130, 0, 300)</f>
        <v>300</v>
      </c>
      <c r="C158" s="108">
        <f t="shared" si="25"/>
        <v>300</v>
      </c>
      <c r="D158" s="108">
        <f t="shared" si="25"/>
        <v>300</v>
      </c>
      <c r="E158" s="108">
        <f t="shared" si="25"/>
        <v>300</v>
      </c>
      <c r="F158" s="108">
        <f t="shared" si="25"/>
        <v>300</v>
      </c>
      <c r="G158" s="108">
        <f t="shared" si="25"/>
        <v>300</v>
      </c>
      <c r="H158" s="108">
        <f t="shared" si="25"/>
        <v>300</v>
      </c>
      <c r="I158" s="108">
        <f t="shared" si="25"/>
        <v>300</v>
      </c>
      <c r="J158" s="108">
        <f t="shared" si="25"/>
        <v>300</v>
      </c>
      <c r="K158" s="108">
        <f t="shared" si="25"/>
        <v>300</v>
      </c>
    </row>
    <row r="159">
      <c r="A159" s="23" t="s">
        <v>84</v>
      </c>
      <c r="B159" s="108">
        <f t="shared" ref="B159:K159" si="26">IF(B$2&gt;130, 0, 50)</f>
        <v>50</v>
      </c>
      <c r="C159" s="108">
        <f t="shared" si="26"/>
        <v>50</v>
      </c>
      <c r="D159" s="108">
        <f t="shared" si="26"/>
        <v>50</v>
      </c>
      <c r="E159" s="108">
        <f t="shared" si="26"/>
        <v>50</v>
      </c>
      <c r="F159" s="108">
        <f t="shared" si="26"/>
        <v>50</v>
      </c>
      <c r="G159" s="108">
        <f t="shared" si="26"/>
        <v>50</v>
      </c>
      <c r="H159" s="108">
        <f t="shared" si="26"/>
        <v>50</v>
      </c>
      <c r="I159" s="108">
        <f t="shared" si="26"/>
        <v>50</v>
      </c>
      <c r="J159" s="108">
        <f t="shared" si="26"/>
        <v>50</v>
      </c>
      <c r="K159" s="108">
        <f t="shared" si="26"/>
        <v>50</v>
      </c>
    </row>
    <row r="160">
      <c r="A160" s="23" t="s">
        <v>85</v>
      </c>
      <c r="B160" s="108">
        <f t="shared" ref="B160:K160" si="27">IF(B$2&gt;130, 0, IF(B$2&gt;110, 5, 10))</f>
        <v>10</v>
      </c>
      <c r="C160" s="108">
        <f t="shared" si="27"/>
        <v>10</v>
      </c>
      <c r="D160" s="108">
        <f t="shared" si="27"/>
        <v>10</v>
      </c>
      <c r="E160" s="108">
        <f t="shared" si="27"/>
        <v>10</v>
      </c>
      <c r="F160" s="108">
        <f t="shared" si="27"/>
        <v>10</v>
      </c>
      <c r="G160" s="108">
        <f t="shared" si="27"/>
        <v>10</v>
      </c>
      <c r="H160" s="108">
        <f t="shared" si="27"/>
        <v>10</v>
      </c>
      <c r="I160" s="108">
        <f t="shared" si="27"/>
        <v>10</v>
      </c>
      <c r="J160" s="108">
        <f t="shared" si="27"/>
        <v>10</v>
      </c>
      <c r="K160" s="108">
        <f t="shared" si="27"/>
        <v>10</v>
      </c>
    </row>
  </sheetData>
  <mergeCells count="1">
    <mergeCell ref="B39:H41"/>
  </mergeCells>
  <conditionalFormatting sqref="A17:V35">
    <cfRule type="containsBlanks" dxfId="0" priority="1">
      <formula>LEN(TRIM(A17))=0</formula>
    </cfRule>
  </conditionalFormatting>
  <conditionalFormatting sqref="A17:V35">
    <cfRule type="cellIs" dxfId="1" priority="2" operator="equal">
      <formula>0</formula>
    </cfRule>
  </conditionalFormatting>
  <conditionalFormatting sqref="B2:K2">
    <cfRule type="cellIs" dxfId="2" priority="3" operator="equal">
      <formula>150</formula>
    </cfRule>
  </conditionalFormatting>
  <conditionalFormatting sqref="B2:K2">
    <cfRule type="cellIs" dxfId="3" priority="4" operator="equal">
      <formula>140</formula>
    </cfRule>
  </conditionalFormatting>
  <conditionalFormatting sqref="B2:K2">
    <cfRule type="cellIs" dxfId="4" priority="5" operator="equal">
      <formula>130</formula>
    </cfRule>
  </conditionalFormatting>
  <conditionalFormatting sqref="B2:K2">
    <cfRule type="cellIs" dxfId="5" priority="6" operator="equal">
      <formula>120</formula>
    </cfRule>
  </conditionalFormatting>
  <conditionalFormatting sqref="B2:K2">
    <cfRule type="cellIs" dxfId="6" priority="7" operator="equal">
      <formula>110</formula>
    </cfRule>
  </conditionalFormatting>
  <conditionalFormatting sqref="P26">
    <cfRule type="notContainsBlanks" dxfId="7" priority="8">
      <formula>LEN(TRIM(P26))&gt;0</formula>
    </cfRule>
  </conditionalFormatting>
  <dataValidations>
    <dataValidation type="list" allowBlank="1" showErrorMessage="1" sqref="B2:K2">
      <formula1>"100,110,120,130,140,150"</formula1>
    </dataValidation>
  </dataValidations>
  <drawing r:id="rId1"/>
</worksheet>
</file>